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220" windowHeight="1254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抵押物清单" sheetId="80" r:id="rId13"/>
    <sheet name="兴盛国际不动产查询" sheetId="83" r:id="rId14"/>
    <sheet name="租赁台账" sheetId="82" r:id="rId15"/>
    <sheet name="数据-基础表" sheetId="3" r:id="rId16"/>
    <sheet name="数据-汇总表" sheetId="6" r:id="rId17"/>
    <sheet name="数据-取费表" sheetId="1" r:id="rId18"/>
    <sheet name="估价对象房地状况" sheetId="20" r:id="rId19"/>
    <sheet name="系统读取表" sheetId="74" r:id="rId20"/>
    <sheet name="结果表-车库" sheetId="87" state="hidden" r:id="rId21"/>
    <sheet name="成本法" sheetId="68" state="hidden" r:id="rId22"/>
    <sheet name="成本法 (元)" sheetId="69" state="hidden" r:id="rId23"/>
    <sheet name="假设开发法" sheetId="12" state="hidden" r:id="rId24"/>
    <sheet name="收益法-车库" sheetId="84" state="hidden" r:id="rId25"/>
    <sheet name="基准地价修正-工业" sheetId="85" state="hidden" r:id="rId26"/>
    <sheet name="结果表" sheetId="9" r:id="rId27"/>
    <sheet name="比较法-商业" sheetId="33" state="hidden" r:id="rId28"/>
    <sheet name="收益法-商业" sheetId="15" state="hidden" r:id="rId29"/>
    <sheet name="收益法(元)" sheetId="67" r:id="rId30"/>
    <sheet name="比较法-商业租金" sheetId="86" state="hidden" r:id="rId31"/>
    <sheet name="收益法-酒店模型" sheetId="77" state="hidden" r:id="rId32"/>
    <sheet name="基准地价修正-商业" sheetId="43" state="hidden" r:id="rId33"/>
    <sheet name="收益法（汇总）" sheetId="70" state="hidden" r:id="rId34"/>
    <sheet name="比较法-住宅" sheetId="21" state="hidden" r:id="rId35"/>
    <sheet name="比较法-办公" sheetId="34" state="hidden" r:id="rId36"/>
    <sheet name="比较法-工业" sheetId="37"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案例" sheetId="81" state="hidden" r:id="rId53"/>
  </sheets>
  <externalReferences>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'比较法-商业'!$A$1:$L$49</definedName>
    <definedName name="_xlnm._FilterDatabase" localSheetId="30" hidden="1">'比较法-商业租金'!$A$1:$L$49</definedName>
    <definedName name="_xlnm._FilterDatabase" localSheetId="34" hidden="1">'比较法-住宅'!$A$1:$L$49</definedName>
    <definedName name="_xlnm._FilterDatabase" localSheetId="15"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30">'比较法-商业租金'!$A$1:$K$54,'比较法-商业租金'!$A$57:$M$131</definedName>
    <definedName name="_xlnm.Print_Area" localSheetId="34">'比较法-住宅'!$A$1:$K$54,'比较法-住宅'!$A$57:$M$131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25">'基准地价修正-工业'!$A$1:$J$44,'基准地价修正-工业'!$A$47:$H$101,'基准地价修正-工业'!$R$1:$V$16</definedName>
    <definedName name="_xlnm.Print_Area" localSheetId="32">'基准地价修正-商业'!$A$1:$J$44,'基准地价修正-商业'!$A$47:$H$101,'基准地价修正-商业'!$R$1:$V$16</definedName>
    <definedName name="_xlnm.Print_Area" localSheetId="23">假设开发法!$A$1:$K$32</definedName>
    <definedName name="_xlnm.Print_Area" localSheetId="26">结果表!$A$1:$I$127</definedName>
    <definedName name="_xlnm.Print_Area" localSheetId="20">'结果表-车库'!$A$1:$I$127</definedName>
    <definedName name="_xlnm.Print_Area" localSheetId="33">'收益法（汇总）'!$A$1:$F$13</definedName>
    <definedName name="_xlnm.Print_Area" localSheetId="29">'收益法(元)'!$A$1:$F$43,'收益法(元)'!$H$3:$M$29,'收益法(元)'!$A$45:$F$71,'收益法(元)'!$I$46:$N$65</definedName>
    <definedName name="_xlnm.Print_Area" localSheetId="24">'收益法-车库'!$A$1:$F$43,'收益法-车库'!$H$3:$M$29,'收益法-车库'!$A$46:$F$71,'收益法-车库'!$I$46:$N$65</definedName>
    <definedName name="_xlnm.Print_Area" localSheetId="28">'收益法-商业'!$A$1:$F$43,'收益法-商业'!$H$3:$M$29,'收益法-商业'!$A$46:$F$71,'收益法-商业'!$I$46:$N$65</definedName>
    <definedName name="_xlnm.Print_Area" localSheetId="16">'数据-汇总表'!$A$1:$P$32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5">'基准地价修正-工业'!$Q$19:$AD$19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0">'比较法-商业租金'!$B$116:$M$116</definedName>
    <definedName name="商业层高">'比较法-商业'!$B$116:$M$116</definedName>
    <definedName name="商业成新度" localSheetId="30">'比较法-商业租金'!$B$109:$M$109</definedName>
    <definedName name="商业成新度">'比较法-商业'!$B$109:$M$109</definedName>
    <definedName name="商业繁华度">定义!$L$1:$L$6</definedName>
    <definedName name="商业公共部分装修" localSheetId="30">'比较法-商业租金'!$B$107:$M$107</definedName>
    <definedName name="商业公共部分装修">'比较法-商业'!$B$107:$M$107</definedName>
    <definedName name="商业基础设施水平" localSheetId="30">'比较法-商业租金'!$B$112:$M$112</definedName>
    <definedName name="商业基础设施水平">'比较法-商业'!$B$112:$M$112</definedName>
    <definedName name="商业建筑结构" localSheetId="30">'比较法-商业租金'!$B$105:$M$105</definedName>
    <definedName name="商业建筑结构">'比较法-商业'!$B$105:$M$105</definedName>
    <definedName name="商业交易情况" localSheetId="30">'比较法-商业租金'!$A$61:$M$61</definedName>
    <definedName name="商业交易情况">'比较法-商业'!$A$61:$M$61</definedName>
    <definedName name="商业街名称">修正!$C$71:$C$138</definedName>
    <definedName name="商业进深比" localSheetId="30">'比较法-商业租金'!$B$120:$M$120</definedName>
    <definedName name="商业进深比">'比较法-商业'!$B$120:$M$120</definedName>
    <definedName name="商业类型" localSheetId="30">'比较法-商业租金'!$B$100:$M$100</definedName>
    <definedName name="商业类型">'比较法-商业'!$B$100:$M$100</definedName>
    <definedName name="商业临街状况" localSheetId="30">'比较法-商业租金'!$B$86:$M$86</definedName>
    <definedName name="商业临街状况">'比较法-商业'!$B$86:$M$86</definedName>
    <definedName name="商业楼层" localSheetId="30">'比较法-商业租金'!$B$92:$M$92</definedName>
    <definedName name="商业楼层">'比较法-商业'!$B$92:$M$92</definedName>
    <definedName name="商业内部装修" localSheetId="30">'比较法-商业租金'!$B$122:$M$122</definedName>
    <definedName name="商业内部装修">'比较法-商业'!$B$122:$M$122</definedName>
    <definedName name="商业人流量" localSheetId="30">'比较法-商业租金'!$B$90:$M$90</definedName>
    <definedName name="商业人流量">'比较法-商业'!$B$90:$M$90</definedName>
    <definedName name="商业业态" localSheetId="30">'比较法-商业租金'!$B$114:$M$114</definedName>
    <definedName name="商业业态">'比较法-商业'!$B$114:$M$114</definedName>
    <definedName name="商业用途" localSheetId="3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37" l="1"/>
  <c r="L32" i="1" l="1"/>
  <c r="N32" i="1" s="1"/>
  <c r="D4" i="31" l="1"/>
  <c r="E4" i="31"/>
  <c r="F4" i="31"/>
  <c r="G4" i="31"/>
  <c r="D3" i="31"/>
  <c r="E3" i="31"/>
  <c r="F3" i="31"/>
  <c r="G3" i="31"/>
  <c r="C4" i="31"/>
  <c r="C3" i="31"/>
  <c r="B25" i="31"/>
  <c r="B26" i="31"/>
  <c r="B27" i="31"/>
  <c r="B28" i="31"/>
  <c r="B29" i="31"/>
  <c r="B30" i="31"/>
  <c r="B31" i="31"/>
  <c r="B32" i="31"/>
  <c r="B33" i="31"/>
  <c r="B34" i="31"/>
  <c r="B35" i="31"/>
  <c r="B36" i="31"/>
  <c r="B24" i="31"/>
  <c r="A25" i="31"/>
  <c r="A26" i="31"/>
  <c r="A27" i="31"/>
  <c r="A28" i="31"/>
  <c r="A29" i="31"/>
  <c r="A30" i="31"/>
  <c r="A31" i="31"/>
  <c r="A32" i="31"/>
  <c r="A33" i="31"/>
  <c r="A34" i="31"/>
  <c r="A35" i="31"/>
  <c r="A36" i="31"/>
  <c r="A24" i="31"/>
  <c r="A120" i="87"/>
  <c r="E111" i="87"/>
  <c r="E109" i="87"/>
  <c r="A124" i="87" s="1"/>
  <c r="E107" i="87"/>
  <c r="A122" i="87" s="1"/>
  <c r="H106" i="87"/>
  <c r="H105" i="87"/>
  <c r="H104" i="87"/>
  <c r="H103" i="87"/>
  <c r="D120" i="87" s="1"/>
  <c r="D101" i="87"/>
  <c r="C101" i="87"/>
  <c r="D93" i="87"/>
  <c r="E90" i="87"/>
  <c r="D89" i="87"/>
  <c r="O84" i="87"/>
  <c r="M84" i="87"/>
  <c r="L84" i="87"/>
  <c r="D78" i="87"/>
  <c r="H77" i="87"/>
  <c r="D77" i="87"/>
  <c r="C77" i="87"/>
  <c r="C74" i="87" s="1"/>
  <c r="C76" i="87"/>
  <c r="D68" i="87"/>
  <c r="F59" i="87"/>
  <c r="E59" i="87"/>
  <c r="D59" i="87"/>
  <c r="N56" i="87"/>
  <c r="M56" i="87"/>
  <c r="K56" i="87"/>
  <c r="J56" i="87"/>
  <c r="F56" i="87"/>
  <c r="O55" i="87"/>
  <c r="N55" i="87"/>
  <c r="M55" i="87"/>
  <c r="K55" i="87"/>
  <c r="J55" i="87"/>
  <c r="J57" i="87" s="1"/>
  <c r="J59" i="87" s="1"/>
  <c r="J61" i="87" s="1"/>
  <c r="I55" i="87"/>
  <c r="F55" i="87"/>
  <c r="O54" i="87"/>
  <c r="N54" i="87"/>
  <c r="F54" i="87"/>
  <c r="O53" i="87"/>
  <c r="N53" i="87"/>
  <c r="F53" i="87"/>
  <c r="F52" i="87"/>
  <c r="K49" i="87"/>
  <c r="F48" i="87"/>
  <c r="O52" i="87" s="1"/>
  <c r="E48" i="87"/>
  <c r="N52" i="87" s="1"/>
  <c r="M47" i="87"/>
  <c r="F33" i="87"/>
  <c r="D27" i="87"/>
  <c r="C25" i="87"/>
  <c r="C24" i="87"/>
  <c r="D17" i="87"/>
  <c r="C17" i="87"/>
  <c r="L4" i="87"/>
  <c r="K4" i="87"/>
  <c r="H1" i="87"/>
  <c r="J49" i="67"/>
  <c r="E36" i="33"/>
  <c r="I36" i="86"/>
  <c r="B130" i="86"/>
  <c r="B128" i="86"/>
  <c r="B126" i="86"/>
  <c r="D125" i="86"/>
  <c r="E125" i="86" s="1"/>
  <c r="F125" i="86" s="1"/>
  <c r="G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E115" i="86"/>
  <c r="F115" i="86" s="1"/>
  <c r="G115" i="86" s="1"/>
  <c r="H115" i="86" s="1"/>
  <c r="I115" i="86" s="1"/>
  <c r="J115" i="86" s="1"/>
  <c r="K115" i="86" s="1"/>
  <c r="L115" i="86" s="1"/>
  <c r="M115" i="86" s="1"/>
  <c r="D115" i="86"/>
  <c r="D113" i="86"/>
  <c r="E113" i="86" s="1"/>
  <c r="F113" i="86" s="1"/>
  <c r="G113" i="86" s="1"/>
  <c r="H113" i="86" s="1"/>
  <c r="I113" i="86" s="1"/>
  <c r="J113" i="86" s="1"/>
  <c r="K113" i="86" s="1"/>
  <c r="L113" i="86" s="1"/>
  <c r="M113" i="86" s="1"/>
  <c r="D111" i="86"/>
  <c r="E111" i="86" s="1"/>
  <c r="F111" i="86" s="1"/>
  <c r="G111" i="86" s="1"/>
  <c r="H111" i="86" s="1"/>
  <c r="I111" i="86" s="1"/>
  <c r="J111" i="86" s="1"/>
  <c r="K111" i="86" s="1"/>
  <c r="L111" i="86" s="1"/>
  <c r="M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D104" i="86"/>
  <c r="E104" i="86" s="1"/>
  <c r="F104" i="86" s="1"/>
  <c r="G104" i="86" s="1"/>
  <c r="H104" i="86" s="1"/>
  <c r="I104" i="86" s="1"/>
  <c r="D103" i="86"/>
  <c r="E103" i="86" s="1"/>
  <c r="M102" i="86"/>
  <c r="L102" i="86"/>
  <c r="K102" i="86"/>
  <c r="J102" i="86"/>
  <c r="E101" i="86"/>
  <c r="F101" i="86" s="1"/>
  <c r="G101" i="86" s="1"/>
  <c r="H101" i="86" s="1"/>
  <c r="I101" i="86" s="1"/>
  <c r="J101" i="86" s="1"/>
  <c r="K101" i="86" s="1"/>
  <c r="L101" i="86" s="1"/>
  <c r="M101" i="86" s="1"/>
  <c r="D101" i="86"/>
  <c r="B98" i="86"/>
  <c r="B96" i="86"/>
  <c r="B94" i="86"/>
  <c r="B92" i="86"/>
  <c r="D91" i="86"/>
  <c r="E91" i="86" s="1"/>
  <c r="B90" i="86"/>
  <c r="D89" i="86"/>
  <c r="E89" i="86" s="1"/>
  <c r="F89" i="86" s="1"/>
  <c r="G89" i="86" s="1"/>
  <c r="B88" i="86"/>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J32" i="86"/>
  <c r="AC32" i="86" s="1"/>
  <c r="H32" i="86"/>
  <c r="AB32" i="86" s="1"/>
  <c r="F32" i="86"/>
  <c r="AA32" i="86" s="1"/>
  <c r="Q31" i="86"/>
  <c r="Z31" i="86" s="1"/>
  <c r="J31" i="86"/>
  <c r="AC31" i="86" s="1"/>
  <c r="H31" i="86"/>
  <c r="AB31" i="86" s="1"/>
  <c r="F31" i="86"/>
  <c r="S31" i="86" s="1"/>
  <c r="Q30" i="86"/>
  <c r="Z30" i="86" s="1"/>
  <c r="J30" i="86"/>
  <c r="AC30" i="86" s="1"/>
  <c r="H30" i="86"/>
  <c r="AB30" i="86" s="1"/>
  <c r="F30" i="86"/>
  <c r="AA30" i="86" s="1"/>
  <c r="AC29" i="86"/>
  <c r="Q29" i="86"/>
  <c r="Z29" i="86" s="1"/>
  <c r="J29" i="86"/>
  <c r="W29" i="86" s="1"/>
  <c r="H29" i="86"/>
  <c r="AB29" i="86" s="1"/>
  <c r="F29" i="86"/>
  <c r="AA29" i="86" s="1"/>
  <c r="Q28" i="86"/>
  <c r="Z28" i="86" s="1"/>
  <c r="J28" i="86"/>
  <c r="AC28" i="86" s="1"/>
  <c r="H28" i="86"/>
  <c r="AB28" i="86" s="1"/>
  <c r="F28" i="86"/>
  <c r="AA28" i="86" s="1"/>
  <c r="U27" i="86"/>
  <c r="Q27" i="86"/>
  <c r="Z27" i="86" s="1"/>
  <c r="H27" i="86"/>
  <c r="AB27" i="86" s="1"/>
  <c r="F27" i="86"/>
  <c r="S27" i="86" s="1"/>
  <c r="Z26" i="86"/>
  <c r="Q26" i="86"/>
  <c r="J26" i="86"/>
  <c r="H26" i="86"/>
  <c r="U26" i="86" s="1"/>
  <c r="F26" i="86"/>
  <c r="S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C8" i="86"/>
  <c r="W8" i="86"/>
  <c r="U8" i="86"/>
  <c r="J8" i="86"/>
  <c r="H8" i="86"/>
  <c r="AB8" i="86" s="1"/>
  <c r="F8" i="86"/>
  <c r="S8" i="86" s="1"/>
  <c r="J7" i="86"/>
  <c r="AC7" i="86" s="1"/>
  <c r="H7" i="86"/>
  <c r="U7" i="86" s="1"/>
  <c r="C7" i="86"/>
  <c r="C58" i="86" s="1"/>
  <c r="D58" i="86" s="1"/>
  <c r="E58" i="86" s="1"/>
  <c r="F58" i="86" s="1"/>
  <c r="G58" i="86" s="1"/>
  <c r="H58" i="86" s="1"/>
  <c r="I58" i="86" s="1"/>
  <c r="J58" i="86" s="1"/>
  <c r="K58" i="86" s="1"/>
  <c r="L58" i="86" s="1"/>
  <c r="M58" i="86" s="1"/>
  <c r="N58" i="86" s="1"/>
  <c r="O58" i="86" s="1"/>
  <c r="D3" i="86"/>
  <c r="C33" i="86" s="1"/>
  <c r="D89" i="33"/>
  <c r="E89" i="33" s="1"/>
  <c r="F89" i="33" s="1"/>
  <c r="G89" i="33" s="1"/>
  <c r="E104" i="33"/>
  <c r="F104" i="33"/>
  <c r="G104" i="33"/>
  <c r="H104" i="33" s="1"/>
  <c r="I104" i="33" s="1"/>
  <c r="D104" i="33"/>
  <c r="E103" i="33"/>
  <c r="F103" i="33" s="1"/>
  <c r="G103" i="33" s="1"/>
  <c r="H103" i="33" s="1"/>
  <c r="I103" i="33" s="1"/>
  <c r="D103" i="33"/>
  <c r="D2" i="86"/>
  <c r="C18" i="87" l="1"/>
  <c r="D18" i="87" s="1"/>
  <c r="D121" i="87"/>
  <c r="K120" i="87"/>
  <c r="A126" i="87"/>
  <c r="H109" i="87"/>
  <c r="S10" i="86"/>
  <c r="U11" i="86"/>
  <c r="W12" i="86"/>
  <c r="S14" i="86"/>
  <c r="S15" i="86"/>
  <c r="S17" i="86"/>
  <c r="S19" i="86"/>
  <c r="S21" i="86"/>
  <c r="S23" i="86"/>
  <c r="U25" i="86"/>
  <c r="AC26" i="86"/>
  <c r="W26" i="86"/>
  <c r="AA27" i="86"/>
  <c r="AA31" i="86"/>
  <c r="S9" i="86"/>
  <c r="U10" i="86"/>
  <c r="W11" i="86"/>
  <c r="S13" i="86"/>
  <c r="U14" i="86"/>
  <c r="U15" i="86"/>
  <c r="U17" i="86"/>
  <c r="U19" i="86"/>
  <c r="U21" i="86"/>
  <c r="U23" i="86"/>
  <c r="W25" i="86"/>
  <c r="AA26" i="86"/>
  <c r="AA8" i="86"/>
  <c r="W10" i="86"/>
  <c r="S12" i="86"/>
  <c r="U13" i="86"/>
  <c r="W14" i="86"/>
  <c r="W15" i="86"/>
  <c r="W17" i="86"/>
  <c r="W19" i="86"/>
  <c r="W21" i="86"/>
  <c r="W23" i="86"/>
  <c r="AB26" i="86"/>
  <c r="U28" i="86"/>
  <c r="F103" i="86"/>
  <c r="W7" i="86"/>
  <c r="AB7" i="86"/>
  <c r="U9" i="86"/>
  <c r="F7" i="86"/>
  <c r="W9" i="86"/>
  <c r="S11" i="86"/>
  <c r="U12" i="86"/>
  <c r="W13" i="86"/>
  <c r="S25" i="86"/>
  <c r="J27" i="86"/>
  <c r="F91" i="86"/>
  <c r="G91" i="86" s="1"/>
  <c r="H91" i="86" s="1"/>
  <c r="I91" i="86" s="1"/>
  <c r="J91" i="86" s="1"/>
  <c r="K91" i="86" s="1"/>
  <c r="L91" i="86" s="1"/>
  <c r="M91" i="86" s="1"/>
  <c r="S28" i="86"/>
  <c r="U29" i="86"/>
  <c r="W30" i="86"/>
  <c r="S32" i="86"/>
  <c r="U34" i="86"/>
  <c r="W35" i="86"/>
  <c r="S38" i="86"/>
  <c r="U39" i="86"/>
  <c r="W40" i="86"/>
  <c r="S42" i="86"/>
  <c r="U43" i="86"/>
  <c r="W44" i="86"/>
  <c r="S46" i="86"/>
  <c r="D102" i="86"/>
  <c r="U32" i="86"/>
  <c r="W34" i="86"/>
  <c r="S37" i="86"/>
  <c r="U38" i="86"/>
  <c r="W39" i="86"/>
  <c r="S41" i="86"/>
  <c r="U42" i="86"/>
  <c r="W43" i="86"/>
  <c r="S45" i="86"/>
  <c r="U46" i="86"/>
  <c r="W28" i="86"/>
  <c r="S30" i="86"/>
  <c r="U31" i="86"/>
  <c r="W32" i="86"/>
  <c r="S35" i="86"/>
  <c r="U37" i="86"/>
  <c r="W38" i="86"/>
  <c r="S40" i="86"/>
  <c r="U41" i="86"/>
  <c r="W42" i="86"/>
  <c r="S44" i="86"/>
  <c r="U45" i="86"/>
  <c r="W46" i="86"/>
  <c r="S29" i="86"/>
  <c r="U30" i="86"/>
  <c r="W31" i="86"/>
  <c r="S34" i="86"/>
  <c r="U35" i="86"/>
  <c r="W37" i="86"/>
  <c r="S39" i="86"/>
  <c r="U40" i="86"/>
  <c r="W41" i="86"/>
  <c r="S43" i="86"/>
  <c r="U44" i="86"/>
  <c r="W45" i="86"/>
  <c r="C102" i="86"/>
  <c r="D42" i="85"/>
  <c r="D124" i="87" l="1"/>
  <c r="D125" i="87" s="1"/>
  <c r="H110" i="87"/>
  <c r="S7" i="86"/>
  <c r="AA7" i="86"/>
  <c r="F102" i="86"/>
  <c r="G103" i="86"/>
  <c r="AC27" i="86"/>
  <c r="W27" i="86"/>
  <c r="E102" i="86"/>
  <c r="O84" i="9"/>
  <c r="N84" i="9"/>
  <c r="M84" i="9"/>
  <c r="L84" i="9"/>
  <c r="AB2" i="80"/>
  <c r="G44" i="85"/>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C25" i="43"/>
  <c r="M24" i="43"/>
  <c r="J24" i="43"/>
  <c r="G24" i="43"/>
  <c r="E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U3" i="43"/>
  <c r="S3" i="43"/>
  <c r="N3" i="43"/>
  <c r="M3" i="43"/>
  <c r="U2" i="43"/>
  <c r="S2" i="43"/>
  <c r="N2" i="43"/>
  <c r="M2" i="43"/>
  <c r="I2" i="43"/>
  <c r="G2" i="43"/>
  <c r="N1" i="43"/>
  <c r="M1" i="43"/>
  <c r="D1" i="43"/>
  <c r="H116" i="85"/>
  <c r="F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E44" i="85"/>
  <c r="C44" i="85"/>
  <c r="H42" i="85"/>
  <c r="F42" i="85"/>
  <c r="H41" i="85"/>
  <c r="F41" i="85"/>
  <c r="H40" i="85"/>
  <c r="F40" i="85"/>
  <c r="H39" i="85"/>
  <c r="F39" i="85"/>
  <c r="H38" i="85"/>
  <c r="F38" i="85"/>
  <c r="H37" i="85"/>
  <c r="F37" i="85"/>
  <c r="Q32" i="85"/>
  <c r="P32" i="85"/>
  <c r="O32" i="85"/>
  <c r="N32" i="85"/>
  <c r="M32" i="85"/>
  <c r="P29" i="85"/>
  <c r="P28" i="85"/>
  <c r="C28" i="85"/>
  <c r="P27" i="85"/>
  <c r="C27" i="85"/>
  <c r="P26" i="85"/>
  <c r="P25" i="85"/>
  <c r="M24" i="85"/>
  <c r="J24" i="85"/>
  <c r="G24" i="85"/>
  <c r="E24" i="85"/>
  <c r="O23" i="85"/>
  <c r="M23" i="85"/>
  <c r="I23" i="85"/>
  <c r="G23" i="85"/>
  <c r="C23" i="85"/>
  <c r="C22" i="85"/>
  <c r="O21" i="85"/>
  <c r="N21" i="85"/>
  <c r="M21" i="85"/>
  <c r="L21" i="85"/>
  <c r="K21" i="85"/>
  <c r="J21" i="85"/>
  <c r="I21" i="85"/>
  <c r="H21" i="85"/>
  <c r="G21" i="85" s="1"/>
  <c r="E21" i="85"/>
  <c r="D21" i="85"/>
  <c r="C21" i="85"/>
  <c r="I18" i="85"/>
  <c r="G18" i="85"/>
  <c r="G17" i="85"/>
  <c r="E17" i="85"/>
  <c r="C17" i="85"/>
  <c r="C13" i="85"/>
  <c r="N12" i="85"/>
  <c r="M12" i="85"/>
  <c r="N11" i="85"/>
  <c r="M11" i="85"/>
  <c r="E11" i="85"/>
  <c r="C11" i="85"/>
  <c r="AJ10" i="85"/>
  <c r="AI10" i="85"/>
  <c r="AH10" i="85"/>
  <c r="AG10" i="85"/>
  <c r="AF10" i="85"/>
  <c r="AE10" i="85"/>
  <c r="AD10" i="85"/>
  <c r="AC10" i="85"/>
  <c r="AB10" i="85"/>
  <c r="AA10" i="85"/>
  <c r="Z10" i="85"/>
  <c r="Y10" i="85"/>
  <c r="N10" i="85"/>
  <c r="M10" i="85"/>
  <c r="E10" i="85"/>
  <c r="C10" i="85"/>
  <c r="AJ9" i="85"/>
  <c r="AI9" i="85"/>
  <c r="AH9" i="85"/>
  <c r="AG9" i="85"/>
  <c r="AF9" i="85"/>
  <c r="AE9" i="85"/>
  <c r="AD9" i="85"/>
  <c r="AC9" i="85"/>
  <c r="AB9" i="85"/>
  <c r="AA9" i="85"/>
  <c r="Z9" i="85"/>
  <c r="N9" i="85"/>
  <c r="M9" i="85"/>
  <c r="E9" i="85"/>
  <c r="C9" i="85"/>
  <c r="N8" i="85"/>
  <c r="M8" i="85"/>
  <c r="E8" i="85"/>
  <c r="X7" i="85"/>
  <c r="N7" i="85"/>
  <c r="M7" i="85"/>
  <c r="C7" i="85"/>
  <c r="S6" i="85"/>
  <c r="N6" i="85"/>
  <c r="M6" i="85"/>
  <c r="C6" i="85"/>
  <c r="S5" i="85"/>
  <c r="N5" i="85"/>
  <c r="M5" i="85"/>
  <c r="S4" i="85"/>
  <c r="N4" i="85"/>
  <c r="M4" i="85"/>
  <c r="S3" i="85"/>
  <c r="N3" i="85"/>
  <c r="M3" i="85"/>
  <c r="S2" i="85"/>
  <c r="N2" i="85"/>
  <c r="M2" i="85"/>
  <c r="I2" i="85"/>
  <c r="G2" i="85"/>
  <c r="N1" i="85"/>
  <c r="M1" i="85"/>
  <c r="D1" i="8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R42" i="40"/>
  <c r="E42"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R47" i="39"/>
  <c r="E47" i="39" s="1"/>
  <c r="P47" i="39"/>
  <c r="K47" i="39"/>
  <c r="G47" i="39"/>
  <c r="G51" i="39" s="1"/>
  <c r="H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I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AC32" i="37"/>
  <c r="AB32" i="37"/>
  <c r="AA32" i="37"/>
  <c r="Z32" i="37"/>
  <c r="W32" i="37"/>
  <c r="U32" i="37"/>
  <c r="S32" i="37"/>
  <c r="Q32" i="37"/>
  <c r="J32" i="37"/>
  <c r="H32" i="37"/>
  <c r="F32" i="37"/>
  <c r="AC31" i="37"/>
  <c r="AB31" i="37"/>
  <c r="AA31" i="37"/>
  <c r="Z31" i="37"/>
  <c r="W31" i="37"/>
  <c r="U31" i="37"/>
  <c r="S31" i="37"/>
  <c r="Q31" i="37"/>
  <c r="J31" i="37"/>
  <c r="H31" i="37"/>
  <c r="F31" i="37"/>
  <c r="AB30" i="37"/>
  <c r="Z30" i="37"/>
  <c r="U30" i="37"/>
  <c r="Q30" i="37"/>
  <c r="J30" i="37"/>
  <c r="AC30" i="37" s="1"/>
  <c r="I30" i="37"/>
  <c r="H30" i="37"/>
  <c r="G30" i="37"/>
  <c r="F30" i="37"/>
  <c r="AA30" i="37" s="1"/>
  <c r="E30" i="37"/>
  <c r="Z29" i="37"/>
  <c r="Q29" i="37"/>
  <c r="J29" i="37"/>
  <c r="AC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I25" i="37"/>
  <c r="H25" i="37"/>
  <c r="G25" i="37"/>
  <c r="F25" i="37"/>
  <c r="E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B8" i="37"/>
  <c r="S8" i="37"/>
  <c r="J8" i="37"/>
  <c r="W8" i="37" s="1"/>
  <c r="H8" i="37"/>
  <c r="U8" i="37" s="1"/>
  <c r="F8" i="37"/>
  <c r="AA8" i="37" s="1"/>
  <c r="AC7" i="37"/>
  <c r="AB7" i="37"/>
  <c r="AA7" i="37"/>
  <c r="W7" i="37"/>
  <c r="U7" i="37"/>
  <c r="S7" i="37"/>
  <c r="J7" i="37"/>
  <c r="H7" i="37"/>
  <c r="F7" i="37"/>
  <c r="C7" i="37"/>
  <c r="I5" i="37"/>
  <c r="G5" i="37"/>
  <c r="E5" i="37"/>
  <c r="C5"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H45" i="33" s="1"/>
  <c r="B126" i="33"/>
  <c r="E125" i="33"/>
  <c r="F125" i="33" s="1"/>
  <c r="G125" i="33" s="1"/>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B90" i="33"/>
  <c r="B88" i="33"/>
  <c r="D87" i="33"/>
  <c r="E87" i="33" s="1"/>
  <c r="D85" i="33"/>
  <c r="E85" i="33" s="1"/>
  <c r="F85" i="33" s="1"/>
  <c r="G85" i="33" s="1"/>
  <c r="D83" i="33"/>
  <c r="E83" i="33" s="1"/>
  <c r="F83" i="33" s="1"/>
  <c r="G83" i="33" s="1"/>
  <c r="D81" i="33"/>
  <c r="E81" i="33" s="1"/>
  <c r="F81" i="33" s="1"/>
  <c r="G81" i="33" s="1"/>
  <c r="D79" i="33"/>
  <c r="E79" i="33" s="1"/>
  <c r="F79" i="33" s="1"/>
  <c r="G79" i="33" s="1"/>
  <c r="D77" i="33"/>
  <c r="E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W45" i="33" s="1"/>
  <c r="Q44" i="33"/>
  <c r="Z44" i="33" s="1"/>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Z36" i="33"/>
  <c r="Q36" i="33"/>
  <c r="Z35" i="33"/>
  <c r="Q35" i="33"/>
  <c r="J35" i="33"/>
  <c r="AC35" i="33" s="1"/>
  <c r="H35" i="33"/>
  <c r="AB35" i="33" s="1"/>
  <c r="F35" i="33"/>
  <c r="AA35" i="33" s="1"/>
  <c r="Z34" i="33"/>
  <c r="Q34" i="33"/>
  <c r="J34" i="33"/>
  <c r="AC34" i="33" s="1"/>
  <c r="H34" i="33"/>
  <c r="AB34" i="33" s="1"/>
  <c r="F34" i="33"/>
  <c r="AA34" i="33" s="1"/>
  <c r="Z33" i="33"/>
  <c r="Q33" i="33"/>
  <c r="Z32" i="33"/>
  <c r="Q32" i="33"/>
  <c r="J32" i="33"/>
  <c r="AC32" i="33" s="1"/>
  <c r="H32" i="33"/>
  <c r="AB32" i="33" s="1"/>
  <c r="F32" i="33"/>
  <c r="AA32" i="33" s="1"/>
  <c r="W31" i="33"/>
  <c r="Q31" i="33"/>
  <c r="Z31" i="33" s="1"/>
  <c r="J31" i="33"/>
  <c r="AC31" i="33" s="1"/>
  <c r="H31" i="33"/>
  <c r="AB31" i="33" s="1"/>
  <c r="F31" i="33"/>
  <c r="AA31" i="33" s="1"/>
  <c r="Q30" i="33"/>
  <c r="Z30" i="33" s="1"/>
  <c r="J30" i="33"/>
  <c r="AC30" i="33" s="1"/>
  <c r="H30" i="33"/>
  <c r="AB30" i="33" s="1"/>
  <c r="F30" i="33"/>
  <c r="AA30" i="33" s="1"/>
  <c r="Q29" i="33"/>
  <c r="Z29" i="33" s="1"/>
  <c r="F29" i="33"/>
  <c r="AA29" i="33" s="1"/>
  <c r="Z28" i="33"/>
  <c r="Q28" i="33"/>
  <c r="J28" i="33"/>
  <c r="AC28" i="33" s="1"/>
  <c r="H28" i="33"/>
  <c r="AB28" i="33" s="1"/>
  <c r="F28" i="33"/>
  <c r="AA28" i="33" s="1"/>
  <c r="Z27" i="33"/>
  <c r="Q27" i="33"/>
  <c r="Z26" i="33"/>
  <c r="Q26" i="33"/>
  <c r="J26" i="33"/>
  <c r="AC26" i="33" s="1"/>
  <c r="H26" i="33"/>
  <c r="AB26" i="33" s="1"/>
  <c r="F26" i="33"/>
  <c r="AA26" i="33" s="1"/>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U8" i="33" s="1"/>
  <c r="F8" i="33"/>
  <c r="AA8" i="33" s="1"/>
  <c r="J7" i="33"/>
  <c r="AC7" i="33" s="1"/>
  <c r="H7" i="33"/>
  <c r="U7" i="33" s="1"/>
  <c r="F7" i="33"/>
  <c r="S7" i="33" s="1"/>
  <c r="C7" i="33"/>
  <c r="D3" i="33"/>
  <c r="C33" i="33" s="1"/>
  <c r="F33" i="33" s="1"/>
  <c r="AA3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51" i="67" s="1"/>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J52" i="15"/>
  <c r="Q51" i="15"/>
  <c r="J50" i="15"/>
  <c r="J49" i="15"/>
  <c r="J51" i="15" s="1"/>
  <c r="M47" i="15"/>
  <c r="D46" i="15"/>
  <c r="F34" i="15"/>
  <c r="F33" i="15"/>
  <c r="F32" i="15"/>
  <c r="F31" i="15"/>
  <c r="F28" i="15"/>
  <c r="C28" i="15"/>
  <c r="D24" i="15"/>
  <c r="F23" i="15"/>
  <c r="D23" i="15"/>
  <c r="D22" i="15"/>
  <c r="F21" i="15"/>
  <c r="M20" i="15"/>
  <c r="F20" i="15"/>
  <c r="M19" i="15"/>
  <c r="M18" i="15"/>
  <c r="F18" i="15"/>
  <c r="M17" i="15"/>
  <c r="F17" i="15"/>
  <c r="F15" i="15"/>
  <c r="P74" i="84"/>
  <c r="Q72" i="84"/>
  <c r="F62" i="84"/>
  <c r="P61" i="84"/>
  <c r="F61" i="84"/>
  <c r="F60" i="84"/>
  <c r="Q59" i="84"/>
  <c r="K59" i="84"/>
  <c r="F59" i="84"/>
  <c r="Q58" i="84"/>
  <c r="J52" i="84"/>
  <c r="Q51" i="84"/>
  <c r="J50" i="84"/>
  <c r="J49" i="84"/>
  <c r="J51" i="84" s="1"/>
  <c r="M47" i="84"/>
  <c r="D46" i="84"/>
  <c r="F34" i="84"/>
  <c r="F33" i="84"/>
  <c r="F32" i="84"/>
  <c r="F31" i="84"/>
  <c r="F28" i="84"/>
  <c r="C28" i="84"/>
  <c r="D24" i="84"/>
  <c r="F23" i="84"/>
  <c r="D23" i="84"/>
  <c r="D22" i="84"/>
  <c r="F21" i="84"/>
  <c r="M20" i="84"/>
  <c r="F20" i="84"/>
  <c r="M19" i="84"/>
  <c r="M18" i="84"/>
  <c r="F18" i="84"/>
  <c r="M17" i="84"/>
  <c r="F17" i="84"/>
  <c r="F15" i="84"/>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0" i="9"/>
  <c r="E111" i="9"/>
  <c r="A126" i="9" s="1"/>
  <c r="A12" i="52" s="1"/>
  <c r="B56" i="72" s="1"/>
  <c r="E109" i="9"/>
  <c r="A124" i="9" s="1"/>
  <c r="A10" i="52" s="1"/>
  <c r="B55" i="72" s="1"/>
  <c r="E107" i="9"/>
  <c r="A122" i="9" s="1"/>
  <c r="A8" i="52" s="1"/>
  <c r="B54" i="72" s="1"/>
  <c r="H106" i="9"/>
  <c r="H105" i="9"/>
  <c r="H104" i="9"/>
  <c r="H103" i="9"/>
  <c r="D120" i="9" s="1"/>
  <c r="D101" i="9"/>
  <c r="C101" i="9"/>
  <c r="D93" i="9"/>
  <c r="E90" i="9"/>
  <c r="D89" i="9"/>
  <c r="D78" i="9"/>
  <c r="H77" i="9"/>
  <c r="D77" i="9"/>
  <c r="C77" i="9" s="1"/>
  <c r="C74" i="9" s="1"/>
  <c r="C76" i="9"/>
  <c r="D68" i="9"/>
  <c r="F59" i="9"/>
  <c r="E59" i="9"/>
  <c r="N55" i="9" s="1"/>
  <c r="D59" i="9"/>
  <c r="M55" i="9" s="1"/>
  <c r="N56" i="9"/>
  <c r="M56" i="9"/>
  <c r="K56" i="9"/>
  <c r="J56" i="9"/>
  <c r="F56" i="9"/>
  <c r="O54" i="9" s="1"/>
  <c r="O55" i="9"/>
  <c r="K55" i="9"/>
  <c r="J55" i="9"/>
  <c r="J57" i="9" s="1"/>
  <c r="J59" i="9" s="1"/>
  <c r="J61" i="9" s="1"/>
  <c r="I55" i="9"/>
  <c r="F55" i="9" s="1"/>
  <c r="O53" i="9" s="1"/>
  <c r="N54" i="9"/>
  <c r="F54" i="9"/>
  <c r="N53" i="9"/>
  <c r="F53" i="9"/>
  <c r="F52" i="9"/>
  <c r="K49" i="9"/>
  <c r="F48" i="9"/>
  <c r="O52" i="9" s="1"/>
  <c r="E48" i="9"/>
  <c r="N52" i="9" s="1"/>
  <c r="M47" i="9"/>
  <c r="F33" i="9"/>
  <c r="D27" i="9"/>
  <c r="C25" i="9"/>
  <c r="C24" i="9"/>
  <c r="M18" i="9"/>
  <c r="B118" i="9" s="1"/>
  <c r="B14" i="74" s="1"/>
  <c r="B1" i="74" s="1"/>
  <c r="D17" i="9"/>
  <c r="C17" i="9"/>
  <c r="L4" i="9"/>
  <c r="K4" i="9"/>
  <c r="H1" i="9"/>
  <c r="F23" i="74"/>
  <c r="E23" i="74"/>
  <c r="F22" i="74"/>
  <c r="E22" i="74"/>
  <c r="F21" i="74"/>
  <c r="E21" i="74"/>
  <c r="F20" i="74"/>
  <c r="E20" i="74"/>
  <c r="F19" i="74"/>
  <c r="E19" i="74"/>
  <c r="F18" i="74"/>
  <c r="E18" i="74"/>
  <c r="F17" i="74"/>
  <c r="E17" i="74"/>
  <c r="F16" i="74"/>
  <c r="E16" i="74"/>
  <c r="F15" i="74"/>
  <c r="E15" i="74"/>
  <c r="J14" i="74"/>
  <c r="B10"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N21" i="1" s="1"/>
  <c r="N6" i="1" s="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Q9" i="1" s="1"/>
  <c r="R9" i="1"/>
  <c r="P9" i="1"/>
  <c r="O9" i="1"/>
  <c r="K9" i="1"/>
  <c r="M9" i="1" s="1"/>
  <c r="G9" i="1"/>
  <c r="F9" i="1"/>
  <c r="E9" i="1"/>
  <c r="D9" i="1"/>
  <c r="B9" i="1"/>
  <c r="A9" i="1"/>
  <c r="AP8" i="1"/>
  <c r="AG8" i="1"/>
  <c r="P8" i="1"/>
  <c r="O8" i="1"/>
  <c r="F8" i="1"/>
  <c r="D8" i="1"/>
  <c r="A8" i="1"/>
  <c r="AP7" i="1"/>
  <c r="AG7" i="1"/>
  <c r="P7" i="1"/>
  <c r="O7" i="1"/>
  <c r="F7" i="1"/>
  <c r="I24" i="43" s="1"/>
  <c r="C24" i="43" s="1"/>
  <c r="D7" i="1"/>
  <c r="G7" i="1" s="1"/>
  <c r="A7" i="1"/>
  <c r="AP6" i="1"/>
  <c r="AG6" i="1"/>
  <c r="P6" i="1"/>
  <c r="O6" i="1"/>
  <c r="F6" i="1"/>
  <c r="I24" i="85" s="1"/>
  <c r="C24" i="85" s="1"/>
  <c r="D6" i="1"/>
  <c r="A6" i="1"/>
  <c r="T4" i="1"/>
  <c r="B2" i="1"/>
  <c r="F36" i="6"/>
  <c r="F35" i="6"/>
  <c r="E32" i="6"/>
  <c r="G30" i="6"/>
  <c r="F30" i="6"/>
  <c r="E30" i="6"/>
  <c r="G29" i="6"/>
  <c r="F29" i="6"/>
  <c r="E29" i="6"/>
  <c r="G28" i="6"/>
  <c r="F28" i="6"/>
  <c r="E28" i="6"/>
  <c r="P27" i="6"/>
  <c r="O27" i="6"/>
  <c r="N27" i="6"/>
  <c r="G27" i="6"/>
  <c r="K84" i="87" s="1"/>
  <c r="C88" i="87" s="1"/>
  <c r="C89" i="87" s="1"/>
  <c r="C87" i="87" s="1"/>
  <c r="P26" i="6"/>
  <c r="L26" i="6"/>
  <c r="E26" i="6"/>
  <c r="P25" i="6"/>
  <c r="L25" i="6"/>
  <c r="E25" i="6"/>
  <c r="P24" i="6"/>
  <c r="L24" i="6"/>
  <c r="E24" i="6"/>
  <c r="P23" i="6"/>
  <c r="L23" i="6"/>
  <c r="E23" i="6"/>
  <c r="P22" i="6"/>
  <c r="L22" i="6"/>
  <c r="E22" i="6"/>
  <c r="P21" i="6"/>
  <c r="L21" i="6"/>
  <c r="E21" i="6"/>
  <c r="M18" i="87" s="1"/>
  <c r="B118" i="87" s="1"/>
  <c r="P20" i="6"/>
  <c r="L20" i="6"/>
  <c r="E20" i="6"/>
  <c r="P19" i="6"/>
  <c r="L19" i="6"/>
  <c r="E19" i="6"/>
  <c r="I7" i="6"/>
  <c r="G3"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A13" i="3" s="1"/>
  <c r="AZ13" i="3" s="1"/>
  <c r="AZ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E8"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S194" i="82"/>
  <c r="H194" i="82"/>
  <c r="F194" i="82"/>
  <c r="AD193" i="82"/>
  <c r="AC193" i="82"/>
  <c r="AB193" i="82"/>
  <c r="AA193" i="82"/>
  <c r="Z193" i="82"/>
  <c r="Y193" i="82"/>
  <c r="X193" i="82"/>
  <c r="W193" i="82"/>
  <c r="V193" i="82"/>
  <c r="U193" i="82"/>
  <c r="R193" i="82"/>
  <c r="N193" i="82"/>
  <c r="M193" i="82"/>
  <c r="AD192" i="82"/>
  <c r="AC192" i="82"/>
  <c r="AB192" i="82"/>
  <c r="AA192" i="82"/>
  <c r="Z192" i="82"/>
  <c r="Y192" i="82"/>
  <c r="X192" i="82"/>
  <c r="W192" i="82"/>
  <c r="V192" i="82"/>
  <c r="U192" i="82"/>
  <c r="R192" i="82"/>
  <c r="N192" i="82"/>
  <c r="M192" i="82"/>
  <c r="AD191" i="82"/>
  <c r="AC191" i="82"/>
  <c r="AB191" i="82"/>
  <c r="AA191" i="82"/>
  <c r="Z191" i="82"/>
  <c r="Y191" i="82"/>
  <c r="X191" i="82"/>
  <c r="W191" i="82"/>
  <c r="V191" i="82"/>
  <c r="U191" i="82"/>
  <c r="R191" i="82"/>
  <c r="N191" i="82"/>
  <c r="M191" i="82"/>
  <c r="AD190" i="82"/>
  <c r="AC190" i="82"/>
  <c r="AB190" i="82"/>
  <c r="AA190" i="82"/>
  <c r="Z190" i="82"/>
  <c r="Y190" i="82"/>
  <c r="X190" i="82"/>
  <c r="W190" i="82"/>
  <c r="V190" i="82"/>
  <c r="U190" i="82"/>
  <c r="R190" i="82"/>
  <c r="N190" i="82"/>
  <c r="M190" i="82"/>
  <c r="N189" i="82"/>
  <c r="M189" i="82"/>
  <c r="H188" i="82"/>
  <c r="F188" i="82"/>
  <c r="V187" i="82"/>
  <c r="U187" i="82"/>
  <c r="R187" i="82"/>
  <c r="N187" i="82"/>
  <c r="M187" i="82"/>
  <c r="X186" i="82"/>
  <c r="W186" i="82"/>
  <c r="V186" i="82"/>
  <c r="R186" i="82"/>
  <c r="N186" i="82"/>
  <c r="M186" i="82"/>
  <c r="R185" i="82"/>
  <c r="N185" i="82"/>
  <c r="M185" i="82"/>
  <c r="R184" i="82"/>
  <c r="N184" i="82"/>
  <c r="M184" i="82"/>
  <c r="V183" i="82"/>
  <c r="U183" i="82"/>
  <c r="R183" i="82"/>
  <c r="N183" i="82"/>
  <c r="M183" i="82"/>
  <c r="J183" i="82"/>
  <c r="V182" i="82"/>
  <c r="U182" i="82"/>
  <c r="R182" i="82"/>
  <c r="N182" i="82"/>
  <c r="M182" i="82"/>
  <c r="J182" i="82"/>
  <c r="V181" i="82"/>
  <c r="U181" i="82"/>
  <c r="R181" i="82"/>
  <c r="N181" i="82"/>
  <c r="M181" i="82"/>
  <c r="V180" i="82"/>
  <c r="U180" i="82"/>
  <c r="R180" i="82"/>
  <c r="N180" i="82"/>
  <c r="M180" i="82"/>
  <c r="V179" i="82"/>
  <c r="U179" i="82"/>
  <c r="R179" i="82"/>
  <c r="N179" i="82"/>
  <c r="M179" i="82"/>
  <c r="R178" i="82"/>
  <c r="N178" i="82"/>
  <c r="M178" i="82"/>
  <c r="R177" i="82"/>
  <c r="N177" i="82"/>
  <c r="M177" i="82"/>
  <c r="R176" i="82"/>
  <c r="N176" i="82"/>
  <c r="M176" i="82"/>
  <c r="R175" i="82"/>
  <c r="N175" i="82"/>
  <c r="M175" i="82"/>
  <c r="J175" i="82"/>
  <c r="R174" i="82"/>
  <c r="N174" i="82"/>
  <c r="M174" i="82"/>
  <c r="J174" i="82"/>
  <c r="R173" i="82"/>
  <c r="N173" i="82"/>
  <c r="M173" i="82"/>
  <c r="J173" i="82"/>
  <c r="V172" i="82"/>
  <c r="U172" i="82"/>
  <c r="R172" i="82"/>
  <c r="N172" i="82"/>
  <c r="M172" i="82"/>
  <c r="J172" i="82"/>
  <c r="V171" i="82"/>
  <c r="U171" i="82"/>
  <c r="R171" i="82"/>
  <c r="N171" i="82"/>
  <c r="M171" i="82"/>
  <c r="J171" i="82"/>
  <c r="V170" i="82"/>
  <c r="U170" i="82"/>
  <c r="R170" i="82"/>
  <c r="N170" i="82"/>
  <c r="M170" i="82"/>
  <c r="J170" i="82"/>
  <c r="V169" i="82"/>
  <c r="U169" i="82"/>
  <c r="R169" i="82"/>
  <c r="N169" i="82"/>
  <c r="M169" i="82"/>
  <c r="J169" i="82"/>
  <c r="V168" i="82"/>
  <c r="U168" i="82"/>
  <c r="R168" i="82"/>
  <c r="N168" i="82"/>
  <c r="M168" i="82"/>
  <c r="J168" i="82"/>
  <c r="V167" i="82"/>
  <c r="U167" i="82"/>
  <c r="R167" i="82"/>
  <c r="N167" i="82"/>
  <c r="M167" i="82"/>
  <c r="V166" i="82"/>
  <c r="U166" i="82"/>
  <c r="R166" i="82"/>
  <c r="N166" i="82"/>
  <c r="M166" i="82"/>
  <c r="V165" i="82"/>
  <c r="U165" i="82"/>
  <c r="R165" i="82"/>
  <c r="N165" i="82"/>
  <c r="M165" i="82"/>
  <c r="R164" i="82"/>
  <c r="N164" i="82"/>
  <c r="M164" i="82"/>
  <c r="Z163" i="82"/>
  <c r="Y163" i="82"/>
  <c r="X163" i="82"/>
  <c r="W163" i="82"/>
  <c r="V163" i="82"/>
  <c r="U163" i="82"/>
  <c r="R163" i="82"/>
  <c r="N163" i="82"/>
  <c r="M163" i="82"/>
  <c r="Z162" i="82"/>
  <c r="Y162" i="82"/>
  <c r="X162" i="82"/>
  <c r="W162" i="82"/>
  <c r="V162" i="82"/>
  <c r="U162" i="82"/>
  <c r="R162" i="82"/>
  <c r="N162" i="82"/>
  <c r="M162" i="82"/>
  <c r="R161" i="82"/>
  <c r="N161" i="82"/>
  <c r="M161" i="82"/>
  <c r="V160" i="82"/>
  <c r="U160" i="82"/>
  <c r="R160" i="82"/>
  <c r="N160" i="82"/>
  <c r="M160" i="82"/>
  <c r="J160" i="82"/>
  <c r="H159" i="82"/>
  <c r="F159" i="82"/>
  <c r="N158" i="82"/>
  <c r="M158" i="82"/>
  <c r="H157" i="82"/>
  <c r="F157" i="82"/>
  <c r="H156" i="82"/>
  <c r="F156" i="82"/>
  <c r="R155" i="82"/>
  <c r="N155" i="82"/>
  <c r="M155" i="82"/>
  <c r="H153" i="82"/>
  <c r="F153" i="82"/>
  <c r="X152" i="82"/>
  <c r="W152" i="82"/>
  <c r="V152" i="82"/>
  <c r="R152" i="82"/>
  <c r="N152" i="82"/>
  <c r="M152" i="82"/>
  <c r="X151" i="82"/>
  <c r="W151" i="82"/>
  <c r="V151" i="82"/>
  <c r="R151" i="82"/>
  <c r="N151" i="82"/>
  <c r="M151" i="82"/>
  <c r="V150" i="82"/>
  <c r="U150" i="82"/>
  <c r="R150" i="82"/>
  <c r="N150" i="82"/>
  <c r="M150" i="82"/>
  <c r="V149" i="82"/>
  <c r="U149" i="82"/>
  <c r="R149" i="82"/>
  <c r="N149" i="82"/>
  <c r="M149" i="82"/>
  <c r="V148" i="82"/>
  <c r="U148" i="82"/>
  <c r="R148" i="82"/>
  <c r="N148" i="82"/>
  <c r="M148" i="82"/>
  <c r="V147" i="82"/>
  <c r="U147" i="82"/>
  <c r="R147" i="82"/>
  <c r="N147" i="82"/>
  <c r="M147" i="82"/>
  <c r="X146" i="82"/>
  <c r="W146" i="82"/>
  <c r="V146" i="82"/>
  <c r="R146" i="82"/>
  <c r="N146" i="82"/>
  <c r="M146" i="82"/>
  <c r="X145" i="82"/>
  <c r="W145" i="82"/>
  <c r="V145" i="82"/>
  <c r="R145" i="82"/>
  <c r="N145" i="82"/>
  <c r="M145" i="82"/>
  <c r="V144" i="82"/>
  <c r="U144" i="82"/>
  <c r="R144" i="82"/>
  <c r="N144" i="82"/>
  <c r="M144" i="82"/>
  <c r="V143" i="82"/>
  <c r="U143" i="82"/>
  <c r="R143" i="82"/>
  <c r="N143" i="82"/>
  <c r="M143" i="82"/>
  <c r="V142" i="82"/>
  <c r="U142" i="82"/>
  <c r="R142" i="82"/>
  <c r="N142" i="82"/>
  <c r="M142" i="82"/>
  <c r="Z141" i="82"/>
  <c r="Y141" i="82"/>
  <c r="X141" i="82"/>
  <c r="W141" i="82"/>
  <c r="V141" i="82"/>
  <c r="U141" i="82"/>
  <c r="R141" i="82"/>
  <c r="N141" i="82"/>
  <c r="M141" i="82"/>
  <c r="H140" i="82"/>
  <c r="F140" i="82"/>
  <c r="H139" i="82"/>
  <c r="F139" i="82"/>
  <c r="V138" i="82"/>
  <c r="U138" i="82"/>
  <c r="R138" i="82"/>
  <c r="N138" i="82"/>
  <c r="M138" i="82"/>
  <c r="V137" i="82"/>
  <c r="U137" i="82"/>
  <c r="R137" i="82"/>
  <c r="N137" i="82"/>
  <c r="M137" i="82"/>
  <c r="H136" i="82"/>
  <c r="F136" i="82"/>
  <c r="R135" i="82"/>
  <c r="N135" i="82"/>
  <c r="M135" i="82"/>
  <c r="H135" i="82"/>
  <c r="F135" i="82"/>
  <c r="H134" i="82"/>
  <c r="F134" i="82"/>
  <c r="N133" i="82"/>
  <c r="M133" i="82"/>
  <c r="H133" i="82"/>
  <c r="F133" i="82"/>
  <c r="F130" i="82"/>
  <c r="H129" i="82"/>
  <c r="F129" i="82"/>
  <c r="V127" i="82"/>
  <c r="U127" i="82"/>
  <c r="R127" i="82"/>
  <c r="N127" i="82"/>
  <c r="M127" i="82"/>
  <c r="V126" i="82"/>
  <c r="U126" i="82"/>
  <c r="R126" i="82"/>
  <c r="N126" i="82"/>
  <c r="M126" i="82"/>
  <c r="V125" i="82"/>
  <c r="U125" i="82"/>
  <c r="R125" i="82"/>
  <c r="N125" i="82"/>
  <c r="M125" i="82"/>
  <c r="V124" i="82"/>
  <c r="U124" i="82"/>
  <c r="R124" i="82"/>
  <c r="N124" i="82"/>
  <c r="M124" i="82"/>
  <c r="V123" i="82"/>
  <c r="U123" i="82"/>
  <c r="R123" i="82"/>
  <c r="N123" i="82"/>
  <c r="M123" i="82"/>
  <c r="V122" i="82"/>
  <c r="U122" i="82"/>
  <c r="R122" i="82"/>
  <c r="N122" i="82"/>
  <c r="M122" i="82"/>
  <c r="X121" i="82"/>
  <c r="W121" i="82"/>
  <c r="V121" i="82"/>
  <c r="U121" i="82"/>
  <c r="R121" i="82"/>
  <c r="N121" i="82"/>
  <c r="M121" i="82"/>
  <c r="X120" i="82"/>
  <c r="W120" i="82"/>
  <c r="V120" i="82"/>
  <c r="U120" i="82"/>
  <c r="R120" i="82"/>
  <c r="N120" i="82"/>
  <c r="M120" i="82"/>
  <c r="X119" i="82"/>
  <c r="W119" i="82"/>
  <c r="V119" i="82"/>
  <c r="U119" i="82"/>
  <c r="R119" i="82"/>
  <c r="N119" i="82"/>
  <c r="M119" i="82"/>
  <c r="X118" i="82"/>
  <c r="W118" i="82"/>
  <c r="V118" i="82"/>
  <c r="U118" i="82"/>
  <c r="R118" i="82"/>
  <c r="N118" i="82"/>
  <c r="M118" i="82"/>
  <c r="AF117" i="82"/>
  <c r="AE117" i="82"/>
  <c r="AD117" i="82"/>
  <c r="AC117" i="82"/>
  <c r="AB117" i="82"/>
  <c r="AA117" i="82"/>
  <c r="Z117" i="82"/>
  <c r="Y117" i="82"/>
  <c r="X117" i="82"/>
  <c r="W117" i="82"/>
  <c r="V117" i="82"/>
  <c r="U117" i="82"/>
  <c r="R117" i="82"/>
  <c r="N117" i="82"/>
  <c r="M117" i="82"/>
  <c r="AF116" i="82"/>
  <c r="AE116" i="82"/>
  <c r="AD116" i="82"/>
  <c r="AC116" i="82"/>
  <c r="AB116" i="82"/>
  <c r="AA116" i="82"/>
  <c r="Z116" i="82"/>
  <c r="Y116" i="82"/>
  <c r="X116" i="82"/>
  <c r="W116" i="82"/>
  <c r="V116" i="82"/>
  <c r="U116" i="82"/>
  <c r="R116" i="82"/>
  <c r="N116" i="82"/>
  <c r="M116" i="82"/>
  <c r="AF115" i="82"/>
  <c r="AE115" i="82"/>
  <c r="AD115" i="82"/>
  <c r="AC115" i="82"/>
  <c r="AB115" i="82"/>
  <c r="AA115" i="82"/>
  <c r="Z115" i="82"/>
  <c r="Y115" i="82"/>
  <c r="X115" i="82"/>
  <c r="W115" i="82"/>
  <c r="V115" i="82"/>
  <c r="U115" i="82"/>
  <c r="R115" i="82"/>
  <c r="N115" i="82"/>
  <c r="M115" i="82"/>
  <c r="AF114" i="82"/>
  <c r="AE114" i="82"/>
  <c r="AD114" i="82"/>
  <c r="AC114" i="82"/>
  <c r="AB114" i="82"/>
  <c r="AA114" i="82"/>
  <c r="Z114" i="82"/>
  <c r="Y114" i="82"/>
  <c r="X114" i="82"/>
  <c r="W114" i="82"/>
  <c r="V114" i="82"/>
  <c r="U114" i="82"/>
  <c r="R114" i="82"/>
  <c r="N114" i="82"/>
  <c r="M114" i="82"/>
  <c r="AF113" i="82"/>
  <c r="AE113" i="82"/>
  <c r="AD113" i="82"/>
  <c r="AC113" i="82"/>
  <c r="AB113" i="82"/>
  <c r="AA113" i="82"/>
  <c r="Z113" i="82"/>
  <c r="Y113" i="82"/>
  <c r="X113" i="82"/>
  <c r="W113" i="82"/>
  <c r="V113" i="82"/>
  <c r="U113" i="82"/>
  <c r="R113" i="82"/>
  <c r="N113" i="82"/>
  <c r="M113" i="82"/>
  <c r="V112" i="82"/>
  <c r="U112" i="82"/>
  <c r="N112" i="82"/>
  <c r="M112" i="82"/>
  <c r="AF111" i="82"/>
  <c r="AE111" i="82"/>
  <c r="AD111" i="82"/>
  <c r="AC111" i="82"/>
  <c r="AB111" i="82"/>
  <c r="AA111" i="82"/>
  <c r="Z111" i="82"/>
  <c r="Y111" i="82"/>
  <c r="X111" i="82"/>
  <c r="W111" i="82"/>
  <c r="V111" i="82"/>
  <c r="U111" i="82"/>
  <c r="R111" i="82"/>
  <c r="N111" i="82"/>
  <c r="M111" i="82"/>
  <c r="AF110" i="82"/>
  <c r="AE110" i="82"/>
  <c r="AD110" i="82"/>
  <c r="AC110" i="82"/>
  <c r="AB110" i="82"/>
  <c r="AA110" i="82"/>
  <c r="Z110" i="82"/>
  <c r="Y110" i="82"/>
  <c r="X110" i="82"/>
  <c r="W110" i="82"/>
  <c r="V110" i="82"/>
  <c r="U110" i="82"/>
  <c r="R110" i="82"/>
  <c r="N110" i="82"/>
  <c r="M110" i="82"/>
  <c r="AF109" i="82"/>
  <c r="AE109" i="82"/>
  <c r="AD109" i="82"/>
  <c r="AC109" i="82"/>
  <c r="AB109" i="82"/>
  <c r="AA109" i="82"/>
  <c r="Z109" i="82"/>
  <c r="Y109" i="82"/>
  <c r="X109" i="82"/>
  <c r="W109" i="82"/>
  <c r="V109" i="82"/>
  <c r="U109" i="82"/>
  <c r="R109" i="82"/>
  <c r="N109" i="82"/>
  <c r="M109" i="82"/>
  <c r="AF108" i="82"/>
  <c r="AE108" i="82"/>
  <c r="AD108" i="82"/>
  <c r="AC108" i="82"/>
  <c r="AB108" i="82"/>
  <c r="AA108" i="82"/>
  <c r="Z108" i="82"/>
  <c r="Y108" i="82"/>
  <c r="X108" i="82"/>
  <c r="W108" i="82"/>
  <c r="V108" i="82"/>
  <c r="U108" i="82"/>
  <c r="R108" i="82"/>
  <c r="N108" i="82"/>
  <c r="M108" i="82"/>
  <c r="AF107" i="82"/>
  <c r="AE107" i="82"/>
  <c r="AD107" i="82"/>
  <c r="AC107" i="82"/>
  <c r="AB107" i="82"/>
  <c r="AA107" i="82"/>
  <c r="Z107" i="82"/>
  <c r="Y107" i="82"/>
  <c r="X107" i="82"/>
  <c r="W107" i="82"/>
  <c r="V107" i="82"/>
  <c r="U107" i="82"/>
  <c r="R107" i="82"/>
  <c r="N107" i="82"/>
  <c r="M107" i="82"/>
  <c r="AF106" i="82"/>
  <c r="AE106" i="82"/>
  <c r="AD106" i="82"/>
  <c r="AC106" i="82"/>
  <c r="AB106" i="82"/>
  <c r="AA106" i="82"/>
  <c r="Z106" i="82"/>
  <c r="Y106" i="82"/>
  <c r="X106" i="82"/>
  <c r="W106" i="82"/>
  <c r="V106" i="82"/>
  <c r="U106" i="82"/>
  <c r="R106" i="82"/>
  <c r="N106" i="82"/>
  <c r="M106" i="82"/>
  <c r="AF105" i="82"/>
  <c r="AE105" i="82"/>
  <c r="AD105" i="82"/>
  <c r="AC105" i="82"/>
  <c r="AB105" i="82"/>
  <c r="AA105" i="82"/>
  <c r="Z105" i="82"/>
  <c r="Y105" i="82"/>
  <c r="X105" i="82"/>
  <c r="W105" i="82"/>
  <c r="V105" i="82"/>
  <c r="U105" i="82"/>
  <c r="R105" i="82"/>
  <c r="N105" i="82"/>
  <c r="M105" i="82"/>
  <c r="N104" i="82"/>
  <c r="M104" i="82"/>
  <c r="X103" i="82"/>
  <c r="W103" i="82"/>
  <c r="V103" i="82"/>
  <c r="U103" i="82"/>
  <c r="R103" i="82"/>
  <c r="N103" i="82"/>
  <c r="M103" i="82"/>
  <c r="X102" i="82"/>
  <c r="W102" i="82"/>
  <c r="V102" i="82"/>
  <c r="U102" i="82"/>
  <c r="R102" i="82"/>
  <c r="N102" i="82"/>
  <c r="M102" i="82"/>
  <c r="X101" i="82"/>
  <c r="W101" i="82"/>
  <c r="V101" i="82"/>
  <c r="U101" i="82"/>
  <c r="R101" i="82"/>
  <c r="N101" i="82"/>
  <c r="M101" i="82"/>
  <c r="AF100" i="82"/>
  <c r="AE100" i="82"/>
  <c r="AD100" i="82"/>
  <c r="AC100" i="82"/>
  <c r="AB100" i="82"/>
  <c r="AA100" i="82"/>
  <c r="Z100" i="82"/>
  <c r="Y100" i="82"/>
  <c r="X100" i="82"/>
  <c r="W100" i="82"/>
  <c r="V100" i="82"/>
  <c r="U100" i="82"/>
  <c r="R100" i="82"/>
  <c r="N100" i="82"/>
  <c r="M100" i="82"/>
  <c r="AF99" i="82"/>
  <c r="AE99" i="82"/>
  <c r="AD99" i="82"/>
  <c r="AC99" i="82"/>
  <c r="AB99" i="82"/>
  <c r="AA99" i="82"/>
  <c r="Z99" i="82"/>
  <c r="Y99" i="82"/>
  <c r="X99" i="82"/>
  <c r="W99" i="82"/>
  <c r="V99" i="82"/>
  <c r="U99" i="82"/>
  <c r="R99" i="82"/>
  <c r="N99" i="82"/>
  <c r="M99" i="82"/>
  <c r="AF98" i="82"/>
  <c r="AE98" i="82"/>
  <c r="AD98" i="82"/>
  <c r="AC98" i="82"/>
  <c r="AB98" i="82"/>
  <c r="AA98" i="82"/>
  <c r="Z98" i="82"/>
  <c r="Y98" i="82"/>
  <c r="X98" i="82"/>
  <c r="W98" i="82"/>
  <c r="V98" i="82"/>
  <c r="U98" i="82"/>
  <c r="R98" i="82"/>
  <c r="N98" i="82"/>
  <c r="M98" i="82"/>
  <c r="AF97" i="82"/>
  <c r="AE97" i="82"/>
  <c r="AD97" i="82"/>
  <c r="AC97" i="82"/>
  <c r="AB97" i="82"/>
  <c r="AA97" i="82"/>
  <c r="Z97" i="82"/>
  <c r="Y97" i="82"/>
  <c r="X97" i="82"/>
  <c r="W97" i="82"/>
  <c r="V97" i="82"/>
  <c r="U97" i="82"/>
  <c r="R97" i="82"/>
  <c r="N97" i="82"/>
  <c r="M97" i="82"/>
  <c r="AF96" i="82"/>
  <c r="AE96" i="82"/>
  <c r="AD96" i="82"/>
  <c r="AC96" i="82"/>
  <c r="AB96" i="82"/>
  <c r="AA96" i="82"/>
  <c r="Z96" i="82"/>
  <c r="Y96" i="82"/>
  <c r="X96" i="82"/>
  <c r="W96" i="82"/>
  <c r="V96" i="82"/>
  <c r="U96" i="82"/>
  <c r="R96" i="82"/>
  <c r="N96" i="82"/>
  <c r="M96" i="82"/>
  <c r="AF95" i="82"/>
  <c r="AE95" i="82"/>
  <c r="AD95" i="82"/>
  <c r="AC95" i="82"/>
  <c r="AB95" i="82"/>
  <c r="AA95" i="82"/>
  <c r="Z95" i="82"/>
  <c r="Y95" i="82"/>
  <c r="X95" i="82"/>
  <c r="W95" i="82"/>
  <c r="V95" i="82"/>
  <c r="U95" i="82"/>
  <c r="R95" i="82"/>
  <c r="N95" i="82"/>
  <c r="M95" i="82"/>
  <c r="AF94" i="82"/>
  <c r="AE94" i="82"/>
  <c r="AD94" i="82"/>
  <c r="AC94" i="82"/>
  <c r="AB94" i="82"/>
  <c r="AA94" i="82"/>
  <c r="Z94" i="82"/>
  <c r="Y94" i="82"/>
  <c r="X94" i="82"/>
  <c r="W94" i="82"/>
  <c r="V94" i="82"/>
  <c r="U94" i="82"/>
  <c r="R94" i="82"/>
  <c r="N94" i="82"/>
  <c r="M94" i="82"/>
  <c r="AF93" i="82"/>
  <c r="AE93" i="82"/>
  <c r="AD93" i="82"/>
  <c r="AC93" i="82"/>
  <c r="AB93" i="82"/>
  <c r="AA93" i="82"/>
  <c r="Z93" i="82"/>
  <c r="Y93" i="82"/>
  <c r="X93" i="82"/>
  <c r="W93" i="82"/>
  <c r="V93" i="82"/>
  <c r="U93" i="82"/>
  <c r="R93" i="82"/>
  <c r="N93" i="82"/>
  <c r="M93" i="82"/>
  <c r="AF92" i="82"/>
  <c r="AE92" i="82"/>
  <c r="AD92" i="82"/>
  <c r="AC92" i="82"/>
  <c r="AB92" i="82"/>
  <c r="AA92" i="82"/>
  <c r="Z92" i="82"/>
  <c r="Y92" i="82"/>
  <c r="X92" i="82"/>
  <c r="W92" i="82"/>
  <c r="V92" i="82"/>
  <c r="U92" i="82"/>
  <c r="R92" i="82"/>
  <c r="N92" i="82"/>
  <c r="M92" i="82"/>
  <c r="AF91" i="82"/>
  <c r="AE91" i="82"/>
  <c r="AD91" i="82"/>
  <c r="AC91" i="82"/>
  <c r="AB91" i="82"/>
  <c r="AA91" i="82"/>
  <c r="Z91" i="82"/>
  <c r="Y91" i="82"/>
  <c r="X91" i="82"/>
  <c r="W91" i="82"/>
  <c r="V91" i="82"/>
  <c r="U91" i="82"/>
  <c r="R91" i="82"/>
  <c r="N91" i="82"/>
  <c r="M91" i="82"/>
  <c r="AF90" i="82"/>
  <c r="AE90" i="82"/>
  <c r="AD90" i="82"/>
  <c r="AC90" i="82"/>
  <c r="AB90" i="82"/>
  <c r="AA90" i="82"/>
  <c r="Z90" i="82"/>
  <c r="Y90" i="82"/>
  <c r="X90" i="82"/>
  <c r="W90" i="82"/>
  <c r="V90" i="82"/>
  <c r="U90" i="82"/>
  <c r="R90" i="82"/>
  <c r="N90" i="82"/>
  <c r="M90" i="82"/>
  <c r="AF89" i="82"/>
  <c r="AE89" i="82"/>
  <c r="AD89" i="82"/>
  <c r="AC89" i="82"/>
  <c r="AB89" i="82"/>
  <c r="AA89" i="82"/>
  <c r="Z89" i="82"/>
  <c r="Y89" i="82"/>
  <c r="X89" i="82"/>
  <c r="W89" i="82"/>
  <c r="V89" i="82"/>
  <c r="U89" i="82"/>
  <c r="R89" i="82"/>
  <c r="N89" i="82"/>
  <c r="M89" i="82"/>
  <c r="AF88" i="82"/>
  <c r="AE88" i="82"/>
  <c r="AD88" i="82"/>
  <c r="AC88" i="82"/>
  <c r="AB88" i="82"/>
  <c r="AA88" i="82"/>
  <c r="Z88" i="82"/>
  <c r="Y88" i="82"/>
  <c r="X88" i="82"/>
  <c r="W88" i="82"/>
  <c r="V88" i="82"/>
  <c r="U88" i="82"/>
  <c r="R88" i="82"/>
  <c r="N88" i="82"/>
  <c r="M88" i="82"/>
  <c r="AF87" i="82"/>
  <c r="AE87" i="82"/>
  <c r="AD87" i="82"/>
  <c r="AC87" i="82"/>
  <c r="AB87" i="82"/>
  <c r="AA87" i="82"/>
  <c r="Z87" i="82"/>
  <c r="Y87" i="82"/>
  <c r="X87" i="82"/>
  <c r="W87" i="82"/>
  <c r="V87" i="82"/>
  <c r="U87" i="82"/>
  <c r="R87" i="82"/>
  <c r="N87" i="82"/>
  <c r="M87" i="82"/>
  <c r="AF86" i="82"/>
  <c r="AE86" i="82"/>
  <c r="AD86" i="82"/>
  <c r="AC86" i="82"/>
  <c r="AB86" i="82"/>
  <c r="AA86" i="82"/>
  <c r="Z86" i="82"/>
  <c r="Y86" i="82"/>
  <c r="X86" i="82"/>
  <c r="W86" i="82"/>
  <c r="V86" i="82"/>
  <c r="U86" i="82"/>
  <c r="AF85" i="82"/>
  <c r="AE85" i="82"/>
  <c r="AD85" i="82"/>
  <c r="AC85" i="82"/>
  <c r="AB85" i="82"/>
  <c r="AA85" i="82"/>
  <c r="Z85" i="82"/>
  <c r="Y85" i="82"/>
  <c r="X85" i="82"/>
  <c r="W85" i="82"/>
  <c r="V85" i="82"/>
  <c r="U85" i="82"/>
  <c r="R85" i="82"/>
  <c r="N85" i="82"/>
  <c r="M85" i="82"/>
  <c r="Z84" i="82"/>
  <c r="Y84" i="82"/>
  <c r="X84" i="82"/>
  <c r="W84" i="82"/>
  <c r="V84" i="82"/>
  <c r="U84" i="82"/>
  <c r="R84" i="82"/>
  <c r="N84" i="82"/>
  <c r="M84" i="82"/>
  <c r="Z83" i="82"/>
  <c r="Y83" i="82"/>
  <c r="X83" i="82"/>
  <c r="W83" i="82"/>
  <c r="V83" i="82"/>
  <c r="U83" i="82"/>
  <c r="R83" i="82"/>
  <c r="N83" i="82"/>
  <c r="M83" i="82"/>
  <c r="Z82" i="82"/>
  <c r="Y82" i="82"/>
  <c r="X82" i="82"/>
  <c r="W82" i="82"/>
  <c r="V82" i="82"/>
  <c r="U82" i="82"/>
  <c r="R82" i="82"/>
  <c r="N82" i="82"/>
  <c r="M82" i="82"/>
  <c r="Z81" i="82"/>
  <c r="Y81" i="82"/>
  <c r="X81" i="82"/>
  <c r="W81" i="82"/>
  <c r="V81" i="82"/>
  <c r="U81" i="82"/>
  <c r="R81" i="82"/>
  <c r="N81" i="82"/>
  <c r="M81" i="82"/>
  <c r="Z80" i="82"/>
  <c r="Y80" i="82"/>
  <c r="X80" i="82"/>
  <c r="W80" i="82"/>
  <c r="V80" i="82"/>
  <c r="U80" i="82"/>
  <c r="R80" i="82"/>
  <c r="N80" i="82"/>
  <c r="M80" i="82"/>
  <c r="Z79" i="82"/>
  <c r="Y79" i="82"/>
  <c r="X79" i="82"/>
  <c r="W79" i="82"/>
  <c r="V79" i="82"/>
  <c r="U79" i="82"/>
  <c r="R79" i="82"/>
  <c r="N79" i="82"/>
  <c r="M79" i="82"/>
  <c r="AF78" i="82"/>
  <c r="AE78" i="82"/>
  <c r="AD78" i="82"/>
  <c r="AC78" i="82"/>
  <c r="AB78" i="82"/>
  <c r="AA78" i="82"/>
  <c r="Z78" i="82"/>
  <c r="Y78" i="82"/>
  <c r="X78" i="82"/>
  <c r="W78" i="82"/>
  <c r="V78" i="82"/>
  <c r="U78" i="82"/>
  <c r="R78" i="82"/>
  <c r="N78" i="82"/>
  <c r="M78" i="82"/>
  <c r="AF77" i="82"/>
  <c r="AE77" i="82"/>
  <c r="AD77" i="82"/>
  <c r="AC77" i="82"/>
  <c r="AB77" i="82"/>
  <c r="AA77" i="82"/>
  <c r="Z77" i="82"/>
  <c r="Y77" i="82"/>
  <c r="X77" i="82"/>
  <c r="W77" i="82"/>
  <c r="V77" i="82"/>
  <c r="U77" i="82"/>
  <c r="R77" i="82"/>
  <c r="N77" i="82"/>
  <c r="M77" i="82"/>
  <c r="AN76" i="82"/>
  <c r="AM76" i="82"/>
  <c r="AL76" i="82"/>
  <c r="AK76" i="82"/>
  <c r="AJ76" i="82"/>
  <c r="AI76" i="82"/>
  <c r="AH76" i="82"/>
  <c r="AG76" i="82"/>
  <c r="AF76" i="82"/>
  <c r="AE76" i="82"/>
  <c r="AD76" i="82"/>
  <c r="AC76" i="82"/>
  <c r="AB76" i="82"/>
  <c r="AA76" i="82"/>
  <c r="Z76" i="82"/>
  <c r="Y76" i="82"/>
  <c r="X76" i="82"/>
  <c r="W76" i="82"/>
  <c r="V76" i="82"/>
  <c r="U76" i="82"/>
  <c r="R76" i="82"/>
  <c r="N76" i="82"/>
  <c r="M76" i="82"/>
  <c r="Z75" i="82"/>
  <c r="Y75" i="82"/>
  <c r="X75" i="82"/>
  <c r="W75" i="82"/>
  <c r="V75" i="82"/>
  <c r="U75" i="82"/>
  <c r="R75" i="82"/>
  <c r="N75" i="82"/>
  <c r="M75" i="82"/>
  <c r="Z74" i="82"/>
  <c r="Y74" i="82"/>
  <c r="X74" i="82"/>
  <c r="W74" i="82"/>
  <c r="V74" i="82"/>
  <c r="U74" i="82"/>
  <c r="R74" i="82"/>
  <c r="N74" i="82"/>
  <c r="M74" i="82"/>
  <c r="Z73" i="82"/>
  <c r="Y73" i="82"/>
  <c r="X73" i="82"/>
  <c r="W73" i="82"/>
  <c r="V73" i="82"/>
  <c r="U73" i="82"/>
  <c r="R73" i="82"/>
  <c r="N73" i="82"/>
  <c r="M73" i="82"/>
  <c r="Z72" i="82"/>
  <c r="Y72" i="82"/>
  <c r="X72" i="82"/>
  <c r="W72" i="82"/>
  <c r="V72" i="82"/>
  <c r="U72" i="82"/>
  <c r="R72" i="82"/>
  <c r="N72" i="82"/>
  <c r="M72" i="82"/>
  <c r="Z71" i="82"/>
  <c r="Y71" i="82"/>
  <c r="X71" i="82"/>
  <c r="W71" i="82"/>
  <c r="V71" i="82"/>
  <c r="U71" i="82"/>
  <c r="R71" i="82"/>
  <c r="N71" i="82"/>
  <c r="M71" i="82"/>
  <c r="Z70" i="82"/>
  <c r="Y70" i="82"/>
  <c r="X70" i="82"/>
  <c r="W70" i="82"/>
  <c r="V70" i="82"/>
  <c r="U70" i="82"/>
  <c r="R70" i="82"/>
  <c r="N70" i="82"/>
  <c r="M70" i="82"/>
  <c r="Z69" i="82"/>
  <c r="Y69" i="82"/>
  <c r="X69" i="82"/>
  <c r="W69" i="82"/>
  <c r="V69" i="82"/>
  <c r="U69" i="82"/>
  <c r="R69" i="82"/>
  <c r="N69" i="82"/>
  <c r="M69" i="82"/>
  <c r="Z68" i="82"/>
  <c r="Y68" i="82"/>
  <c r="X68" i="82"/>
  <c r="W68" i="82"/>
  <c r="V68" i="82"/>
  <c r="U68" i="82"/>
  <c r="R68" i="82"/>
  <c r="N68" i="82"/>
  <c r="M68" i="82"/>
  <c r="Z67" i="82"/>
  <c r="Y67" i="82"/>
  <c r="X67" i="82"/>
  <c r="W67" i="82"/>
  <c r="V67" i="82"/>
  <c r="U67" i="82"/>
  <c r="R67" i="82"/>
  <c r="N67" i="82"/>
  <c r="M67" i="82"/>
  <c r="Z66" i="82"/>
  <c r="Y66" i="82"/>
  <c r="X66" i="82"/>
  <c r="W66" i="82"/>
  <c r="V66" i="82"/>
  <c r="U66" i="82"/>
  <c r="R66" i="82"/>
  <c r="N66" i="82"/>
  <c r="M66" i="82"/>
  <c r="AF65" i="82"/>
  <c r="AE65" i="82"/>
  <c r="AD65" i="82"/>
  <c r="AC65" i="82"/>
  <c r="AB65" i="82"/>
  <c r="AA65" i="82"/>
  <c r="Z65" i="82"/>
  <c r="Y65" i="82"/>
  <c r="X65" i="82"/>
  <c r="W65" i="82"/>
  <c r="V65" i="82"/>
  <c r="U65" i="82"/>
  <c r="R65" i="82"/>
  <c r="N65" i="82"/>
  <c r="M65" i="82"/>
  <c r="Z64" i="82"/>
  <c r="Y64" i="82"/>
  <c r="X64" i="82"/>
  <c r="W64" i="82"/>
  <c r="V64" i="82"/>
  <c r="U64" i="82"/>
  <c r="R64" i="82"/>
  <c r="N64" i="82"/>
  <c r="M64" i="82"/>
  <c r="Z63" i="82"/>
  <c r="Y63" i="82"/>
  <c r="X63" i="82"/>
  <c r="W63" i="82"/>
  <c r="V63" i="82"/>
  <c r="U63" i="82"/>
  <c r="R63" i="82"/>
  <c r="N63" i="82"/>
  <c r="M63" i="82"/>
  <c r="AF62" i="82"/>
  <c r="AE62" i="82"/>
  <c r="AD62" i="82"/>
  <c r="AC62" i="82"/>
  <c r="AB62" i="82"/>
  <c r="AA62" i="82"/>
  <c r="Z62" i="82"/>
  <c r="Y62" i="82"/>
  <c r="X62" i="82"/>
  <c r="W62" i="82"/>
  <c r="V62" i="82"/>
  <c r="U62" i="82"/>
  <c r="R62" i="82"/>
  <c r="N62" i="82"/>
  <c r="M62" i="82"/>
  <c r="AF61" i="82"/>
  <c r="AE61" i="82"/>
  <c r="AD61" i="82"/>
  <c r="AC61" i="82"/>
  <c r="AB61" i="82"/>
  <c r="AA61" i="82"/>
  <c r="Z61" i="82"/>
  <c r="Y61" i="82"/>
  <c r="X61" i="82"/>
  <c r="W61" i="82"/>
  <c r="V61" i="82"/>
  <c r="U61" i="82"/>
  <c r="R61" i="82"/>
  <c r="N61" i="82"/>
  <c r="M61" i="82"/>
  <c r="AF60" i="82"/>
  <c r="AE60" i="82"/>
  <c r="AD60" i="82"/>
  <c r="AC60" i="82"/>
  <c r="AB60" i="82"/>
  <c r="AA60" i="82"/>
  <c r="Z60" i="82"/>
  <c r="Y60" i="82"/>
  <c r="X60" i="82"/>
  <c r="W60" i="82"/>
  <c r="V60" i="82"/>
  <c r="U60" i="82"/>
  <c r="R60" i="82"/>
  <c r="N60" i="82"/>
  <c r="M60" i="82"/>
  <c r="AF59" i="82"/>
  <c r="AE59" i="82"/>
  <c r="AD59" i="82"/>
  <c r="AC59" i="82"/>
  <c r="AB59" i="82"/>
  <c r="AA59" i="82"/>
  <c r="Z59" i="82"/>
  <c r="Y59" i="82"/>
  <c r="X59" i="82"/>
  <c r="W59" i="82"/>
  <c r="V59" i="82"/>
  <c r="U59" i="82"/>
  <c r="R59" i="82"/>
  <c r="N59" i="82"/>
  <c r="M59" i="82"/>
  <c r="Z58" i="82"/>
  <c r="Y58" i="82"/>
  <c r="X58" i="82"/>
  <c r="W58" i="82"/>
  <c r="V58" i="82"/>
  <c r="U58" i="82"/>
  <c r="R58" i="82"/>
  <c r="N58" i="82"/>
  <c r="M58" i="82"/>
  <c r="Z57" i="82"/>
  <c r="Y57" i="82"/>
  <c r="X57" i="82"/>
  <c r="W57" i="82"/>
  <c r="V57" i="82"/>
  <c r="U57" i="82"/>
  <c r="R57" i="82"/>
  <c r="N57" i="82"/>
  <c r="M57" i="82"/>
  <c r="Z56" i="82"/>
  <c r="Y56" i="82"/>
  <c r="X56" i="82"/>
  <c r="W56" i="82"/>
  <c r="V56" i="82"/>
  <c r="U56" i="82"/>
  <c r="R56" i="82"/>
  <c r="N56" i="82"/>
  <c r="M56" i="82"/>
  <c r="R55" i="82"/>
  <c r="N55" i="82"/>
  <c r="M55" i="82"/>
  <c r="Z54" i="82"/>
  <c r="Y54" i="82"/>
  <c r="X54" i="82"/>
  <c r="W54" i="82"/>
  <c r="V54" i="82"/>
  <c r="U54" i="82"/>
  <c r="R54" i="82"/>
  <c r="N54" i="82"/>
  <c r="M54" i="82"/>
  <c r="Z53" i="82"/>
  <c r="Y53" i="82"/>
  <c r="X53" i="82"/>
  <c r="W53" i="82"/>
  <c r="V53" i="82"/>
  <c r="U53" i="82"/>
  <c r="N53" i="82"/>
  <c r="M53" i="82"/>
  <c r="Z52" i="82"/>
  <c r="Y52" i="82"/>
  <c r="X52" i="82"/>
  <c r="W52" i="82"/>
  <c r="V52" i="82"/>
  <c r="U52" i="82"/>
  <c r="R52" i="82"/>
  <c r="N52" i="82"/>
  <c r="M52" i="82"/>
  <c r="Z51" i="82"/>
  <c r="Y51" i="82"/>
  <c r="X51" i="82"/>
  <c r="W51" i="82"/>
  <c r="V51" i="82"/>
  <c r="U51" i="82"/>
  <c r="R51" i="82"/>
  <c r="N51" i="82"/>
  <c r="M51" i="82"/>
  <c r="N50" i="82"/>
  <c r="M50" i="82"/>
  <c r="N49" i="82"/>
  <c r="M49" i="82"/>
  <c r="Z48" i="82"/>
  <c r="Y48" i="82"/>
  <c r="X48" i="82"/>
  <c r="W48" i="82"/>
  <c r="V48" i="82"/>
  <c r="U48" i="82"/>
  <c r="R48" i="82"/>
  <c r="N48" i="82"/>
  <c r="M48" i="82"/>
  <c r="Z47" i="82"/>
  <c r="Y47" i="82"/>
  <c r="X47" i="82"/>
  <c r="W47" i="82"/>
  <c r="V47" i="82"/>
  <c r="U47" i="82"/>
  <c r="R47" i="82"/>
  <c r="N47" i="82"/>
  <c r="M47" i="82"/>
  <c r="Z46" i="82"/>
  <c r="Y46" i="82"/>
  <c r="X46" i="82"/>
  <c r="W46" i="82"/>
  <c r="V46" i="82"/>
  <c r="U46" i="82"/>
  <c r="R46" i="82"/>
  <c r="N46" i="82"/>
  <c r="M46" i="82"/>
  <c r="Z45" i="82"/>
  <c r="Y45" i="82"/>
  <c r="X45" i="82"/>
  <c r="W45" i="82"/>
  <c r="V45" i="82"/>
  <c r="U45" i="82"/>
  <c r="R45" i="82"/>
  <c r="N45" i="82"/>
  <c r="M45" i="82"/>
  <c r="Z44" i="82"/>
  <c r="Y44" i="82"/>
  <c r="X44" i="82"/>
  <c r="W44" i="82"/>
  <c r="V44" i="82"/>
  <c r="U44" i="82"/>
  <c r="R44" i="82"/>
  <c r="N44" i="82"/>
  <c r="M44" i="82"/>
  <c r="Z43" i="82"/>
  <c r="Y43" i="82"/>
  <c r="X43" i="82"/>
  <c r="W43" i="82"/>
  <c r="V43" i="82"/>
  <c r="U43" i="82"/>
  <c r="R43" i="82"/>
  <c r="N43" i="82"/>
  <c r="M43" i="82"/>
  <c r="Z42" i="82"/>
  <c r="Y42" i="82"/>
  <c r="X42" i="82"/>
  <c r="W42" i="82"/>
  <c r="V42" i="82"/>
  <c r="U42" i="82"/>
  <c r="R42" i="82"/>
  <c r="N42" i="82"/>
  <c r="M42" i="82"/>
  <c r="AF41" i="82"/>
  <c r="AE41" i="82"/>
  <c r="AD41" i="82"/>
  <c r="AC41" i="82"/>
  <c r="AB41" i="82"/>
  <c r="AA41" i="82"/>
  <c r="Z41" i="82"/>
  <c r="Y41" i="82"/>
  <c r="X41" i="82"/>
  <c r="W41" i="82"/>
  <c r="V41" i="82"/>
  <c r="U41" i="82"/>
  <c r="R41" i="82"/>
  <c r="N41" i="82"/>
  <c r="M41" i="82"/>
  <c r="AF40" i="82"/>
  <c r="AE40" i="82"/>
  <c r="AD40" i="82"/>
  <c r="AC40" i="82"/>
  <c r="AB40" i="82"/>
  <c r="AA40" i="82"/>
  <c r="Z40" i="82"/>
  <c r="Y40" i="82"/>
  <c r="X40" i="82"/>
  <c r="W40" i="82"/>
  <c r="V40" i="82"/>
  <c r="U40" i="82"/>
  <c r="R40" i="82"/>
  <c r="N40" i="82"/>
  <c r="M40" i="82"/>
  <c r="AF39" i="82"/>
  <c r="AE39" i="82"/>
  <c r="AD39" i="82"/>
  <c r="AC39" i="82"/>
  <c r="AB39" i="82"/>
  <c r="AA39" i="82"/>
  <c r="Z39" i="82"/>
  <c r="Y39" i="82"/>
  <c r="X39" i="82"/>
  <c r="W39" i="82"/>
  <c r="V39" i="82"/>
  <c r="U39" i="82"/>
  <c r="R39" i="82"/>
  <c r="N39" i="82"/>
  <c r="M39" i="82"/>
  <c r="H38" i="82"/>
  <c r="F38" i="82"/>
  <c r="Z37" i="82"/>
  <c r="Y37" i="82"/>
  <c r="X37" i="82"/>
  <c r="W37" i="82"/>
  <c r="V37" i="82"/>
  <c r="U37" i="82"/>
  <c r="R37" i="82"/>
  <c r="N37" i="82"/>
  <c r="M37" i="82"/>
  <c r="Z36" i="82"/>
  <c r="Y36" i="82"/>
  <c r="X36" i="82"/>
  <c r="W36" i="82"/>
  <c r="V36" i="82"/>
  <c r="U36" i="82"/>
  <c r="R36" i="82"/>
  <c r="N36" i="82"/>
  <c r="M36" i="82"/>
  <c r="Z35" i="82"/>
  <c r="Y35" i="82"/>
  <c r="X35" i="82"/>
  <c r="W35" i="82"/>
  <c r="V35" i="82"/>
  <c r="U35" i="82"/>
  <c r="R35" i="82"/>
  <c r="N35" i="82"/>
  <c r="M35" i="82"/>
  <c r="R34" i="82"/>
  <c r="H34" i="82"/>
  <c r="F34" i="82"/>
  <c r="Z33" i="82"/>
  <c r="Y33" i="82"/>
  <c r="X33" i="82"/>
  <c r="W33" i="82"/>
  <c r="V33" i="82"/>
  <c r="U33" i="82"/>
  <c r="R33" i="82"/>
  <c r="N33" i="82"/>
  <c r="M33" i="82"/>
  <c r="AB32" i="82"/>
  <c r="AA32" i="82"/>
  <c r="Z32" i="82"/>
  <c r="Y32" i="82"/>
  <c r="X32" i="82"/>
  <c r="W32" i="82"/>
  <c r="V32" i="82"/>
  <c r="U32" i="82"/>
  <c r="R32" i="82"/>
  <c r="AB31" i="82"/>
  <c r="AA31" i="82"/>
  <c r="Z31" i="82"/>
  <c r="Y31" i="82"/>
  <c r="X31" i="82"/>
  <c r="W31" i="82"/>
  <c r="V31" i="82"/>
  <c r="U31" i="82"/>
  <c r="R31" i="82"/>
  <c r="Z30" i="82"/>
  <c r="Y30" i="82"/>
  <c r="X30" i="82"/>
  <c r="W30" i="82"/>
  <c r="V30" i="82"/>
  <c r="U30" i="82"/>
  <c r="R30" i="82"/>
  <c r="N30" i="82"/>
  <c r="M30" i="82"/>
  <c r="Z29" i="82"/>
  <c r="Y29" i="82"/>
  <c r="X29" i="82"/>
  <c r="W29" i="82"/>
  <c r="V29" i="82"/>
  <c r="U29" i="82"/>
  <c r="R29" i="82"/>
  <c r="N29" i="82"/>
  <c r="M29" i="82"/>
  <c r="V28" i="82"/>
  <c r="U28" i="82"/>
  <c r="R28" i="82"/>
  <c r="N28" i="82"/>
  <c r="M28" i="82"/>
  <c r="V27" i="82"/>
  <c r="U27" i="82"/>
  <c r="R27" i="82"/>
  <c r="N27" i="82"/>
  <c r="M27" i="82"/>
  <c r="X26" i="82"/>
  <c r="W26" i="82"/>
  <c r="V26" i="82"/>
  <c r="U26" i="82"/>
  <c r="R26" i="82"/>
  <c r="N26" i="82"/>
  <c r="M26" i="82"/>
  <c r="X25" i="82"/>
  <c r="W25" i="82"/>
  <c r="V25" i="82"/>
  <c r="U25" i="82"/>
  <c r="R25" i="82"/>
  <c r="N25" i="82"/>
  <c r="M25" i="82"/>
  <c r="Z24" i="82"/>
  <c r="Y24" i="82"/>
  <c r="X24" i="82"/>
  <c r="W24" i="82"/>
  <c r="V24" i="82"/>
  <c r="U24" i="82"/>
  <c r="R24" i="82"/>
  <c r="N24" i="82"/>
  <c r="M24" i="82"/>
  <c r="AB23" i="82"/>
  <c r="AA23" i="82"/>
  <c r="Z23" i="82"/>
  <c r="Y23" i="82"/>
  <c r="X23" i="82"/>
  <c r="W23" i="82"/>
  <c r="V23" i="82"/>
  <c r="U23" i="82"/>
  <c r="R23" i="82"/>
  <c r="N23" i="82"/>
  <c r="M23" i="82"/>
  <c r="Z22" i="82"/>
  <c r="Y22" i="82"/>
  <c r="X22" i="82"/>
  <c r="W22" i="82"/>
  <c r="V22" i="82"/>
  <c r="U22" i="82"/>
  <c r="R22" i="82"/>
  <c r="N22" i="82"/>
  <c r="M22" i="82"/>
  <c r="X21" i="82"/>
  <c r="W21" i="82"/>
  <c r="V21" i="82"/>
  <c r="U21" i="82"/>
  <c r="R21" i="82"/>
  <c r="N21" i="82"/>
  <c r="M21" i="82"/>
  <c r="X20" i="82"/>
  <c r="W20" i="82"/>
  <c r="V20" i="82"/>
  <c r="U20" i="82"/>
  <c r="R20" i="82"/>
  <c r="N20" i="82"/>
  <c r="M20" i="82"/>
  <c r="Z19" i="82"/>
  <c r="Y19" i="82"/>
  <c r="X19" i="82"/>
  <c r="W19" i="82"/>
  <c r="V19" i="82"/>
  <c r="U19" i="82"/>
  <c r="R19" i="82"/>
  <c r="N19" i="82"/>
  <c r="M19" i="82"/>
  <c r="V18" i="82"/>
  <c r="U18" i="82"/>
  <c r="R18" i="82"/>
  <c r="N18" i="82"/>
  <c r="M18" i="82"/>
  <c r="V17" i="82"/>
  <c r="U17" i="82"/>
  <c r="R17" i="82"/>
  <c r="N17" i="82"/>
  <c r="M17" i="82"/>
  <c r="H16" i="82"/>
  <c r="F16" i="82"/>
  <c r="H15" i="82"/>
  <c r="F15" i="82"/>
  <c r="V14" i="82"/>
  <c r="U14" i="82"/>
  <c r="R14" i="82"/>
  <c r="N14" i="82"/>
  <c r="M14" i="82"/>
  <c r="AD13" i="82"/>
  <c r="AC13" i="82"/>
  <c r="AB13" i="82"/>
  <c r="AA13" i="82"/>
  <c r="Z13" i="82"/>
  <c r="Y13" i="82"/>
  <c r="X13" i="82"/>
  <c r="W13" i="82"/>
  <c r="V13" i="82"/>
  <c r="R13" i="82"/>
  <c r="N13" i="82"/>
  <c r="M13" i="82"/>
  <c r="J13" i="82"/>
  <c r="N12" i="82"/>
  <c r="M12" i="82"/>
  <c r="R11" i="82"/>
  <c r="N11" i="82"/>
  <c r="M11" i="82"/>
  <c r="F11" i="82"/>
  <c r="V10" i="82"/>
  <c r="U10" i="82"/>
  <c r="N10" i="82"/>
  <c r="M10" i="82"/>
  <c r="V9" i="82"/>
  <c r="U9" i="82"/>
  <c r="N9" i="82"/>
  <c r="M9" i="82"/>
  <c r="V8" i="82"/>
  <c r="U8" i="82"/>
  <c r="N8" i="82"/>
  <c r="M8" i="82"/>
  <c r="V7" i="82"/>
  <c r="U7" i="82"/>
  <c r="N7" i="82"/>
  <c r="M7" i="82"/>
  <c r="V6" i="82"/>
  <c r="U6" i="82"/>
  <c r="N6" i="82"/>
  <c r="M6" i="82"/>
  <c r="V5" i="82"/>
  <c r="U5" i="82"/>
  <c r="N5" i="82"/>
  <c r="M5" i="82"/>
  <c r="V4" i="82"/>
  <c r="U4" i="82"/>
  <c r="N4" i="82"/>
  <c r="M4" i="82"/>
  <c r="V3" i="82"/>
  <c r="U3" i="82"/>
  <c r="N3" i="82"/>
  <c r="M3" i="82"/>
  <c r="V2" i="82"/>
  <c r="U2" i="82"/>
  <c r="N2" i="82"/>
  <c r="M2" i="82"/>
  <c r="B21" i="83"/>
  <c r="B20" i="83"/>
  <c r="B19" i="83"/>
  <c r="B18" i="83"/>
  <c r="B17" i="83"/>
  <c r="G41" i="80"/>
  <c r="E38" i="80"/>
  <c r="D38" i="80"/>
  <c r="G33" i="80"/>
  <c r="G32" i="80"/>
  <c r="T35" i="4"/>
  <c r="R35" i="4"/>
  <c r="Q35" i="4"/>
  <c r="P35" i="4"/>
  <c r="O35" i="4"/>
  <c r="N35" i="4"/>
  <c r="M35" i="4"/>
  <c r="L35" i="4"/>
  <c r="F35" i="4"/>
  <c r="T34" i="4"/>
  <c r="K34" i="4"/>
  <c r="C33" i="4"/>
  <c r="C32" i="4"/>
  <c r="C31" i="4"/>
  <c r="L22" i="4"/>
  <c r="A15" i="62" s="1"/>
  <c r="B61" i="72" s="1"/>
  <c r="L21" i="4"/>
  <c r="L20" i="4"/>
  <c r="F19" i="4"/>
  <c r="I15" i="4"/>
  <c r="H15" i="4"/>
  <c r="G15" i="4"/>
  <c r="F15" i="4"/>
  <c r="E15" i="4"/>
  <c r="D15" i="4"/>
  <c r="C15" i="4"/>
  <c r="H13" i="4"/>
  <c r="F13" i="4"/>
  <c r="K6" i="4"/>
  <c r="I4" i="4"/>
  <c r="G4" i="4"/>
  <c r="K5" i="4" s="1"/>
  <c r="B47" i="48" s="1"/>
  <c r="E4" i="4"/>
  <c r="C4" i="4"/>
  <c r="B4" i="62" s="1"/>
  <c r="B71" i="72" s="1"/>
  <c r="S2" i="4"/>
  <c r="C51" i="10" s="1"/>
  <c r="A13" i="51" s="1"/>
  <c r="B11" i="72" s="1"/>
  <c r="S1" i="4"/>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F15" i="49" s="1"/>
  <c r="H15" i="49" s="1"/>
  <c r="A21" i="62"/>
  <c r="A20" i="62"/>
  <c r="B66" i="72" s="1"/>
  <c r="A19" i="62"/>
  <c r="B65" i="72" s="1"/>
  <c r="A14" i="62"/>
  <c r="A13" i="62"/>
  <c r="A12" i="62"/>
  <c r="B5" i="62"/>
  <c r="B73" i="72" s="1"/>
  <c r="A5" i="62"/>
  <c r="A4" i="62"/>
  <c r="A6" i="52"/>
  <c r="H2" i="52"/>
  <c r="F2" i="52"/>
  <c r="B50" i="72" s="1"/>
  <c r="D2" i="52"/>
  <c r="B46" i="72" s="1"/>
  <c r="A1" i="52"/>
  <c r="B19" i="53"/>
  <c r="B16" i="53"/>
  <c r="B33" i="72" s="1"/>
  <c r="B13" i="53"/>
  <c r="D12" i="53"/>
  <c r="D11" i="53"/>
  <c r="D10" i="53"/>
  <c r="B26" i="72" s="1"/>
  <c r="D8" i="53"/>
  <c r="D9" i="53" s="1"/>
  <c r="B25" i="72" s="1"/>
  <c r="B8" i="53"/>
  <c r="A3" i="53"/>
  <c r="A2" i="53"/>
  <c r="A24" i="51"/>
  <c r="B18" i="72" s="1"/>
  <c r="A22" i="51"/>
  <c r="A21" i="51"/>
  <c r="A20" i="51"/>
  <c r="A19" i="51"/>
  <c r="B14" i="72" s="1"/>
  <c r="A18" i="51"/>
  <c r="A15" i="51"/>
  <c r="A4" i="51"/>
  <c r="B6" i="72" s="1"/>
  <c r="A3" i="51"/>
  <c r="B49" i="48"/>
  <c r="B40" i="48"/>
  <c r="B37" i="48"/>
  <c r="B2" i="72" s="1"/>
  <c r="B74" i="72"/>
  <c r="B72" i="72"/>
  <c r="B70" i="72"/>
  <c r="B69" i="72"/>
  <c r="B68" i="72"/>
  <c r="B67" i="72"/>
  <c r="B63" i="72"/>
  <c r="B62" i="72"/>
  <c r="B60" i="72"/>
  <c r="B59" i="72"/>
  <c r="B58" i="72"/>
  <c r="B57" i="72"/>
  <c r="B44" i="72"/>
  <c r="B42" i="72"/>
  <c r="B37" i="72"/>
  <c r="B29" i="72"/>
  <c r="B28" i="72"/>
  <c r="B27" i="72"/>
  <c r="B24" i="72"/>
  <c r="B23" i="72"/>
  <c r="B19" i="72"/>
  <c r="B17" i="72"/>
  <c r="B16" i="72"/>
  <c r="B15" i="72"/>
  <c r="B13" i="72"/>
  <c r="B12" i="72"/>
  <c r="B10" i="72"/>
  <c r="B8" i="72"/>
  <c r="B5" i="72"/>
  <c r="B3" i="72"/>
  <c r="E6" i="76"/>
  <c r="E7" i="76"/>
  <c r="AO13" i="1"/>
  <c r="E9" i="76"/>
  <c r="D2" i="21"/>
  <c r="B9" i="76"/>
  <c r="B8" i="76"/>
  <c r="E2" i="69"/>
  <c r="E12" i="76"/>
  <c r="F4" i="73"/>
  <c r="F5" i="73"/>
  <c r="D2" i="37"/>
  <c r="D6" i="73"/>
  <c r="B7" i="76"/>
  <c r="AO10" i="1"/>
  <c r="D7" i="73"/>
  <c r="D2" i="33"/>
  <c r="AO11" i="1"/>
  <c r="F7" i="73"/>
  <c r="B11" i="76"/>
  <c r="D5" i="73"/>
  <c r="F20" i="31"/>
  <c r="B10" i="76"/>
  <c r="E10" i="76"/>
  <c r="B13" i="76"/>
  <c r="E2" i="68"/>
  <c r="E11" i="76"/>
  <c r="AO12" i="1"/>
  <c r="E8" i="76"/>
  <c r="D3" i="73"/>
  <c r="D2" i="35"/>
  <c r="F3" i="73"/>
  <c r="B6" i="76"/>
  <c r="D2" i="36"/>
  <c r="F6" i="73"/>
  <c r="E13" i="76"/>
  <c r="D2" i="34"/>
  <c r="B12" i="76"/>
  <c r="D4" i="73"/>
  <c r="AO9" i="1"/>
  <c r="D121" i="9" l="1"/>
  <c r="D7" i="52" s="1"/>
  <c r="D6" i="52"/>
  <c r="K120" i="9"/>
  <c r="A18" i="62" s="1"/>
  <c r="B64" i="72" s="1"/>
  <c r="H109" i="9"/>
  <c r="D16" i="53" s="1"/>
  <c r="D17" i="53" s="1"/>
  <c r="B36" i="72" s="1"/>
  <c r="A2" i="9"/>
  <c r="A118" i="9"/>
  <c r="X8" i="71"/>
  <c r="AB8" i="71"/>
  <c r="Y8" i="71"/>
  <c r="Z8" i="71" s="1"/>
  <c r="A118" i="87"/>
  <c r="A2" i="87"/>
  <c r="A4" i="52"/>
  <c r="B41" i="72" s="1"/>
  <c r="AC8" i="37"/>
  <c r="C18" i="9"/>
  <c r="D18" i="9" s="1"/>
  <c r="W30" i="37"/>
  <c r="S30" i="37"/>
  <c r="S29" i="37"/>
  <c r="U29" i="37"/>
  <c r="W29" i="37"/>
  <c r="G6" i="1"/>
  <c r="G8" i="1"/>
  <c r="BC5" i="3"/>
  <c r="E15" i="6" s="1"/>
  <c r="E3" i="6"/>
  <c r="G5" i="3"/>
  <c r="B3" i="3" s="1"/>
  <c r="E56" i="39"/>
  <c r="F27" i="6"/>
  <c r="E51" i="40"/>
  <c r="I6" i="3"/>
  <c r="H5" i="3"/>
  <c r="BA5" i="3"/>
  <c r="H33" i="33"/>
  <c r="AB33" i="33" s="1"/>
  <c r="J33" i="33"/>
  <c r="AC33" i="33" s="1"/>
  <c r="E5" i="6"/>
  <c r="E10" i="6"/>
  <c r="E12" i="6"/>
  <c r="E14" i="6"/>
  <c r="E11" i="6"/>
  <c r="E13" i="6"/>
  <c r="C36" i="86"/>
  <c r="C36" i="33"/>
  <c r="J36" i="33" s="1"/>
  <c r="Y6" i="1"/>
  <c r="B34" i="72"/>
  <c r="H110" i="9"/>
  <c r="D124" i="9"/>
  <c r="G21" i="43"/>
  <c r="C20" i="43" s="1"/>
  <c r="C5" i="43" s="1"/>
  <c r="C33" i="43" s="1"/>
  <c r="E33" i="43" s="1"/>
  <c r="C20" i="85"/>
  <c r="C5" i="85" s="1"/>
  <c r="G102" i="86"/>
  <c r="H103" i="86"/>
  <c r="F111" i="33"/>
  <c r="H36" i="33"/>
  <c r="F27" i="33"/>
  <c r="AA27" i="33" s="1"/>
  <c r="F91" i="33"/>
  <c r="G91" i="33" s="1"/>
  <c r="H91" i="33" s="1"/>
  <c r="I91" i="33" s="1"/>
  <c r="J91" i="33" s="1"/>
  <c r="K91" i="33" s="1"/>
  <c r="L91" i="33" s="1"/>
  <c r="M91" i="33" s="1"/>
  <c r="J27" i="33"/>
  <c r="AC27" i="33" s="1"/>
  <c r="H27" i="33"/>
  <c r="AB27" i="33" s="1"/>
  <c r="J25" i="33"/>
  <c r="AC25" i="33" s="1"/>
  <c r="F87" i="33"/>
  <c r="G87" i="33" s="1"/>
  <c r="H87" i="33" s="1"/>
  <c r="I87" i="33" s="1"/>
  <c r="J87" i="33" s="1"/>
  <c r="K87" i="33" s="1"/>
  <c r="L87" i="33" s="1"/>
  <c r="M87" i="33" s="1"/>
  <c r="H25" i="33"/>
  <c r="AB25" i="33" s="1"/>
  <c r="F25" i="33"/>
  <c r="AA25" i="33" s="1"/>
  <c r="J15" i="33"/>
  <c r="AC15" i="33" s="1"/>
  <c r="F77" i="33"/>
  <c r="G77" i="33" s="1"/>
  <c r="H15" i="33"/>
  <c r="AB15" i="33" s="1"/>
  <c r="F15" i="33"/>
  <c r="AA15" i="33" s="1"/>
  <c r="W43" i="33"/>
  <c r="S43" i="33"/>
  <c r="U43" i="33"/>
  <c r="S38" i="33"/>
  <c r="U38" i="33"/>
  <c r="W38" i="33"/>
  <c r="S41" i="33"/>
  <c r="S40" i="33"/>
  <c r="U41" i="33"/>
  <c r="U40" i="33"/>
  <c r="W41" i="33"/>
  <c r="W40" i="33"/>
  <c r="S28" i="33"/>
  <c r="U28" i="33"/>
  <c r="W28" i="33"/>
  <c r="W26" i="33"/>
  <c r="S26" i="33"/>
  <c r="U26" i="33"/>
  <c r="W23" i="33"/>
  <c r="S23" i="33"/>
  <c r="U23" i="33"/>
  <c r="W21" i="33"/>
  <c r="S21" i="33"/>
  <c r="U21" i="33"/>
  <c r="W19" i="33"/>
  <c r="S19" i="33"/>
  <c r="U19" i="33"/>
  <c r="W17" i="33"/>
  <c r="S17" i="33"/>
  <c r="U17" i="33"/>
  <c r="U12" i="33"/>
  <c r="W13" i="33"/>
  <c r="W12" i="33"/>
  <c r="S14" i="33"/>
  <c r="S13" i="33"/>
  <c r="U14" i="33"/>
  <c r="S12" i="33"/>
  <c r="U13" i="33"/>
  <c r="W14" i="33"/>
  <c r="W9" i="33"/>
  <c r="S9" i="33"/>
  <c r="U9" i="33"/>
  <c r="S8" i="33"/>
  <c r="AB8" i="33"/>
  <c r="AC8" i="33"/>
  <c r="S42" i="33"/>
  <c r="U42" i="33"/>
  <c r="W42" i="33"/>
  <c r="U39" i="33"/>
  <c r="W39" i="33"/>
  <c r="S39" i="33"/>
  <c r="S37" i="33"/>
  <c r="U37" i="33"/>
  <c r="W37" i="33"/>
  <c r="S35" i="33"/>
  <c r="U35" i="33"/>
  <c r="W35" i="33"/>
  <c r="S34" i="33"/>
  <c r="U34" i="33"/>
  <c r="W34" i="33"/>
  <c r="S32" i="33"/>
  <c r="U32" i="33"/>
  <c r="W32" i="33"/>
  <c r="S10" i="33"/>
  <c r="U10" i="33"/>
  <c r="W10" i="33"/>
  <c r="AB45" i="33"/>
  <c r="U45" i="33"/>
  <c r="W44" i="33"/>
  <c r="S46" i="33"/>
  <c r="AC45" i="33"/>
  <c r="F45" i="33"/>
  <c r="U46" i="33"/>
  <c r="U44" i="33"/>
  <c r="S44" i="33"/>
  <c r="W46" i="33"/>
  <c r="AC29" i="33"/>
  <c r="W29" i="33"/>
  <c r="S29" i="33"/>
  <c r="U30" i="33"/>
  <c r="H29" i="33"/>
  <c r="W30" i="33"/>
  <c r="S31" i="33"/>
  <c r="S30" i="33"/>
  <c r="U31" i="33"/>
  <c r="S33" i="33"/>
  <c r="U33" i="33"/>
  <c r="S11" i="33"/>
  <c r="U11" i="33"/>
  <c r="W11" i="33"/>
  <c r="W7" i="33"/>
  <c r="AB7" i="33"/>
  <c r="AA7" i="33"/>
  <c r="B8" i="1"/>
  <c r="E8" i="1" s="1"/>
  <c r="K8" i="1"/>
  <c r="M8" i="1" s="1"/>
  <c r="G31" i="6"/>
  <c r="L29" i="1" s="1"/>
  <c r="N29" i="1" s="1"/>
  <c r="F31" i="6"/>
  <c r="B3" i="35"/>
  <c r="J84" i="9"/>
  <c r="C88" i="9" s="1"/>
  <c r="AR9" i="1"/>
  <c r="AR13" i="1"/>
  <c r="B7" i="1"/>
  <c r="E7" i="1" s="1"/>
  <c r="K1" i="12"/>
  <c r="K7" i="1"/>
  <c r="AR11" i="1"/>
  <c r="L27" i="6"/>
  <c r="I47" i="40"/>
  <c r="J47" i="40" s="1"/>
  <c r="I46" i="40"/>
  <c r="J46" i="40" s="1"/>
  <c r="E51" i="39"/>
  <c r="F51" i="39" s="1"/>
  <c r="E52" i="39"/>
  <c r="F52" i="39" s="1"/>
  <c r="E46" i="40"/>
  <c r="F46" i="40" s="1"/>
  <c r="E47" i="40"/>
  <c r="F47" i="40" s="1"/>
  <c r="I52" i="39"/>
  <c r="J52" i="39" s="1"/>
  <c r="I51" i="39"/>
  <c r="J51" i="39" s="1"/>
  <c r="B6" i="1"/>
  <c r="E6" i="1" s="1"/>
  <c r="O16" i="1"/>
  <c r="T10" i="1"/>
  <c r="AQ10" i="1"/>
  <c r="T12" i="1"/>
  <c r="AQ12" i="1"/>
  <c r="G1" i="15"/>
  <c r="F3" i="35"/>
  <c r="R48" i="39"/>
  <c r="R43" i="40"/>
  <c r="G1" i="69"/>
  <c r="G1" i="84"/>
  <c r="K6" i="1"/>
  <c r="G1" i="68"/>
  <c r="G1" i="67"/>
  <c r="G52" i="39"/>
  <c r="H52" i="39" s="1"/>
  <c r="G47" i="40"/>
  <c r="H47" i="40" s="1"/>
  <c r="T9" i="1"/>
  <c r="T11" i="1"/>
  <c r="T13" i="1"/>
  <c r="C36" i="69"/>
  <c r="P16" i="1"/>
  <c r="C11" i="12" s="1"/>
  <c r="C15" i="12" s="1"/>
  <c r="B116" i="43"/>
  <c r="F26" i="43"/>
  <c r="N94" i="46"/>
  <c r="J26" i="43"/>
  <c r="E26" i="43"/>
  <c r="N370" i="46"/>
  <c r="H26" i="43"/>
  <c r="Z7" i="43"/>
  <c r="G26" i="43"/>
  <c r="G3" i="85"/>
  <c r="F10" i="49"/>
  <c r="H10" i="49" s="1"/>
  <c r="F4" i="49"/>
  <c r="H4" i="49" s="1"/>
  <c r="F12" i="49"/>
  <c r="H12" i="49" s="1"/>
  <c r="F6" i="49"/>
  <c r="H6" i="49" s="1"/>
  <c r="F14" i="49"/>
  <c r="H14" i="49" s="1"/>
  <c r="F8" i="49"/>
  <c r="H8" i="49" s="1"/>
  <c r="F7" i="49"/>
  <c r="H7" i="49" s="1"/>
  <c r="F11" i="49"/>
  <c r="H11" i="49" s="1"/>
  <c r="F5" i="49"/>
  <c r="H5" i="49" s="1"/>
  <c r="F9" i="49"/>
  <c r="H9" i="49" s="1"/>
  <c r="F13" i="49"/>
  <c r="H13" i="49" s="1"/>
  <c r="B10" i="70"/>
  <c r="B9" i="70"/>
  <c r="B13" i="70"/>
  <c r="B12" i="70"/>
  <c r="B11" i="70"/>
  <c r="M3" i="35"/>
  <c r="B2" i="76"/>
  <c r="I1" i="73"/>
  <c r="B39" i="1" s="1"/>
  <c r="E2" i="76"/>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F8" i="84"/>
  <c r="L48" i="67"/>
  <c r="F38" i="67"/>
  <c r="M28" i="67"/>
  <c r="F42" i="67"/>
  <c r="F7" i="67"/>
  <c r="F36" i="15"/>
  <c r="F42" i="84"/>
  <c r="M6" i="67"/>
  <c r="F16" i="15"/>
  <c r="C76" i="15"/>
  <c r="J15" i="67"/>
  <c r="M23" i="84"/>
  <c r="M22" i="67"/>
  <c r="G1" i="73"/>
  <c r="C36" i="68"/>
  <c r="F13" i="15"/>
  <c r="M24" i="84"/>
  <c r="M26" i="84"/>
  <c r="F13" i="67"/>
  <c r="F26" i="67"/>
  <c r="M29" i="84"/>
  <c r="M6" i="84"/>
  <c r="F7" i="84"/>
  <c r="M23" i="67"/>
  <c r="M28" i="15"/>
  <c r="M24" i="67"/>
  <c r="F40" i="15"/>
  <c r="M27" i="67"/>
  <c r="F36" i="67"/>
  <c r="F8" i="15"/>
  <c r="M22" i="84"/>
  <c r="M9" i="84"/>
  <c r="F7" i="15"/>
  <c r="F16" i="84"/>
  <c r="M22" i="15"/>
  <c r="L47" i="67"/>
  <c r="M6" i="15"/>
  <c r="F40" i="67"/>
  <c r="F36" i="84"/>
  <c r="M24" i="15"/>
  <c r="F6" i="84"/>
  <c r="M27" i="84"/>
  <c r="F9" i="67"/>
  <c r="C76" i="84"/>
  <c r="L47" i="84"/>
  <c r="M28" i="84"/>
  <c r="L48" i="84"/>
  <c r="L48" i="15"/>
  <c r="M9" i="67"/>
  <c r="M29" i="15"/>
  <c r="F37" i="15"/>
  <c r="F26" i="15"/>
  <c r="F16" i="67"/>
  <c r="M26" i="15"/>
  <c r="M26" i="67"/>
  <c r="F43" i="15"/>
  <c r="F9" i="84"/>
  <c r="F40" i="84"/>
  <c r="M8" i="15"/>
  <c r="F42" i="15"/>
  <c r="F9" i="15"/>
  <c r="F43" i="67"/>
  <c r="M23" i="15"/>
  <c r="F38" i="15"/>
  <c r="L47" i="15"/>
  <c r="M9" i="15"/>
  <c r="J15" i="15"/>
  <c r="J15" i="84"/>
  <c r="F37" i="67"/>
  <c r="F37" i="84"/>
  <c r="F43" i="84"/>
  <c r="F38" i="84"/>
  <c r="M8" i="67"/>
  <c r="F26" i="84"/>
  <c r="M27" i="15"/>
  <c r="F13" i="84"/>
  <c r="F8" i="67"/>
  <c r="M8" i="84"/>
  <c r="C76" i="67"/>
  <c r="M29" i="67"/>
  <c r="W33" i="33" l="1"/>
  <c r="E64" i="39"/>
  <c r="E60" i="40"/>
  <c r="E27" i="6"/>
  <c r="K22" i="6" s="1"/>
  <c r="M22" i="6" s="1"/>
  <c r="I22" i="6" s="1"/>
  <c r="S22" i="6" s="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3" i="3"/>
  <c r="E442" i="3"/>
  <c r="E435" i="3"/>
  <c r="E434" i="3"/>
  <c r="E428" i="3"/>
  <c r="E424" i="3"/>
  <c r="E447" i="3"/>
  <c r="E446" i="3"/>
  <c r="E439" i="3"/>
  <c r="E438" i="3"/>
  <c r="E431"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I3" i="6"/>
  <c r="E444" i="3"/>
  <c r="E436"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440" i="3"/>
  <c r="E420" i="3"/>
  <c r="E419"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8" i="3"/>
  <c r="E311" i="3"/>
  <c r="E423" i="3"/>
  <c r="E316" i="3"/>
  <c r="E310" i="3"/>
  <c r="E306" i="3"/>
  <c r="E302" i="3"/>
  <c r="E298" i="3"/>
  <c r="E294" i="3"/>
  <c r="E290" i="3"/>
  <c r="E286" i="3"/>
  <c r="E282" i="3"/>
  <c r="E278" i="3"/>
  <c r="E274" i="3"/>
  <c r="E270" i="3"/>
  <c r="E266" i="3"/>
  <c r="E262" i="3"/>
  <c r="E258" i="3"/>
  <c r="E254" i="3"/>
  <c r="E448" i="3"/>
  <c r="E432" i="3"/>
  <c r="E315" i="3"/>
  <c r="E314" i="3"/>
  <c r="E309" i="3"/>
  <c r="E305" i="3"/>
  <c r="E301" i="3"/>
  <c r="E297" i="3"/>
  <c r="E293" i="3"/>
  <c r="E289" i="3"/>
  <c r="E285" i="3"/>
  <c r="E281" i="3"/>
  <c r="E277" i="3"/>
  <c r="E273" i="3"/>
  <c r="E269" i="3"/>
  <c r="E265" i="3"/>
  <c r="E261" i="3"/>
  <c r="E257" i="3"/>
  <c r="E253" i="3"/>
  <c r="E249" i="3"/>
  <c r="E427" i="3"/>
  <c r="E312" i="3"/>
  <c r="E308" i="3"/>
  <c r="E304" i="3"/>
  <c r="E300" i="3"/>
  <c r="E296" i="3"/>
  <c r="E292" i="3"/>
  <c r="E288" i="3"/>
  <c r="E284" i="3"/>
  <c r="E280" i="3"/>
  <c r="E276" i="3"/>
  <c r="E272" i="3"/>
  <c r="E268" i="3"/>
  <c r="E264" i="3"/>
  <c r="E260" i="3"/>
  <c r="E256" i="3"/>
  <c r="E252" i="3"/>
  <c r="E248" i="3"/>
  <c r="E244" i="3"/>
  <c r="E240" i="3"/>
  <c r="E236" i="3"/>
  <c r="E232" i="3"/>
  <c r="E303" i="3"/>
  <c r="E295" i="3"/>
  <c r="E287" i="3"/>
  <c r="E279" i="3"/>
  <c r="E271" i="3"/>
  <c r="E263" i="3"/>
  <c r="E255" i="3"/>
  <c r="E243" i="3"/>
  <c r="E235"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242" i="3"/>
  <c r="E241" i="3"/>
  <c r="E234" i="3"/>
  <c r="E233"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307" i="3"/>
  <c r="E299" i="3"/>
  <c r="E291" i="3"/>
  <c r="E283" i="3"/>
  <c r="E275" i="3"/>
  <c r="E267" i="3"/>
  <c r="E259" i="3"/>
  <c r="E251" i="3"/>
  <c r="E250" i="3"/>
  <c r="E247" i="3"/>
  <c r="E239" i="3"/>
  <c r="E231"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246" i="3"/>
  <c r="E245" i="3"/>
  <c r="E238" i="3"/>
  <c r="E237" i="3"/>
  <c r="E230"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E80" i="3"/>
  <c r="E76" i="3"/>
  <c r="E72" i="3"/>
  <c r="E68" i="3"/>
  <c r="E64" i="3"/>
  <c r="E60" i="3"/>
  <c r="E56" i="3"/>
  <c r="E52" i="3"/>
  <c r="E48" i="3"/>
  <c r="E44" i="3"/>
  <c r="E40" i="3"/>
  <c r="E36" i="3"/>
  <c r="E32" i="3"/>
  <c r="E28" i="3"/>
  <c r="E24" i="3"/>
  <c r="E20" i="3"/>
  <c r="E16" i="3"/>
  <c r="AP6" i="3"/>
  <c r="AL6" i="3"/>
  <c r="AH6" i="3"/>
  <c r="AD6" i="3"/>
  <c r="Z6" i="3"/>
  <c r="V6" i="3"/>
  <c r="R6" i="3"/>
  <c r="N6" i="3"/>
  <c r="J6" i="3"/>
  <c r="E79" i="3"/>
  <c r="E75" i="3"/>
  <c r="E71" i="3"/>
  <c r="E67" i="3"/>
  <c r="E63" i="3"/>
  <c r="E59" i="3"/>
  <c r="E55" i="3"/>
  <c r="E51" i="3"/>
  <c r="E47" i="3"/>
  <c r="E43" i="3"/>
  <c r="E39" i="3"/>
  <c r="E35" i="3"/>
  <c r="E31" i="3"/>
  <c r="E27" i="3"/>
  <c r="E23" i="3"/>
  <c r="E19" i="3"/>
  <c r="E15" i="3"/>
  <c r="AS6" i="3"/>
  <c r="AO6" i="3"/>
  <c r="AK6" i="3"/>
  <c r="AG6" i="3"/>
  <c r="Y6" i="3"/>
  <c r="U6" i="3"/>
  <c r="Q6" i="3"/>
  <c r="M6" i="3"/>
  <c r="E78" i="3"/>
  <c r="E74" i="3"/>
  <c r="E70" i="3"/>
  <c r="E66" i="3"/>
  <c r="E62" i="3"/>
  <c r="E58" i="3"/>
  <c r="E54" i="3"/>
  <c r="E50" i="3"/>
  <c r="E46" i="3"/>
  <c r="E42" i="3"/>
  <c r="E38" i="3"/>
  <c r="E34" i="3"/>
  <c r="E30" i="3"/>
  <c r="E26" i="3"/>
  <c r="E22" i="3"/>
  <c r="E18" i="3"/>
  <c r="E14" i="3"/>
  <c r="AR6" i="3"/>
  <c r="AN6" i="3"/>
  <c r="AJ6" i="3"/>
  <c r="AF6" i="3"/>
  <c r="AB6" i="3"/>
  <c r="X6" i="3"/>
  <c r="T6" i="3"/>
  <c r="P6" i="3"/>
  <c r="L6" i="3"/>
  <c r="E13" i="3"/>
  <c r="L28" i="1"/>
  <c r="AY6" i="3"/>
  <c r="D19" i="11"/>
  <c r="C19" i="11" s="1"/>
  <c r="C20" i="11" s="1"/>
  <c r="D3" i="34"/>
  <c r="B3" i="34" s="1"/>
  <c r="D37" i="11"/>
  <c r="C37" i="11" s="1"/>
  <c r="D3" i="37"/>
  <c r="D3" i="21"/>
  <c r="B3" i="21" s="1"/>
  <c r="D14" i="12"/>
  <c r="C17" i="4"/>
  <c r="B4" i="52" s="1"/>
  <c r="B43" i="72" s="1"/>
  <c r="E60" i="39"/>
  <c r="E56" i="40"/>
  <c r="D19" i="12"/>
  <c r="C19" i="12" s="1"/>
  <c r="E6" i="6"/>
  <c r="D9" i="11"/>
  <c r="C9" i="11" s="1"/>
  <c r="D9" i="69"/>
  <c r="E63" i="39"/>
  <c r="E59" i="40"/>
  <c r="E61" i="39"/>
  <c r="E57" i="40"/>
  <c r="E62" i="39"/>
  <c r="E58" i="40"/>
  <c r="E16" i="6"/>
  <c r="AC36" i="33"/>
  <c r="W36" i="33"/>
  <c r="H36" i="86"/>
  <c r="J36" i="86"/>
  <c r="F36" i="86"/>
  <c r="D125" i="9"/>
  <c r="D11" i="52" s="1"/>
  <c r="D10" i="52"/>
  <c r="C7" i="74"/>
  <c r="D18" i="53"/>
  <c r="B35" i="72" s="1"/>
  <c r="D5" i="43"/>
  <c r="D5" i="85"/>
  <c r="C42" i="85" s="1"/>
  <c r="I103" i="86"/>
  <c r="I102" i="86" s="1"/>
  <c r="H102" i="86"/>
  <c r="F33" i="86"/>
  <c r="J33" i="86"/>
  <c r="H33" i="86"/>
  <c r="C41" i="43"/>
  <c r="C39" i="43"/>
  <c r="C37" i="43"/>
  <c r="C42" i="43"/>
  <c r="C40" i="43"/>
  <c r="C38" i="43"/>
  <c r="T16" i="43"/>
  <c r="V16" i="43" s="1"/>
  <c r="T14" i="43"/>
  <c r="V14" i="43" s="1"/>
  <c r="T9" i="43"/>
  <c r="V9" i="43" s="1"/>
  <c r="T7" i="43"/>
  <c r="V7" i="43" s="1"/>
  <c r="T3" i="43"/>
  <c r="V3" i="43" s="1"/>
  <c r="T12" i="43"/>
  <c r="V12" i="43" s="1"/>
  <c r="T11" i="43"/>
  <c r="V11" i="43" s="1"/>
  <c r="T6" i="43"/>
  <c r="V6" i="43" s="1"/>
  <c r="T15" i="43"/>
  <c r="V15" i="43" s="1"/>
  <c r="T13" i="43"/>
  <c r="V13" i="43" s="1"/>
  <c r="T8" i="43"/>
  <c r="V8" i="43" s="1"/>
  <c r="T4" i="43"/>
  <c r="V4" i="43" s="1"/>
  <c r="T2" i="43"/>
  <c r="V2" i="43" s="1"/>
  <c r="T10" i="43"/>
  <c r="V10" i="43" s="1"/>
  <c r="T5" i="43"/>
  <c r="V5" i="43" s="1"/>
  <c r="W25" i="33"/>
  <c r="U15" i="33"/>
  <c r="S27" i="33"/>
  <c r="AB36" i="33"/>
  <c r="U36" i="33"/>
  <c r="G111" i="33"/>
  <c r="H111" i="33" s="1"/>
  <c r="I111" i="33" s="1"/>
  <c r="J111" i="33" s="1"/>
  <c r="K111" i="33" s="1"/>
  <c r="L111" i="33" s="1"/>
  <c r="M111" i="33" s="1"/>
  <c r="F36" i="33"/>
  <c r="W27" i="33"/>
  <c r="U27" i="33"/>
  <c r="V48" i="33"/>
  <c r="I48" i="33" s="1"/>
  <c r="I52" i="33" s="1"/>
  <c r="J52" i="33" s="1"/>
  <c r="U25" i="33"/>
  <c r="S25" i="33"/>
  <c r="S15" i="33"/>
  <c r="W15" i="33"/>
  <c r="AA45" i="33"/>
  <c r="S45" i="33"/>
  <c r="T48" i="33"/>
  <c r="G48" i="33" s="1"/>
  <c r="G52" i="33" s="1"/>
  <c r="H52" i="33" s="1"/>
  <c r="AB29" i="33"/>
  <c r="U29" i="33"/>
  <c r="K23" i="6"/>
  <c r="M23" i="6" s="1"/>
  <c r="I23" i="6" s="1"/>
  <c r="S23" i="6" s="1"/>
  <c r="E31" i="6"/>
  <c r="K24" i="6"/>
  <c r="M24" i="6" s="1"/>
  <c r="I24" i="6" s="1"/>
  <c r="K20" i="6"/>
  <c r="K19" i="6"/>
  <c r="K21" i="6"/>
  <c r="C12" i="12"/>
  <c r="M7" i="1"/>
  <c r="Q71" i="67"/>
  <c r="F66" i="67"/>
  <c r="F71" i="67"/>
  <c r="F68" i="67"/>
  <c r="F51" i="67"/>
  <c r="C27" i="67"/>
  <c r="F65" i="67"/>
  <c r="F50" i="67"/>
  <c r="M7" i="67"/>
  <c r="J6" i="67" s="1"/>
  <c r="J19" i="67" s="1"/>
  <c r="L56" i="67"/>
  <c r="J57" i="67"/>
  <c r="J55" i="67" s="1"/>
  <c r="J58" i="67" s="1"/>
  <c r="Q50" i="67" s="1"/>
  <c r="J53" i="67"/>
  <c r="Q52" i="67" s="1"/>
  <c r="I54" i="67"/>
  <c r="F64" i="67"/>
  <c r="L58" i="67"/>
  <c r="Q73" i="67" s="1"/>
  <c r="N59" i="67"/>
  <c r="M59" i="67"/>
  <c r="L59" i="67"/>
  <c r="Q61" i="67" s="1"/>
  <c r="L58" i="15"/>
  <c r="Q73" i="15" s="1"/>
  <c r="M59" i="15"/>
  <c r="N59" i="15"/>
  <c r="L59" i="15"/>
  <c r="Q61" i="15" s="1"/>
  <c r="F65" i="15"/>
  <c r="I54" i="15"/>
  <c r="L57" i="15"/>
  <c r="J57" i="15"/>
  <c r="J55" i="15" s="1"/>
  <c r="J58" i="15" s="1"/>
  <c r="Q50" i="15" s="1"/>
  <c r="L56" i="15"/>
  <c r="L60" i="15"/>
  <c r="Q66" i="15" s="1"/>
  <c r="J53" i="15"/>
  <c r="Q52" i="15" s="1"/>
  <c r="F51" i="15"/>
  <c r="F68" i="15"/>
  <c r="F66" i="15"/>
  <c r="F71" i="15"/>
  <c r="C27" i="15"/>
  <c r="F50" i="15"/>
  <c r="M7" i="15"/>
  <c r="J6" i="15" s="1"/>
  <c r="J19" i="15" s="1"/>
  <c r="Q71" i="15"/>
  <c r="F64" i="15"/>
  <c r="F64" i="84"/>
  <c r="J53" i="84"/>
  <c r="Q52" i="84" s="1"/>
  <c r="L56" i="84"/>
  <c r="J57" i="84"/>
  <c r="J55" i="84" s="1"/>
  <c r="J58" i="84" s="1"/>
  <c r="Q50" i="84" s="1"/>
  <c r="L60" i="84"/>
  <c r="Q57" i="84" s="1"/>
  <c r="I54" i="84"/>
  <c r="L57" i="84"/>
  <c r="F66" i="84"/>
  <c r="C27" i="84"/>
  <c r="F71" i="84"/>
  <c r="C6" i="84"/>
  <c r="C33" i="84" s="1"/>
  <c r="M7" i="84"/>
  <c r="J6" i="84" s="1"/>
  <c r="J19" i="84" s="1"/>
  <c r="F50" i="84"/>
  <c r="L59" i="84"/>
  <c r="Q61" i="84" s="1"/>
  <c r="N59" i="84"/>
  <c r="L58" i="84"/>
  <c r="Q73" i="84" s="1"/>
  <c r="M59" i="84"/>
  <c r="F51" i="84"/>
  <c r="F68" i="84"/>
  <c r="F65" i="84"/>
  <c r="Q71" i="84"/>
  <c r="C43" i="40"/>
  <c r="C42" i="40"/>
  <c r="H16" i="1"/>
  <c r="M6" i="1"/>
  <c r="G16" i="1"/>
  <c r="C34" i="69"/>
  <c r="K16" i="1"/>
  <c r="Q16" i="1"/>
  <c r="C48" i="39"/>
  <c r="C47" i="39"/>
  <c r="B40" i="1"/>
  <c r="L36" i="85" s="1"/>
  <c r="G26" i="85"/>
  <c r="F26" i="85"/>
  <c r="B116" i="85"/>
  <c r="J26" i="85"/>
  <c r="E26" i="85"/>
  <c r="H26" i="85"/>
  <c r="Z7" i="85"/>
  <c r="D26" i="43"/>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89" i="9"/>
  <c r="C87" i="9" s="1"/>
  <c r="T10" i="85"/>
  <c r="V10" i="85" s="1"/>
  <c r="T4" i="85"/>
  <c r="V4" i="85" s="1"/>
  <c r="T16" i="85"/>
  <c r="V16" i="85" s="1"/>
  <c r="T14" i="85"/>
  <c r="V14" i="85" s="1"/>
  <c r="T9" i="85"/>
  <c r="V9" i="85" s="1"/>
  <c r="T5" i="85"/>
  <c r="V5" i="85" s="1"/>
  <c r="T3" i="85"/>
  <c r="V3" i="85" s="1"/>
  <c r="T12" i="85"/>
  <c r="V12" i="85" s="1"/>
  <c r="T11" i="85"/>
  <c r="V11" i="85" s="1"/>
  <c r="T7" i="85"/>
  <c r="V7" i="85" s="1"/>
  <c r="T15" i="85"/>
  <c r="V15" i="85" s="1"/>
  <c r="T13" i="85"/>
  <c r="V13" i="85" s="1"/>
  <c r="T8" i="85"/>
  <c r="V8" i="85" s="1"/>
  <c r="T6" i="85"/>
  <c r="V6" i="85" s="1"/>
  <c r="T2" i="85"/>
  <c r="V2" i="85" s="1"/>
  <c r="C40" i="85"/>
  <c r="C38" i="85"/>
  <c r="C41" i="85"/>
  <c r="C39" i="85"/>
  <c r="C37" i="85"/>
  <c r="F11" i="67"/>
  <c r="M11" i="67"/>
  <c r="J10" i="67" s="1"/>
  <c r="F11" i="15"/>
  <c r="C53" i="15" s="1"/>
  <c r="M11" i="84"/>
  <c r="J10" i="84" s="1"/>
  <c r="F11" i="84"/>
  <c r="M11" i="15"/>
  <c r="J10" i="15" s="1"/>
  <c r="B3" i="76"/>
  <c r="C16" i="67"/>
  <c r="C16" i="84"/>
  <c r="D9" i="68"/>
  <c r="C16" i="15"/>
  <c r="K26" i="6" l="1"/>
  <c r="M26" i="6" s="1"/>
  <c r="I26" i="6" s="1"/>
  <c r="S26" i="6" s="1"/>
  <c r="H6" i="3"/>
  <c r="K25" i="6"/>
  <c r="M25" i="6" s="1"/>
  <c r="I25" i="6" s="1"/>
  <c r="S25" i="6"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D3" i="6"/>
  <c r="AY445" i="3"/>
  <c r="AY444" i="3"/>
  <c r="AY437" i="3"/>
  <c r="AY436" i="3"/>
  <c r="AY429" i="3"/>
  <c r="AY425" i="3"/>
  <c r="AY421"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8" i="3"/>
  <c r="AY441" i="3"/>
  <c r="AY440" i="3"/>
  <c r="AY433" i="3"/>
  <c r="AY432"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447" i="3"/>
  <c r="AY439" i="3"/>
  <c r="AY431"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443" i="3"/>
  <c r="AY313" i="3"/>
  <c r="AY312" i="3"/>
  <c r="AY428" i="3"/>
  <c r="AY420" i="3"/>
  <c r="AY417" i="3"/>
  <c r="AY416" i="3"/>
  <c r="AY413" i="3"/>
  <c r="AY412" i="3"/>
  <c r="AY409" i="3"/>
  <c r="AY408" i="3"/>
  <c r="AY405" i="3"/>
  <c r="AY404" i="3"/>
  <c r="AY401" i="3"/>
  <c r="AY400" i="3"/>
  <c r="AY397" i="3"/>
  <c r="AY396" i="3"/>
  <c r="AY393" i="3"/>
  <c r="AY392" i="3"/>
  <c r="AY389" i="3"/>
  <c r="AY388" i="3"/>
  <c r="AY385" i="3"/>
  <c r="AY384" i="3"/>
  <c r="AY381" i="3"/>
  <c r="AY380" i="3"/>
  <c r="AY377" i="3"/>
  <c r="AY376" i="3"/>
  <c r="AY373" i="3"/>
  <c r="AY372" i="3"/>
  <c r="AY369" i="3"/>
  <c r="AY368" i="3"/>
  <c r="AY365" i="3"/>
  <c r="AY364" i="3"/>
  <c r="AY361" i="3"/>
  <c r="AY360" i="3"/>
  <c r="AY357" i="3"/>
  <c r="AY356" i="3"/>
  <c r="AY353" i="3"/>
  <c r="AY352" i="3"/>
  <c r="AY349" i="3"/>
  <c r="AY348" i="3"/>
  <c r="AY345" i="3"/>
  <c r="AY344" i="3"/>
  <c r="AY341" i="3"/>
  <c r="AY340" i="3"/>
  <c r="AY337" i="3"/>
  <c r="AY336" i="3"/>
  <c r="AY333" i="3"/>
  <c r="AY332" i="3"/>
  <c r="AY329" i="3"/>
  <c r="AY328" i="3"/>
  <c r="AY325" i="3"/>
  <c r="AY324" i="3"/>
  <c r="AY321" i="3"/>
  <c r="AY320" i="3"/>
  <c r="AY311" i="3"/>
  <c r="AY307" i="3"/>
  <c r="AY303" i="3"/>
  <c r="AY299" i="3"/>
  <c r="AY295" i="3"/>
  <c r="AY291" i="3"/>
  <c r="AY287" i="3"/>
  <c r="AY283" i="3"/>
  <c r="AY279" i="3"/>
  <c r="AY275" i="3"/>
  <c r="AY271" i="3"/>
  <c r="AY267" i="3"/>
  <c r="AY263" i="3"/>
  <c r="AY259" i="3"/>
  <c r="AY255" i="3"/>
  <c r="AY251" i="3"/>
  <c r="AY435" i="3"/>
  <c r="AY317" i="3"/>
  <c r="AY316" i="3"/>
  <c r="AY310" i="3"/>
  <c r="AY306" i="3"/>
  <c r="AY302" i="3"/>
  <c r="AY298" i="3"/>
  <c r="AY294" i="3"/>
  <c r="AY290" i="3"/>
  <c r="AY286" i="3"/>
  <c r="AY282" i="3"/>
  <c r="AY278" i="3"/>
  <c r="AY274" i="3"/>
  <c r="AY270" i="3"/>
  <c r="AY266" i="3"/>
  <c r="AY262" i="3"/>
  <c r="AY258" i="3"/>
  <c r="AY254" i="3"/>
  <c r="AY250" i="3"/>
  <c r="AY424" i="3"/>
  <c r="AY315" i="3"/>
  <c r="AY309" i="3"/>
  <c r="AY305" i="3"/>
  <c r="AY301" i="3"/>
  <c r="AY297" i="3"/>
  <c r="AY293" i="3"/>
  <c r="AY289" i="3"/>
  <c r="AY285" i="3"/>
  <c r="AY281" i="3"/>
  <c r="AY277" i="3"/>
  <c r="AY273" i="3"/>
  <c r="AY269" i="3"/>
  <c r="AY265" i="3"/>
  <c r="AY261" i="3"/>
  <c r="AY257" i="3"/>
  <c r="AY253" i="3"/>
  <c r="AY249" i="3"/>
  <c r="AY245" i="3"/>
  <c r="AY241" i="3"/>
  <c r="AY237" i="3"/>
  <c r="AY233" i="3"/>
  <c r="AY229" i="3"/>
  <c r="AY308" i="3"/>
  <c r="AY300" i="3"/>
  <c r="AY292" i="3"/>
  <c r="AY284" i="3"/>
  <c r="AY276" i="3"/>
  <c r="AY268" i="3"/>
  <c r="AY260" i="3"/>
  <c r="AY252" i="3"/>
  <c r="AY246" i="3"/>
  <c r="AY238" i="3"/>
  <c r="AY230"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244" i="3"/>
  <c r="AY243" i="3"/>
  <c r="AY236" i="3"/>
  <c r="AY235"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304" i="3"/>
  <c r="AY296" i="3"/>
  <c r="AY288" i="3"/>
  <c r="AY280" i="3"/>
  <c r="AY272" i="3"/>
  <c r="AY264" i="3"/>
  <c r="AY256" i="3"/>
  <c r="AY242" i="3"/>
  <c r="AY234"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248" i="3"/>
  <c r="AY247" i="3"/>
  <c r="AY240" i="3"/>
  <c r="AY239" i="3"/>
  <c r="AY232" i="3"/>
  <c r="AY231"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81" i="3"/>
  <c r="AY77" i="3"/>
  <c r="AY73" i="3"/>
  <c r="AY69" i="3"/>
  <c r="AY65" i="3"/>
  <c r="AY61" i="3"/>
  <c r="AY57" i="3"/>
  <c r="AY53" i="3"/>
  <c r="AY49" i="3"/>
  <c r="AY45" i="3"/>
  <c r="AY41" i="3"/>
  <c r="AY37" i="3"/>
  <c r="AY33" i="3"/>
  <c r="AY29" i="3"/>
  <c r="AY25" i="3"/>
  <c r="AY21" i="3"/>
  <c r="AY17" i="3"/>
  <c r="AY13" i="3"/>
  <c r="BS6" i="3"/>
  <c r="BO6" i="3"/>
  <c r="BK6" i="3"/>
  <c r="BG6" i="3"/>
  <c r="BC6" i="3"/>
  <c r="AY80" i="3"/>
  <c r="AY76" i="3"/>
  <c r="AY72" i="3"/>
  <c r="AY68" i="3"/>
  <c r="AY64" i="3"/>
  <c r="AY60" i="3"/>
  <c r="AY56" i="3"/>
  <c r="AY52" i="3"/>
  <c r="AY48" i="3"/>
  <c r="AY44" i="3"/>
  <c r="AY40" i="3"/>
  <c r="AY36" i="3"/>
  <c r="AY32" i="3"/>
  <c r="AY28" i="3"/>
  <c r="AY24" i="3"/>
  <c r="AY20" i="3"/>
  <c r="AY16" i="3"/>
  <c r="BR6" i="3"/>
  <c r="BN6" i="3"/>
  <c r="BJ6" i="3"/>
  <c r="BF6" i="3"/>
  <c r="BB6" i="3"/>
  <c r="AY79" i="3"/>
  <c r="AY75" i="3"/>
  <c r="AY71" i="3"/>
  <c r="AY67" i="3"/>
  <c r="AY63" i="3"/>
  <c r="AY59" i="3"/>
  <c r="AY55" i="3"/>
  <c r="AY51" i="3"/>
  <c r="AY47" i="3"/>
  <c r="AY43" i="3"/>
  <c r="AY39" i="3"/>
  <c r="AY35" i="3"/>
  <c r="AY31" i="3"/>
  <c r="AY27" i="3"/>
  <c r="AY23" i="3"/>
  <c r="AY19" i="3"/>
  <c r="AY15" i="3"/>
  <c r="BQ6" i="3"/>
  <c r="BM6" i="3"/>
  <c r="BI6" i="3"/>
  <c r="BE6" i="3"/>
  <c r="BA6" i="3"/>
  <c r="AC6" i="3"/>
  <c r="E6" i="3" s="1"/>
  <c r="D17" i="12"/>
  <c r="C17" i="12" s="1"/>
  <c r="C14" i="12"/>
  <c r="C16" i="12" s="1"/>
  <c r="N28" i="1"/>
  <c r="N27" i="1" s="1"/>
  <c r="L27" i="1"/>
  <c r="C9" i="69"/>
  <c r="D10" i="11"/>
  <c r="C10" i="11" s="1"/>
  <c r="D10" i="69"/>
  <c r="C10" i="69" s="1"/>
  <c r="D20" i="12"/>
  <c r="C20" i="12" s="1"/>
  <c r="D6" i="6"/>
  <c r="E65" i="39"/>
  <c r="AC36" i="86"/>
  <c r="W36" i="86"/>
  <c r="AB36" i="86"/>
  <c r="U36" i="86"/>
  <c r="AA36" i="86"/>
  <c r="S36" i="86"/>
  <c r="M16" i="1"/>
  <c r="C9" i="68"/>
  <c r="G42" i="85"/>
  <c r="I42" i="85" s="1"/>
  <c r="E42" i="85"/>
  <c r="C6" i="68" s="1"/>
  <c r="Q60" i="67"/>
  <c r="C49" i="67"/>
  <c r="C61" i="67" s="1"/>
  <c r="Q60" i="15"/>
  <c r="E38" i="43"/>
  <c r="G38" i="43"/>
  <c r="I38" i="43" s="1"/>
  <c r="G39" i="43"/>
  <c r="I39" i="43" s="1"/>
  <c r="E39" i="43"/>
  <c r="AC33" i="86"/>
  <c r="V48" i="86" s="1"/>
  <c r="I48" i="86" s="1"/>
  <c r="W33" i="86"/>
  <c r="E40" i="43"/>
  <c r="G40" i="43"/>
  <c r="I40" i="43" s="1"/>
  <c r="G41" i="43"/>
  <c r="I41" i="43" s="1"/>
  <c r="E41" i="43"/>
  <c r="AA33" i="86"/>
  <c r="R48" i="86" s="1"/>
  <c r="S33" i="86"/>
  <c r="E42" i="43"/>
  <c r="G42" i="43"/>
  <c r="I42" i="43" s="1"/>
  <c r="E34" i="43"/>
  <c r="C34" i="43"/>
  <c r="G37" i="43"/>
  <c r="I37" i="43" s="1"/>
  <c r="E37" i="43"/>
  <c r="AB33" i="86"/>
  <c r="T48" i="86" s="1"/>
  <c r="G48" i="86" s="1"/>
  <c r="U33" i="86"/>
  <c r="C49" i="15"/>
  <c r="C48" i="15" s="1"/>
  <c r="AA36" i="33"/>
  <c r="R48" i="33" s="1"/>
  <c r="E48" i="33" s="1"/>
  <c r="I53" i="33" s="1"/>
  <c r="J53" i="33" s="1"/>
  <c r="S36" i="33"/>
  <c r="F1" i="84"/>
  <c r="J18" i="67"/>
  <c r="Q66" i="84"/>
  <c r="G53" i="33"/>
  <c r="H53" i="33" s="1"/>
  <c r="J18" i="84"/>
  <c r="Q74" i="15"/>
  <c r="F25" i="12"/>
  <c r="C26" i="12" s="1"/>
  <c r="D25" i="12" s="1"/>
  <c r="Q60" i="84"/>
  <c r="F24" i="84"/>
  <c r="C24" i="84" s="1"/>
  <c r="J5" i="84"/>
  <c r="J24" i="84" s="1"/>
  <c r="Q57" i="15"/>
  <c r="Q74" i="84"/>
  <c r="F22" i="68"/>
  <c r="C26" i="68" s="1"/>
  <c r="D22" i="68" s="1"/>
  <c r="F24" i="67"/>
  <c r="C24" i="67" s="1"/>
  <c r="F1" i="15"/>
  <c r="Q74" i="67"/>
  <c r="F24" i="15"/>
  <c r="C24" i="15" s="1"/>
  <c r="L36" i="43"/>
  <c r="P36" i="43" s="1"/>
  <c r="C49" i="84"/>
  <c r="C61" i="84" s="1"/>
  <c r="F22" i="69"/>
  <c r="F41" i="69" s="1"/>
  <c r="F22" i="11"/>
  <c r="C26" i="11" s="1"/>
  <c r="D22" i="11" s="1"/>
  <c r="J5" i="15"/>
  <c r="J24" i="15" s="1"/>
  <c r="J5" i="67"/>
  <c r="J26" i="67" s="1"/>
  <c r="F1" i="67"/>
  <c r="C32" i="84"/>
  <c r="S24" i="6"/>
  <c r="M21" i="6"/>
  <c r="I21" i="6" s="1"/>
  <c r="S8" i="1"/>
  <c r="J18" i="15"/>
  <c r="M19" i="6"/>
  <c r="S6" i="1"/>
  <c r="K27" i="6"/>
  <c r="M20" i="6"/>
  <c r="I20" i="6" s="1"/>
  <c r="S7" i="1"/>
  <c r="B60" i="40"/>
  <c r="F60" i="40" s="1"/>
  <c r="B58" i="40"/>
  <c r="F58" i="40" s="1"/>
  <c r="B56" i="40"/>
  <c r="F56" i="40" s="1"/>
  <c r="B52" i="40"/>
  <c r="F52" i="40" s="1"/>
  <c r="B54" i="40"/>
  <c r="F54" i="40" s="1"/>
  <c r="B59" i="40"/>
  <c r="F59" i="40" s="1"/>
  <c r="B57" i="40"/>
  <c r="F57" i="40" s="1"/>
  <c r="B53" i="40"/>
  <c r="F53" i="40" s="1"/>
  <c r="B51" i="40"/>
  <c r="F51" i="40" s="1"/>
  <c r="C35" i="69"/>
  <c r="C38" i="69"/>
  <c r="F27" i="11"/>
  <c r="F28" i="12"/>
  <c r="C29" i="12" s="1"/>
  <c r="D28" i="12" s="1"/>
  <c r="F27" i="69"/>
  <c r="H10" i="40"/>
  <c r="J10" i="39"/>
  <c r="J10" i="40"/>
  <c r="F10" i="40"/>
  <c r="H10" i="39"/>
  <c r="F10" i="39"/>
  <c r="B64" i="39"/>
  <c r="F64" i="39" s="1"/>
  <c r="B62" i="39"/>
  <c r="F62" i="39" s="1"/>
  <c r="B60" i="39"/>
  <c r="F60" i="39" s="1"/>
  <c r="B59" i="39"/>
  <c r="F59" i="39" s="1"/>
  <c r="B57" i="39"/>
  <c r="F57" i="39" s="1"/>
  <c r="B63" i="39"/>
  <c r="F63" i="39" s="1"/>
  <c r="B61" i="39"/>
  <c r="F61" i="39" s="1"/>
  <c r="B58" i="39"/>
  <c r="F58" i="39" s="1"/>
  <c r="B56" i="39"/>
  <c r="F56" i="39" s="1"/>
  <c r="F65" i="39" s="1"/>
  <c r="B2" i="39" s="1"/>
  <c r="B3" i="39" s="1"/>
  <c r="L16" i="1"/>
  <c r="C34" i="11"/>
  <c r="N16" i="1"/>
  <c r="G41" i="85"/>
  <c r="I41" i="85" s="1"/>
  <c r="E41" i="85"/>
  <c r="E37" i="85"/>
  <c r="G37" i="85"/>
  <c r="I37" i="85" s="1"/>
  <c r="G40" i="85"/>
  <c r="I40" i="85" s="1"/>
  <c r="E40"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2" i="85"/>
  <c r="C122" i="85" s="1"/>
  <c r="B121" i="85"/>
  <c r="C121" i="85" s="1"/>
  <c r="B120" i="85"/>
  <c r="C120" i="85" s="1"/>
  <c r="B119" i="85"/>
  <c r="C119" i="85" s="1"/>
  <c r="B118" i="85"/>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E39" i="85"/>
  <c r="G39" i="85"/>
  <c r="I39" i="85" s="1"/>
  <c r="C118" i="43"/>
  <c r="D116" i="43" s="1"/>
  <c r="D26" i="85"/>
  <c r="C25" i="85" s="1"/>
  <c r="C33" i="85" s="1"/>
  <c r="G38" i="85"/>
  <c r="I38" i="85" s="1"/>
  <c r="E38" i="85"/>
  <c r="C53" i="84"/>
  <c r="C10" i="84"/>
  <c r="C5" i="84" s="1"/>
  <c r="C53" i="67"/>
  <c r="N36" i="85"/>
  <c r="Q36" i="85"/>
  <c r="M36" i="85"/>
  <c r="L37" i="85"/>
  <c r="P36" i="85"/>
  <c r="O36" i="85"/>
  <c r="AE7" i="1"/>
  <c r="C17" i="67"/>
  <c r="C17" i="15"/>
  <c r="C14" i="67"/>
  <c r="C17" i="84"/>
  <c r="D10" i="68"/>
  <c r="F27" i="68"/>
  <c r="AE8" i="1"/>
  <c r="C61" i="15" l="1"/>
  <c r="C10" i="68"/>
  <c r="B29" i="1" s="1"/>
  <c r="C18" i="12" s="1"/>
  <c r="C21" i="12" s="1"/>
  <c r="C22" i="12" s="1"/>
  <c r="D19" i="68"/>
  <c r="D37" i="68" s="1"/>
  <c r="C37" i="68" s="1"/>
  <c r="C15" i="67"/>
  <c r="C18" i="67"/>
  <c r="M27" i="1"/>
  <c r="E8" i="70"/>
  <c r="E61" i="40"/>
  <c r="F61" i="40" s="1"/>
  <c r="B2" i="40" s="1"/>
  <c r="B3" i="40" s="1"/>
  <c r="D26" i="6"/>
  <c r="D25" i="6"/>
  <c r="D24" i="6"/>
  <c r="D23" i="6"/>
  <c r="D22" i="6"/>
  <c r="D21" i="6"/>
  <c r="D9" i="6"/>
  <c r="D8" i="6"/>
  <c r="D19" i="6"/>
  <c r="D29" i="6"/>
  <c r="D28" i="6"/>
  <c r="D30" i="6" s="1"/>
  <c r="C18" i="4"/>
  <c r="D15" i="6"/>
  <c r="D20" i="6"/>
  <c r="H22" i="6"/>
  <c r="R22" i="6" s="1"/>
  <c r="H25" i="6"/>
  <c r="R25" i="6" s="1"/>
  <c r="D13" i="6"/>
  <c r="H26" i="6"/>
  <c r="D5" i="6"/>
  <c r="D12" i="6"/>
  <c r="D11" i="6"/>
  <c r="D14" i="6"/>
  <c r="D10" i="6"/>
  <c r="H23" i="6"/>
  <c r="R23" i="6" s="1"/>
  <c r="H21" i="6"/>
  <c r="R21" i="6" s="1"/>
  <c r="R8" i="1" s="1"/>
  <c r="L18" i="87"/>
  <c r="H24" i="6"/>
  <c r="R24" i="6" s="1"/>
  <c r="L30" i="1"/>
  <c r="N30" i="1" s="1"/>
  <c r="L31" i="1"/>
  <c r="N31" i="1" s="1"/>
  <c r="L33" i="1"/>
  <c r="D19" i="69"/>
  <c r="C8" i="69"/>
  <c r="C5" i="69" s="1"/>
  <c r="C30" i="43"/>
  <c r="B2" i="43" s="1"/>
  <c r="B3" i="43" s="1"/>
  <c r="J26" i="84"/>
  <c r="C8" i="68"/>
  <c r="L37" i="43"/>
  <c r="O37" i="43" s="1"/>
  <c r="C7" i="68"/>
  <c r="C48" i="67"/>
  <c r="C60" i="67" s="1"/>
  <c r="Q36" i="43"/>
  <c r="N36" i="43"/>
  <c r="J26" i="15"/>
  <c r="O36" i="43"/>
  <c r="M36" i="43"/>
  <c r="R49" i="86"/>
  <c r="E48" i="86"/>
  <c r="I53" i="86" s="1"/>
  <c r="J53" i="86" s="1"/>
  <c r="I52" i="86"/>
  <c r="J52" i="86" s="1"/>
  <c r="G53" i="86"/>
  <c r="H53" i="86" s="1"/>
  <c r="G52" i="86"/>
  <c r="H52" i="86" s="1"/>
  <c r="C31" i="43"/>
  <c r="E53" i="33"/>
  <c r="F53" i="33" s="1"/>
  <c r="E52" i="33"/>
  <c r="F52" i="33" s="1"/>
  <c r="R49" i="33"/>
  <c r="C48" i="33" s="1"/>
  <c r="C26" i="69"/>
  <c r="D22" i="69" s="1"/>
  <c r="C44" i="68"/>
  <c r="D41" i="68" s="1"/>
  <c r="J24" i="67"/>
  <c r="C48" i="84"/>
  <c r="C60" i="84" s="1"/>
  <c r="F41" i="68"/>
  <c r="C23" i="11"/>
  <c r="C44" i="69"/>
  <c r="D41" i="69" s="1"/>
  <c r="C24" i="68"/>
  <c r="C24" i="11"/>
  <c r="C44" i="11"/>
  <c r="D41" i="11" s="1"/>
  <c r="C25" i="11"/>
  <c r="C30" i="12"/>
  <c r="C28" i="12" s="1"/>
  <c r="AR8" i="1"/>
  <c r="AQ8" i="1"/>
  <c r="T8" i="1"/>
  <c r="S21" i="6"/>
  <c r="AR6" i="1"/>
  <c r="AQ6" i="1"/>
  <c r="T6" i="1"/>
  <c r="S16" i="1"/>
  <c r="E6" i="70"/>
  <c r="T7" i="1"/>
  <c r="E7" i="70"/>
  <c r="AR7" i="1"/>
  <c r="AQ7" i="1"/>
  <c r="I19" i="6"/>
  <c r="L18" i="9" s="1"/>
  <c r="M27" i="6"/>
  <c r="S20" i="6"/>
  <c r="H20" i="6"/>
  <c r="R20" i="6" s="1"/>
  <c r="R7" i="1" s="1"/>
  <c r="C35" i="11"/>
  <c r="C38" i="11"/>
  <c r="AB10" i="39"/>
  <c r="U10" i="39"/>
  <c r="AB10" i="40"/>
  <c r="U10" i="40"/>
  <c r="F45" i="68"/>
  <c r="C47" i="68"/>
  <c r="D45" i="68" s="1"/>
  <c r="C29" i="68"/>
  <c r="D27" i="68" s="1"/>
  <c r="AA10" i="40"/>
  <c r="S10" i="40"/>
  <c r="C47" i="69"/>
  <c r="D45" i="69" s="1"/>
  <c r="F45" i="69"/>
  <c r="C29" i="69"/>
  <c r="D27" i="69" s="1"/>
  <c r="AC10" i="40"/>
  <c r="W10" i="40"/>
  <c r="F50" i="69"/>
  <c r="F50" i="68"/>
  <c r="F50" i="11"/>
  <c r="C33" i="37"/>
  <c r="AA10" i="39"/>
  <c r="S10" i="39"/>
  <c r="AC10" i="39"/>
  <c r="W10" i="39"/>
  <c r="C47" i="11"/>
  <c r="D45" i="11" s="1"/>
  <c r="C29" i="11"/>
  <c r="D27" i="11" s="1"/>
  <c r="C28" i="11"/>
  <c r="C27" i="11" s="1"/>
  <c r="E33" i="85"/>
  <c r="C30" i="85" s="1"/>
  <c r="B2" i="85" s="1"/>
  <c r="B3" i="85" s="1"/>
  <c r="C34" i="85"/>
  <c r="E34" i="85" s="1"/>
  <c r="C31" i="85" s="1"/>
  <c r="C118" i="85"/>
  <c r="D116" i="85" s="1"/>
  <c r="C60" i="15"/>
  <c r="C66" i="15"/>
  <c r="C27" i="12"/>
  <c r="C25" i="12" s="1"/>
  <c r="N37" i="85"/>
  <c r="Q37" i="85"/>
  <c r="M37" i="85"/>
  <c r="P37" i="85"/>
  <c r="O37" i="85"/>
  <c r="C38" i="84"/>
  <c r="F35" i="84"/>
  <c r="M21" i="84"/>
  <c r="C34" i="68"/>
  <c r="C14" i="84"/>
  <c r="C14" i="15"/>
  <c r="F41" i="84"/>
  <c r="C19" i="67" l="1"/>
  <c r="C20" i="67"/>
  <c r="C26" i="67"/>
  <c r="N33" i="1"/>
  <c r="M33" i="1" s="1"/>
  <c r="R26" i="6"/>
  <c r="C15" i="15"/>
  <c r="C18" i="15"/>
  <c r="C19" i="15"/>
  <c r="C20" i="15" s="1"/>
  <c r="C26" i="15" s="1"/>
  <c r="C15" i="84"/>
  <c r="C18" i="84"/>
  <c r="C19" i="84"/>
  <c r="C35" i="68"/>
  <c r="C38" i="68"/>
  <c r="J20" i="84"/>
  <c r="J17" i="84" s="1"/>
  <c r="F63" i="84"/>
  <c r="C62" i="84" s="1"/>
  <c r="C34" i="84"/>
  <c r="C31" i="84" s="1"/>
  <c r="T16" i="1"/>
  <c r="C4" i="52"/>
  <c r="B45" i="72" s="1"/>
  <c r="A10" i="51"/>
  <c r="B9" i="72" s="1"/>
  <c r="A7" i="51"/>
  <c r="B7" i="72" s="1"/>
  <c r="D16" i="6"/>
  <c r="M19" i="87"/>
  <c r="C118" i="87" s="1"/>
  <c r="L19" i="87"/>
  <c r="M19" i="9"/>
  <c r="C118" i="9" s="1"/>
  <c r="D27" i="6"/>
  <c r="D31" i="6" s="1"/>
  <c r="C23" i="67"/>
  <c r="C29" i="67" s="1"/>
  <c r="C36" i="67" s="1"/>
  <c r="C23" i="69"/>
  <c r="D37" i="69"/>
  <c r="C37" i="69" s="1"/>
  <c r="C33" i="69" s="1"/>
  <c r="C42" i="69" s="1"/>
  <c r="C19" i="69"/>
  <c r="C20" i="69" s="1"/>
  <c r="C25" i="69" s="1"/>
  <c r="C5" i="68"/>
  <c r="C20" i="68" s="1"/>
  <c r="C25" i="68" s="1"/>
  <c r="P37" i="43"/>
  <c r="Q37" i="43"/>
  <c r="F69" i="84"/>
  <c r="J29" i="84"/>
  <c r="M37" i="43"/>
  <c r="N37" i="43"/>
  <c r="C66" i="84"/>
  <c r="C59" i="84"/>
  <c r="C33" i="11"/>
  <c r="C39" i="11" s="1"/>
  <c r="C66" i="67"/>
  <c r="C22" i="11"/>
  <c r="C31" i="11" s="1"/>
  <c r="E52" i="86"/>
  <c r="E53" i="86"/>
  <c r="F53" i="86" s="1"/>
  <c r="C48" i="86"/>
  <c r="C49" i="86"/>
  <c r="C49" i="33"/>
  <c r="B2" i="33" s="1"/>
  <c r="B3" i="33" s="1"/>
  <c r="C32" i="12"/>
  <c r="B2" i="12" s="1"/>
  <c r="B3" i="12" s="1"/>
  <c r="C33" i="68"/>
  <c r="E2" i="70"/>
  <c r="H19" i="6"/>
  <c r="L19" i="9" s="1"/>
  <c r="S19" i="6"/>
  <c r="S27" i="6" s="1"/>
  <c r="I27" i="6"/>
  <c r="H33" i="37"/>
  <c r="J33" i="37"/>
  <c r="F33" i="37"/>
  <c r="J59" i="15"/>
  <c r="J60" i="15" s="1"/>
  <c r="AE6" i="1"/>
  <c r="C23" i="15" l="1"/>
  <c r="C29" i="15" s="1"/>
  <c r="J14" i="15" s="1"/>
  <c r="J59" i="67"/>
  <c r="J60" i="67" s="1"/>
  <c r="C42" i="11"/>
  <c r="C39" i="69"/>
  <c r="C43" i="69" s="1"/>
  <c r="C41" i="69" s="1"/>
  <c r="C57" i="15"/>
  <c r="C64" i="15" s="1"/>
  <c r="C13" i="15"/>
  <c r="Q70" i="15" s="1"/>
  <c r="C57" i="67"/>
  <c r="C64" i="67" s="1"/>
  <c r="C23" i="68"/>
  <c r="C22" i="68" s="1"/>
  <c r="C20" i="84"/>
  <c r="C26" i="84" s="1"/>
  <c r="C13" i="67"/>
  <c r="C56" i="67" s="1"/>
  <c r="C65" i="67" s="1"/>
  <c r="I6" i="6"/>
  <c r="I5" i="6"/>
  <c r="J14" i="67"/>
  <c r="Q49" i="67"/>
  <c r="C24" i="69"/>
  <c r="C22" i="69" s="1"/>
  <c r="C28" i="69"/>
  <c r="C27" i="69" s="1"/>
  <c r="C17" i="83"/>
  <c r="C19" i="83" s="1"/>
  <c r="C28" i="68"/>
  <c r="C27" i="68" s="1"/>
  <c r="C91" i="9"/>
  <c r="C92" i="9" s="1"/>
  <c r="C91" i="87"/>
  <c r="F52" i="86"/>
  <c r="B2" i="86"/>
  <c r="B3" i="86"/>
  <c r="C42" i="68"/>
  <c r="C39" i="68"/>
  <c r="C43" i="68" s="1"/>
  <c r="H27" i="6"/>
  <c r="R19" i="6"/>
  <c r="S33" i="37"/>
  <c r="AA33" i="37"/>
  <c r="R42" i="37" s="1"/>
  <c r="W33" i="37"/>
  <c r="AC33" i="37"/>
  <c r="V42" i="37" s="1"/>
  <c r="I42" i="37" s="1"/>
  <c r="U33" i="37"/>
  <c r="AB33" i="37"/>
  <c r="T42" i="37" s="1"/>
  <c r="G42" i="37" s="1"/>
  <c r="C46" i="11"/>
  <c r="C45" i="11" s="1"/>
  <c r="C43" i="11"/>
  <c r="C41" i="11" s="1"/>
  <c r="J22" i="15"/>
  <c r="J13" i="15"/>
  <c r="J23" i="15" s="1"/>
  <c r="Q48" i="67"/>
  <c r="Q48" i="15"/>
  <c r="L46" i="15"/>
  <c r="J13" i="67"/>
  <c r="J23" i="67" s="1"/>
  <c r="J22" i="67"/>
  <c r="C75" i="15"/>
  <c r="C37" i="15"/>
  <c r="F41" i="67"/>
  <c r="F6" i="67"/>
  <c r="F6" i="15"/>
  <c r="F41" i="15"/>
  <c r="C56" i="15" l="1"/>
  <c r="C65" i="15" s="1"/>
  <c r="C36" i="15"/>
  <c r="Q49" i="15"/>
  <c r="Q70" i="67"/>
  <c r="C75" i="67"/>
  <c r="C37" i="67"/>
  <c r="C46" i="69"/>
  <c r="C45" i="69" s="1"/>
  <c r="C49" i="69" s="1"/>
  <c r="C51" i="69" s="1"/>
  <c r="C49" i="11"/>
  <c r="C51" i="11" s="1"/>
  <c r="C52" i="11" s="1"/>
  <c r="B2" i="11" s="1"/>
  <c r="B3" i="11" s="1"/>
  <c r="C23" i="84"/>
  <c r="C29" i="84" s="1"/>
  <c r="C31" i="69"/>
  <c r="J29" i="67"/>
  <c r="F69" i="67"/>
  <c r="C6" i="15"/>
  <c r="C32" i="15" s="1"/>
  <c r="C6" i="67"/>
  <c r="C32" i="67" s="1"/>
  <c r="C94" i="9"/>
  <c r="J29" i="15"/>
  <c r="F69" i="15"/>
  <c r="C31" i="68"/>
  <c r="C92" i="87"/>
  <c r="C94" i="87"/>
  <c r="C33" i="15"/>
  <c r="C41" i="68"/>
  <c r="C46" i="68"/>
  <c r="C45" i="68" s="1"/>
  <c r="R27" i="6"/>
  <c r="R6" i="1"/>
  <c r="I46" i="37"/>
  <c r="J46" i="37" s="1"/>
  <c r="G47" i="37"/>
  <c r="H47" i="37" s="1"/>
  <c r="G46" i="37"/>
  <c r="H46" i="37" s="1"/>
  <c r="E42" i="37"/>
  <c r="R43" i="37"/>
  <c r="F35" i="67"/>
  <c r="F35" i="15"/>
  <c r="M21" i="15"/>
  <c r="M21" i="67"/>
  <c r="C10" i="15" l="1"/>
  <c r="C5" i="15" s="1"/>
  <c r="C38" i="15" s="1"/>
  <c r="C52" i="69"/>
  <c r="B2" i="69"/>
  <c r="B3" i="69" s="1"/>
  <c r="C57" i="69"/>
  <c r="C56" i="69" s="1"/>
  <c r="C57" i="84"/>
  <c r="C64" i="84" s="1"/>
  <c r="J59" i="84"/>
  <c r="J60" i="84" s="1"/>
  <c r="C13" i="84"/>
  <c r="J14" i="84"/>
  <c r="C36" i="84"/>
  <c r="Q49" i="84"/>
  <c r="C10" i="67"/>
  <c r="C5" i="67" s="1"/>
  <c r="C38" i="67" s="1"/>
  <c r="C33" i="67"/>
  <c r="J20" i="67"/>
  <c r="J17" i="67" s="1"/>
  <c r="J16" i="67" s="1"/>
  <c r="J25" i="67" s="1"/>
  <c r="C34" i="67"/>
  <c r="F63" i="67"/>
  <c r="C62" i="67" s="1"/>
  <c r="C59" i="67" s="1"/>
  <c r="C58" i="67" s="1"/>
  <c r="C67" i="67" s="1"/>
  <c r="C68" i="67" s="1"/>
  <c r="C71" i="67" s="1"/>
  <c r="C49" i="68"/>
  <c r="C51" i="68" s="1"/>
  <c r="C52" i="68" s="1"/>
  <c r="B2" i="68" s="1"/>
  <c r="F63" i="15"/>
  <c r="C62" i="15" s="1"/>
  <c r="C59" i="15" s="1"/>
  <c r="C58" i="15" s="1"/>
  <c r="C67" i="15" s="1"/>
  <c r="C68" i="15" s="1"/>
  <c r="C71" i="15" s="1"/>
  <c r="C34" i="15"/>
  <c r="C31" i="15" s="1"/>
  <c r="C30" i="15" s="1"/>
  <c r="C39" i="15" s="1"/>
  <c r="J20" i="15"/>
  <c r="J17" i="15" s="1"/>
  <c r="J16" i="15" s="1"/>
  <c r="J25" i="15" s="1"/>
  <c r="R16" i="1"/>
  <c r="C56" i="11"/>
  <c r="C57" i="11" s="1"/>
  <c r="C43" i="37"/>
  <c r="C42" i="37"/>
  <c r="E47" i="37"/>
  <c r="F47" i="37" s="1"/>
  <c r="E46" i="37"/>
  <c r="F46" i="37" s="1"/>
  <c r="I47" i="37"/>
  <c r="J47" i="37" s="1"/>
  <c r="C19" i="87"/>
  <c r="L51" i="15"/>
  <c r="C31" i="67" l="1"/>
  <c r="C30" i="67" s="1"/>
  <c r="C39" i="67" s="1"/>
  <c r="H39" i="67" s="1"/>
  <c r="J13" i="84"/>
  <c r="J23" i="84" s="1"/>
  <c r="J22" i="84"/>
  <c r="J16" i="84" s="1"/>
  <c r="J25" i="84" s="1"/>
  <c r="C37" i="84"/>
  <c r="C30" i="84" s="1"/>
  <c r="C39" i="84" s="1"/>
  <c r="Q70" i="84"/>
  <c r="C75" i="84"/>
  <c r="C56" i="84"/>
  <c r="C65" i="84" s="1"/>
  <c r="C58" i="84" s="1"/>
  <c r="C67" i="84" s="1"/>
  <c r="C68" i="84" s="1"/>
  <c r="C71" i="84" s="1"/>
  <c r="Q48" i="84"/>
  <c r="L46" i="84"/>
  <c r="C102" i="87"/>
  <c r="C21" i="87"/>
  <c r="L57" i="67"/>
  <c r="L60" i="67" s="1"/>
  <c r="L46" i="67" s="1"/>
  <c r="C40" i="67"/>
  <c r="C80" i="67"/>
  <c r="C79" i="67" s="1"/>
  <c r="Q69" i="67"/>
  <c r="Q68" i="67" s="1"/>
  <c r="Q67" i="15"/>
  <c r="H38" i="15"/>
  <c r="C40" i="15"/>
  <c r="C80" i="15"/>
  <c r="C79" i="15" s="1"/>
  <c r="Q69" i="15"/>
  <c r="Q68" i="15" s="1"/>
  <c r="C57" i="68"/>
  <c r="C56" i="68" s="1"/>
  <c r="B2" i="37"/>
  <c r="B3" i="37"/>
  <c r="C19" i="9"/>
  <c r="L51" i="84"/>
  <c r="L51" i="67"/>
  <c r="C20" i="9"/>
  <c r="AO7" i="1"/>
  <c r="B3" i="68"/>
  <c r="D35" i="87"/>
  <c r="C20" i="87"/>
  <c r="D34" i="87"/>
  <c r="C21" i="9" l="1"/>
  <c r="C102" i="9"/>
  <c r="Q67" i="84"/>
  <c r="H38" i="84"/>
  <c r="C40" i="84"/>
  <c r="Q69" i="84"/>
  <c r="Q68" i="84" s="1"/>
  <c r="C80" i="84"/>
  <c r="C79" i="84" s="1"/>
  <c r="Q67" i="67"/>
  <c r="C103" i="87"/>
  <c r="Q57" i="67"/>
  <c r="Q66" i="67"/>
  <c r="C83" i="67"/>
  <c r="C82" i="67" s="1"/>
  <c r="D2" i="67"/>
  <c r="Q56" i="67"/>
  <c r="C45" i="67"/>
  <c r="C46" i="67" s="1"/>
  <c r="Q47" i="67"/>
  <c r="Q53" i="67" s="1"/>
  <c r="Q65" i="67"/>
  <c r="C43" i="67"/>
  <c r="C46" i="15"/>
  <c r="Q65" i="15"/>
  <c r="Q75" i="15" s="1"/>
  <c r="C43" i="15"/>
  <c r="Q56" i="15"/>
  <c r="Q62" i="15" s="1"/>
  <c r="Q47" i="15"/>
  <c r="Q53" i="15" s="1"/>
  <c r="B2" i="15"/>
  <c r="C83" i="15"/>
  <c r="C82" i="15" s="1"/>
  <c r="C103" i="9"/>
  <c r="B7" i="70"/>
  <c r="Q65" i="84" l="1"/>
  <c r="Q75" i="84" s="1"/>
  <c r="Q47" i="84"/>
  <c r="Q53" i="84" s="1"/>
  <c r="C46" i="84"/>
  <c r="C43" i="84"/>
  <c r="Q56" i="84"/>
  <c r="Q62" i="84" s="1"/>
  <c r="C83" i="84"/>
  <c r="C82" i="84" s="1"/>
  <c r="B2" i="84"/>
  <c r="Q62" i="67"/>
  <c r="Q75" i="67"/>
  <c r="B3" i="67"/>
  <c r="B2" i="67"/>
  <c r="B3" i="15"/>
  <c r="AO8" i="1"/>
  <c r="D20" i="9"/>
  <c r="AO6" i="1"/>
  <c r="D19" i="9"/>
  <c r="D19" i="87"/>
  <c r="B8" i="70" l="1"/>
  <c r="B3" i="84"/>
  <c r="D21" i="87"/>
  <c r="D102" i="87"/>
  <c r="G19" i="87"/>
  <c r="D22" i="87"/>
  <c r="B6" i="70"/>
  <c r="B2" i="70" s="1"/>
  <c r="B3" i="70" s="1"/>
  <c r="D21" i="9"/>
  <c r="D22" i="9"/>
  <c r="D102" i="9"/>
  <c r="G19" i="9"/>
  <c r="G21" i="9" s="1"/>
  <c r="D103" i="9"/>
  <c r="G20" i="9"/>
  <c r="R24" i="31" s="1"/>
  <c r="D20" i="87"/>
  <c r="D103" i="87" l="1"/>
  <c r="G20" i="87"/>
  <c r="S24" i="31"/>
  <c r="R25" i="31"/>
  <c r="S25" i="31" s="1"/>
  <c r="R29" i="31"/>
  <c r="S29" i="31" s="1"/>
  <c r="R33" i="31"/>
  <c r="S33" i="31" s="1"/>
  <c r="R26" i="31"/>
  <c r="S26" i="31" s="1"/>
  <c r="R30" i="31"/>
  <c r="S30" i="31" s="1"/>
  <c r="R34" i="31"/>
  <c r="S34" i="31" s="1"/>
  <c r="R27" i="31"/>
  <c r="S27" i="31" s="1"/>
  <c r="R31" i="31"/>
  <c r="S31" i="31" s="1"/>
  <c r="R35" i="31"/>
  <c r="S35" i="31" s="1"/>
  <c r="R28" i="31"/>
  <c r="S28" i="31" s="1"/>
  <c r="R32" i="31"/>
  <c r="S32" i="31" s="1"/>
  <c r="R36" i="31"/>
  <c r="S36" i="31" s="1"/>
  <c r="G21" i="87"/>
  <c r="C32" i="87"/>
  <c r="C32" i="9"/>
  <c r="S22" i="31" l="1"/>
  <c r="H118" i="87"/>
  <c r="C35" i="87"/>
  <c r="F118" i="87" s="1"/>
  <c r="C35" i="9"/>
  <c r="D35" i="9" s="1"/>
  <c r="I118" i="9"/>
  <c r="H118" i="9" s="1"/>
  <c r="H101" i="9" l="1"/>
  <c r="D45" i="9" s="1"/>
  <c r="D14" i="74"/>
  <c r="H119" i="9"/>
  <c r="H5" i="52" s="1"/>
  <c r="H4" i="52"/>
  <c r="C104" i="9"/>
  <c r="R22" i="31"/>
  <c r="B20" i="31"/>
  <c r="B21" i="31" s="1"/>
  <c r="F119" i="87"/>
  <c r="G118" i="87"/>
  <c r="C34" i="87"/>
  <c r="D118" i="87" s="1"/>
  <c r="D119" i="87" s="1"/>
  <c r="G118" i="9"/>
  <c r="G4" i="52" s="1"/>
  <c r="B52" i="72" s="1"/>
  <c r="I118" i="87"/>
  <c r="H119" i="87"/>
  <c r="H101" i="87"/>
  <c r="C104" i="87"/>
  <c r="C34" i="9"/>
  <c r="D34" i="9" s="1"/>
  <c r="E14" i="74"/>
  <c r="F14" i="74"/>
  <c r="B5" i="74"/>
  <c r="I4" i="52"/>
  <c r="H102" i="9"/>
  <c r="D7" i="53" s="1"/>
  <c r="B21" i="72" s="1"/>
  <c r="C105" i="9"/>
  <c r="M48" i="9" l="1"/>
  <c r="H107" i="9"/>
  <c r="H108" i="9" s="1"/>
  <c r="D15" i="53" s="1"/>
  <c r="B31" i="72" s="1"/>
  <c r="F118" i="9"/>
  <c r="F119" i="9" s="1"/>
  <c r="F5" i="52" s="1"/>
  <c r="B53" i="72" s="1"/>
  <c r="D5" i="53"/>
  <c r="B20" i="72" s="1"/>
  <c r="E118" i="9"/>
  <c r="E4" i="52" s="1"/>
  <c r="B48" i="72" s="1"/>
  <c r="H107" i="87"/>
  <c r="M48" i="87"/>
  <c r="D45" i="87"/>
  <c r="E118" i="87"/>
  <c r="C105" i="87"/>
  <c r="H102" i="87"/>
  <c r="D5" i="74"/>
  <c r="C5" i="74"/>
  <c r="C72" i="9"/>
  <c r="C64" i="9"/>
  <c r="C63" i="9" s="1"/>
  <c r="C67" i="9" s="1"/>
  <c r="C68" i="9" s="1"/>
  <c r="D54" i="9" s="1"/>
  <c r="D48" i="9" s="1"/>
  <c r="M52" i="9" s="1"/>
  <c r="D53" i="9"/>
  <c r="C93" i="9"/>
  <c r="C86" i="9" s="1"/>
  <c r="C78" i="9"/>
  <c r="C73" i="9" s="1"/>
  <c r="D52" i="9"/>
  <c r="C85" i="9"/>
  <c r="D55" i="9"/>
  <c r="M53" i="9" s="1"/>
  <c r="F4" i="52" l="1"/>
  <c r="B51" i="72" s="1"/>
  <c r="D122" i="9"/>
  <c r="D13" i="53"/>
  <c r="D14" i="53" s="1"/>
  <c r="B32" i="72" s="1"/>
  <c r="D6" i="53"/>
  <c r="B22" i="72" s="1"/>
  <c r="M49" i="9"/>
  <c r="L67" i="9" s="1"/>
  <c r="M67" i="9" s="1"/>
  <c r="D118" i="9"/>
  <c r="C85" i="87"/>
  <c r="C72" i="87"/>
  <c r="C64" i="87"/>
  <c r="C63" i="87" s="1"/>
  <c r="C67" i="87" s="1"/>
  <c r="C68" i="87" s="1"/>
  <c r="D54" i="87" s="1"/>
  <c r="D48" i="87" s="1"/>
  <c r="M52" i="87" s="1"/>
  <c r="D53" i="87"/>
  <c r="C78" i="87"/>
  <c r="C73" i="87" s="1"/>
  <c r="D52" i="87"/>
  <c r="D55" i="87"/>
  <c r="M53" i="87" s="1"/>
  <c r="C93" i="87"/>
  <c r="C86" i="87" s="1"/>
  <c r="M49" i="87"/>
  <c r="D122" i="87"/>
  <c r="D123" i="87" s="1"/>
  <c r="H108" i="87"/>
  <c r="D123" i="9"/>
  <c r="D9" i="52" s="1"/>
  <c r="D8" i="52"/>
  <c r="G14" i="74"/>
  <c r="B6" i="74" s="1"/>
  <c r="C95" i="9"/>
  <c r="C79" i="9"/>
  <c r="B30" i="72" l="1"/>
  <c r="L64" i="9"/>
  <c r="M64" i="9" s="1"/>
  <c r="L66" i="9"/>
  <c r="M66" i="9" s="1"/>
  <c r="L68" i="9"/>
  <c r="M68" i="9" s="1"/>
  <c r="L63" i="9"/>
  <c r="M63" i="9" s="1"/>
  <c r="L65" i="9"/>
  <c r="M65" i="9" s="1"/>
  <c r="D119" i="9"/>
  <c r="D5" i="52" s="1"/>
  <c r="B49" i="72" s="1"/>
  <c r="D4" i="52"/>
  <c r="B47" i="72" s="1"/>
  <c r="C79" i="87"/>
  <c r="L68" i="87"/>
  <c r="M68" i="87" s="1"/>
  <c r="L67" i="87"/>
  <c r="M67" i="87" s="1"/>
  <c r="L65" i="87"/>
  <c r="M65" i="87" s="1"/>
  <c r="L63" i="87"/>
  <c r="M63" i="87" s="1"/>
  <c r="L66" i="87"/>
  <c r="M66" i="87" s="1"/>
  <c r="L64" i="87"/>
  <c r="M64" i="87" s="1"/>
  <c r="C95" i="87"/>
  <c r="C80" i="9"/>
  <c r="E80" i="9" s="1"/>
  <c r="E81" i="9" s="1"/>
  <c r="C96" i="9"/>
  <c r="E96" i="9" s="1"/>
  <c r="E97" i="9" s="1"/>
  <c r="D6" i="74"/>
  <c r="C6" i="74"/>
  <c r="M69" i="9" l="1"/>
  <c r="N69" i="9" s="1"/>
  <c r="C97" i="9"/>
  <c r="D58" i="9" s="1"/>
  <c r="D56" i="9" s="1"/>
  <c r="M54" i="9" s="1"/>
  <c r="N57" i="9" s="1"/>
  <c r="N59" i="9" s="1"/>
  <c r="C97" i="87"/>
  <c r="D58" i="87" s="1"/>
  <c r="D56" i="87" s="1"/>
  <c r="M54" i="87" s="1"/>
  <c r="N57" i="87" s="1"/>
  <c r="C96" i="87"/>
  <c r="E96" i="87" s="1"/>
  <c r="E97" i="87" s="1"/>
  <c r="M69" i="87"/>
  <c r="N69" i="87" s="1"/>
  <c r="C80" i="87"/>
  <c r="E80" i="87" s="1"/>
  <c r="E81" i="87" s="1"/>
  <c r="C81" i="9"/>
  <c r="N58" i="9" l="1"/>
  <c r="P57" i="9"/>
  <c r="C81" i="87"/>
  <c r="N58" i="87"/>
  <c r="P57" i="87"/>
  <c r="N59" i="87"/>
  <c r="H111" i="9"/>
  <c r="N61" i="9"/>
  <c r="H112" i="9" s="1"/>
  <c r="D21" i="53" s="1"/>
  <c r="B39" i="72" s="1"/>
  <c r="N60" i="9"/>
  <c r="N61" i="87" l="1"/>
  <c r="H112" i="87" s="1"/>
  <c r="N60" i="87"/>
  <c r="H111" i="87"/>
  <c r="D126" i="87" s="1"/>
  <c r="D126" i="9"/>
  <c r="D19" i="53"/>
  <c r="D127" i="87" l="1"/>
  <c r="D20" i="53"/>
  <c r="B40" i="72" s="1"/>
  <c r="B38" i="72"/>
  <c r="D127" i="9"/>
  <c r="D13" i="52" s="1"/>
  <c r="D12" i="52"/>
  <c r="I14" i="74"/>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<sst xmlns="http://schemas.openxmlformats.org/spreadsheetml/2006/main" count="11658" uniqueCount="3408">
  <si>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</si>
  <si>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</si>
  <si>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</si>
  <si>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</si>
  <si>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</si>
  <si>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</si>
  <si>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</si>
  <si>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</si>
  <si>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</si>
  <si>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</si>
  <si>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</si>
  <si>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</si>
  <si>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</si>
  <si>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</si>
  <si>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</si>
  <si>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</si>
  <si>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</si>
  <si>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</si>
  <si>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</si>
  <si>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</si>
  <si>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</si>
  <si>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</si>
  <si>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</si>
  <si>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</si>
  <si>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</si>
  <si>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</si>
  <si>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</si>
  <si>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</si>
  <si>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</si>
  <si>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</si>
  <si>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</si>
  <si>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</si>
  <si>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</si>
  <si>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</si>
  <si>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</si>
  <si>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</si>
  <si>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</si>
  <si>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</si>
  <si>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</si>
  <si>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</si>
  <si>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</si>
  <si>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</si>
  <si>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</si>
  <si>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</si>
  <si>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</si>
  <si>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</si>
  <si>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</si>
  <si>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</si>
  <si>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</si>
  <si>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</si>
  <si>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</si>
  <si>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</si>
  <si>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</si>
  <si>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</si>
  <si>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</si>
  <si>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</si>
  <si>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</si>
  <si>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</si>
  <si>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</si>
  <si>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</si>
  <si>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</si>
  <si>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</si>
  <si>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</si>
  <si>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</si>
  <si>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</si>
  <si>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</si>
  <si>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</si>
  <si>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</si>
  <si>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</si>
  <si>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</si>
  <si>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</si>
  <si>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</si>
  <si>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</si>
  <si>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</si>
  <si>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</si>
  <si>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</si>
  <si>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</si>
  <si>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</si>
  <si>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</si>
  <si>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</si>
  <si>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</si>
  <si>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</si>
  <si>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</si>
  <si>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</si>
  <si>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</si>
  <si>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</si>
  <si>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</si>
  <si>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</si>
  <si>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</si>
  <si>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</si>
  <si>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</si>
  <si>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</si>
  <si>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</si>
  <si>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</si>
  <si>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</si>
  <si>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</si>
  <si>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</si>
  <si>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</si>
  <si>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</si>
  <si>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</si>
  <si>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</si>
  <si>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</si>
  <si>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</si>
  <si>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</si>
  <si>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</si>
  <si>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</si>
  <si>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</si>
  <si>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</si>
  <si>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</si>
  <si>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</si>
  <si>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</si>
  <si>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</si>
  <si>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</si>
  <si>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</si>
  <si>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</si>
  <si>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</si>
  <si>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</si>
  <si>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</si>
  <si>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</si>
  <si>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</si>
  <si>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</si>
  <si>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</si>
  <si>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</si>
  <si>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</si>
  <si>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</si>
  <si>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</si>
  <si>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</si>
  <si>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</si>
  <si>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</si>
  <si>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</si>
  <si>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</si>
  <si>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</si>
  <si>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</si>
  <si>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</si>
  <si>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</si>
  <si>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</si>
  <si>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</si>
  <si>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</si>
  <si>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</si>
  <si>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</si>
  <si>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</si>
  <si>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</si>
  <si>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</si>
  <si>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</si>
  <si>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</si>
  <si>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</si>
  <si>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</si>
  <si>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</si>
  <si>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</si>
  <si>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</si>
  <si>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</si>
  <si>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</si>
  <si>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</si>
  <si>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</si>
  <si>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</si>
  <si>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</si>
  <si>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</si>
  <si>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</si>
  <si>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</si>
  <si>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</si>
  <si>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</si>
  <si>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</si>
  <si>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</si>
  <si>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</si>
  <si>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</si>
  <si>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</si>
  <si>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</si>
  <si>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</si>
  <si>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</si>
  <si>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</si>
  <si>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</si>
  <si>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</si>
  <si>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</si>
  <si>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</si>
  <si>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</si>
  <si>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</si>
  <si>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</si>
  <si>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</si>
  <si>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</si>
  <si>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</si>
  <si>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</si>
  <si>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</si>
  <si>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</si>
  <si>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</si>
  <si>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</si>
  <si>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</si>
  <si>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</si>
  <si>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</si>
  <si>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</si>
  <si>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</si>
  <si>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</si>
  <si>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</si>
  <si>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</si>
  <si>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</si>
  <si>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</si>
  <si>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</si>
  <si>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</si>
  <si>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</si>
  <si>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</si>
  <si>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</si>
  <si>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</si>
  <si>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</si>
  <si>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</si>
  <si>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</si>
  <si>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</si>
  <si>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</si>
  <si>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</si>
  <si>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</si>
  <si>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</si>
  <si>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</si>
  <si>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</si>
  <si>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</si>
  <si>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</si>
  <si>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</si>
  <si>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</si>
  <si>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</si>
  <si>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</si>
  <si>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</si>
  <si>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</si>
  <si>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</si>
  <si>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</si>
  <si>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</si>
  <si>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</si>
  <si>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</si>
  <si>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</si>
  <si>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</si>
  <si>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</si>
  <si>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</si>
  <si>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</si>
  <si>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</si>
  <si>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</si>
  <si>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</si>
  <si>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</si>
  <si>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</si>
  <si>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</si>
  <si>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</si>
  <si>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</si>
  <si>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</si>
  <si>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</si>
  <si>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</si>
  <si>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</si>
  <si>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</si>
  <si>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</si>
  <si>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</si>
  <si>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</si>
  <si>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</si>
  <si>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</si>
  <si>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</si>
  <si>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</si>
  <si>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</si>
  <si>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</si>
  <si>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</si>
  <si>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</si>
  <si>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</si>
  <si>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</si>
  <si>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</si>
  <si>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</si>
  <si>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</si>
  <si>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</si>
  <si>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</si>
  <si>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</si>
  <si>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</si>
  <si>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</si>
  <si>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</si>
  <si>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</si>
  <si>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</si>
  <si>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</si>
  <si>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</si>
  <si>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</si>
  <si>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</si>
  <si>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</si>
  <si>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</si>
  <si>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</si>
  <si>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</si>
  <si>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</si>
  <si>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</si>
  <si>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</si>
  <si>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</si>
  <si>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</si>
  <si>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</si>
  <si>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</si>
  <si>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</si>
  <si>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</si>
  <si>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</si>
  <si>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</si>
  <si>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</si>
  <si>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</si>
  <si>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</si>
  <si>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</si>
  <si>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</si>
  <si>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</si>
  <si>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</si>
  <si>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</si>
  <si>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</si>
  <si>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</si>
  <si>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</si>
  <si>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</si>
  <si>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</si>
  <si>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</si>
  <si>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</si>
  <si>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</si>
  <si>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</si>
  <si>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</si>
  <si>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</si>
  <si>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</si>
  <si>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</si>
  <si>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</si>
  <si>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</si>
  <si>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基准地价修正-商业</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</si>
  <si>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</si>
  <si>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</si>
  <si>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</si>
  <si>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</si>
  <si>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</si>
  <si>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基准地价修正-工业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</si>
  <si>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</si>
  <si>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</si>
  <si>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</si>
  <si>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</si>
  <si>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</si>
  <si>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</si>
  <si>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</si>
  <si>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</si>
  <si>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</si>
  <si>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</si>
  <si>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</si>
  <si>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</si>
  <si>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</si>
  <si>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</si>
  <si>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</si>
  <si>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</si>
  <si>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</si>
  <si>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</si>
  <si>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</si>
  <si>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</si>
  <si>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</si>
  <si>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</si>
  <si>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</si>
  <si>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</si>
  <si>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</si>
  <si>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</si>
  <si>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</si>
  <si>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</si>
  <si>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</si>
  <si>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</si>
  <si>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</si>
  <si>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</si>
  <si>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</si>
  <si>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</si>
  <si>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</si>
  <si>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</si>
  <si>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</si>
  <si>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</si>
  <si>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</si>
  <si>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</si>
  <si>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</si>
  <si>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</si>
  <si>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</si>
  <si>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</si>
  <si>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</si>
  <si>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</si>
  <si>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</si>
  <si>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</si>
  <si>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</si>
  <si>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</si>
  <si>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</si>
  <si>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</si>
  <si>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</si>
  <si>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</si>
  <si>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</si>
  <si>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</si>
  <si>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</si>
  <si>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</si>
  <si>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</si>
  <si>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</si>
  <si>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</si>
  <si>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</si>
  <si>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</si>
  <si>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</si>
  <si>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</si>
  <si>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</si>
  <si>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</si>
  <si>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</si>
  <si>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</si>
  <si>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</si>
  <si>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</si>
  <si>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</si>
  <si>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</si>
  <si>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</si>
  <si>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</si>
  <si>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</si>
  <si>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</si>
  <si>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</si>
  <si>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</si>
  <si>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</si>
  <si>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</si>
  <si>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</si>
  <si>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</si>
  <si>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</si>
  <si>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</si>
  <si>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</si>
  <si>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</si>
  <si>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</si>
  <si>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</si>
  <si>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</si>
  <si>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</si>
  <si>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</si>
  <si>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</si>
  <si>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</si>
  <si>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</si>
  <si>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</si>
  <si>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</si>
  <si>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</si>
  <si>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</si>
  <si>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</si>
  <si>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</si>
  <si>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</si>
  <si>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</si>
  <si>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</si>
  <si>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</si>
  <si>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</si>
  <si>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</si>
  <si>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</si>
  <si>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</si>
  <si>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</si>
  <si>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</si>
  <si>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</si>
  <si>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</si>
  <si>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</si>
  <si>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</si>
  <si>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</si>
  <si>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</si>
  <si>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</si>
  <si>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</si>
  <si>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</si>
  <si>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</si>
  <si>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</si>
  <si>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</si>
  <si>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</si>
  <si>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</si>
  <si>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兴盛国际</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</si>
  <si>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</si>
  <si>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</si>
  <si>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</si>
  <si>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</si>
  <si>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</si>
  <si>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</si>
  <si>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</si>
  <si>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</si>
  <si>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</si>
  <si>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</si>
  <si>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</si>
  <si>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</si>
  <si>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</si>
  <si>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</si>
  <si>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</si>
  <si>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</si>
  <si>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</si>
  <si>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</si>
  <si>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</si>
  <si>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</si>
  <si>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</si>
  <si>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</si>
  <si>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</si>
  <si>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</si>
  <si>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</si>
  <si>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</si>
  <si>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</si>
  <si>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</si>
  <si>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</si>
  <si>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</si>
  <si>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</si>
  <si>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</si>
  <si>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</si>
  <si>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</si>
  <si>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</si>
  <si>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</si>
  <si>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</si>
  <si>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</si>
  <si>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</si>
  <si>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</si>
  <si>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</si>
  <si>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</si>
  <si>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</si>
  <si>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</si>
  <si>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</si>
  <si>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</si>
  <si>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</si>
  <si>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</si>
  <si>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</si>
  <si>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</si>
  <si>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</si>
  <si>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</si>
  <si>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</si>
  <si>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</si>
  <si>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</si>
  <si>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</si>
  <si>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</si>
  <si>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</si>
  <si>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</si>
  <si>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</si>
  <si>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</si>
  <si>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</si>
  <si>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</si>
  <si>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</si>
  <si>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</si>
  <si>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</si>
  <si>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</si>
  <si>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</si>
  <si>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</si>
  <si>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</si>
  <si>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</si>
  <si>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</si>
  <si>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</si>
  <si>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</si>
  <si>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</si>
  <si>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</si>
  <si>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</si>
  <si>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</si>
  <si>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</si>
  <si>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</si>
  <si>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</si>
  <si>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0"/>
        <rFont val="SimSun"/>
        <charset val="134"/>
      </rPr>
      <t>估价
对象</t>
    </r>
  </si>
  <si>
    <r>
      <rPr>
        <b/>
        <sz val="10"/>
        <rFont val="SimSun"/>
        <charset val="134"/>
      </rPr>
      <t>《国有土
地使用权
证》证号</t>
    </r>
  </si>
  <si>
    <r>
      <rPr>
        <b/>
        <sz val="10"/>
        <rFont val="SimSun"/>
        <charset val="134"/>
      </rPr>
      <t>《不动产权证
书》/《房屋所
有权证》证号</t>
    </r>
  </si>
  <si>
    <r>
      <rPr>
        <b/>
        <sz val="10"/>
        <rFont val="SimSun"/>
        <charset val="134"/>
      </rPr>
      <t>项目名称</t>
    </r>
  </si>
  <si>
    <r>
      <rPr>
        <b/>
        <sz val="10"/>
        <rFont val="SimSun"/>
        <charset val="134"/>
      </rPr>
      <t>房号/幢号</t>
    </r>
  </si>
  <si>
    <r>
      <rPr>
        <b/>
        <sz val="10"/>
        <rFont val="SimSun"/>
        <charset val="134"/>
      </rPr>
      <t>建筑面积
(平方米)</t>
    </r>
  </si>
  <si>
    <r>
      <rPr>
        <b/>
        <sz val="10"/>
        <rFont val="SimSun"/>
        <charset val="134"/>
      </rPr>
      <t>规划用途</t>
    </r>
  </si>
  <si>
    <r>
      <rPr>
        <b/>
        <sz val="10"/>
        <rFont val="SimSun"/>
        <charset val="134"/>
      </rPr>
      <t>现状用途</t>
    </r>
  </si>
  <si>
    <r>
      <rPr>
        <b/>
        <sz val="10"/>
        <rFont val="SimSun"/>
        <charset val="134"/>
      </rPr>
      <t>楼层</t>
    </r>
  </si>
  <si>
    <r>
      <rPr>
        <b/>
        <sz val="10"/>
        <rFont val="SimSun"/>
        <charset val="134"/>
      </rPr>
      <t>结构</t>
    </r>
  </si>
  <si>
    <r>
      <rPr>
        <b/>
        <sz val="10"/>
        <rFont val="SimSun"/>
        <charset val="134"/>
      </rPr>
      <t>建成
年代</t>
    </r>
  </si>
  <si>
    <t>大证</t>
  </si>
  <si>
    <t>坐落</t>
  </si>
  <si>
    <t>总建筑面积</t>
  </si>
  <si>
    <t>总土地面积</t>
  </si>
  <si>
    <t>出让地面</t>
  </si>
  <si>
    <t>出让金</t>
  </si>
  <si>
    <t>签订合同日期</t>
  </si>
  <si>
    <r>
      <rPr>
        <sz val="10"/>
        <rFont val="SimSun"/>
        <charset val="134"/>
      </rPr>
      <t>估价
对象1</t>
    </r>
  </si>
  <si>
    <r>
      <rPr>
        <sz val="10"/>
        <rFont val="SimSun"/>
        <charset val="134"/>
      </rPr>
      <t>开有限国
用(2002)字
第054号</t>
    </r>
  </si>
  <si>
    <t>X京房权证开
字第021268号</t>
  </si>
  <si>
    <r>
      <rPr>
        <sz val="10"/>
        <rFont val="SimSun"/>
        <charset val="134"/>
      </rPr>
      <t>102~105、107、
108、110、
201~206</t>
    </r>
  </si>
  <si>
    <r>
      <rPr>
        <sz val="10"/>
        <rFont val="SimSun"/>
        <charset val="134"/>
      </rPr>
      <t>商业</t>
    </r>
  </si>
  <si>
    <t>1、2层</t>
  </si>
  <si>
    <r>
      <rPr>
        <sz val="10"/>
        <rFont val="SimSun"/>
        <charset val="134"/>
      </rPr>
      <t>钢混</t>
    </r>
  </si>
  <si>
    <t>北京市北京经济技术开发区同济中路甲7号18幢-1至10层101</t>
  </si>
  <si>
    <t>研发、地下车库、商业</t>
  </si>
  <si>
    <r>
      <rPr>
        <sz val="10"/>
        <rFont val="SimSun"/>
        <charset val="134"/>
      </rPr>
      <t>-1层</t>
    </r>
  </si>
  <si>
    <r>
      <rPr>
        <sz val="10"/>
        <rFont val="SimSun"/>
        <charset val="134"/>
      </rPr>
      <t>地下车库</t>
    </r>
  </si>
  <si>
    <t>B1</t>
  </si>
  <si>
    <r>
      <rPr>
        <sz val="10"/>
        <rFont val="SimSun"/>
        <charset val="134"/>
      </rPr>
      <t>钢泥</t>
    </r>
  </si>
  <si>
    <t>京房权证开股
字第00080号</t>
  </si>
  <si>
    <r>
      <rPr>
        <sz val="10"/>
        <rFont val="SimSun"/>
        <charset val="134"/>
      </rPr>
      <t>兴盛工业园</t>
    </r>
  </si>
  <si>
    <r>
      <rPr>
        <sz val="10"/>
        <rFont val="SimSun"/>
        <charset val="134"/>
      </rPr>
      <t>6幢02号</t>
    </r>
  </si>
  <si>
    <r>
      <rPr>
        <sz val="10"/>
        <rFont val="SimSun"/>
        <charset val="134"/>
      </rPr>
      <t>工业</t>
    </r>
  </si>
  <si>
    <r>
      <rPr>
        <sz val="10"/>
        <rFont val="SimSun"/>
        <charset val="134"/>
      </rPr>
      <t>厂房及办公</t>
    </r>
  </si>
  <si>
    <t>1-3层</t>
  </si>
  <si>
    <r>
      <rPr>
        <sz val="10"/>
        <rFont val="SimSun"/>
        <charset val="134"/>
      </rPr>
      <t>钢、钢
混</t>
    </r>
  </si>
  <si>
    <t>北京市北京经济技术开发区同济中路7号</t>
  </si>
  <si>
    <t>1-2(-01)</t>
  </si>
  <si>
    <t>地上931.8地下411</t>
  </si>
  <si>
    <r>
      <rPr>
        <sz val="10"/>
        <rFont val="SimSun"/>
        <charset val="134"/>
      </rPr>
      <t>小计</t>
    </r>
  </si>
  <si>
    <r>
      <rPr>
        <sz val="10"/>
        <rFont val="SimSun"/>
        <charset val="134"/>
      </rPr>
      <t>——</t>
    </r>
  </si>
  <si>
    <r>
      <rPr>
        <sz val="10"/>
        <rFont val="SimSun"/>
        <charset val="134"/>
      </rPr>
      <t>估价
对象2</t>
    </r>
  </si>
  <si>
    <r>
      <rPr>
        <sz val="10"/>
        <rFont val="SimSun"/>
        <charset val="134"/>
      </rPr>
      <t>开有限国
用(2002)字
第032号</t>
    </r>
  </si>
  <si>
    <t>京房权证开股
字第00047号</t>
  </si>
  <si>
    <r>
      <rPr>
        <sz val="10"/>
        <rFont val="SimSun"/>
        <charset val="134"/>
      </rPr>
      <t>隆盛工业园</t>
    </r>
  </si>
  <si>
    <r>
      <rPr>
        <sz val="10"/>
        <rFont val="SimSun"/>
        <charset val="134"/>
      </rPr>
      <t>钢</t>
    </r>
  </si>
  <si>
    <t>总土地</t>
  </si>
  <si>
    <t>转让费地面价</t>
  </si>
  <si>
    <r>
      <rPr>
        <sz val="10"/>
        <rFont val="SimSun"/>
        <charset val="134"/>
      </rPr>
      <t>京房权证开股
字第00164号</t>
    </r>
  </si>
  <si>
    <r>
      <rPr>
        <sz val="10"/>
        <rFont val="SimSun"/>
        <charset val="134"/>
      </rPr>
      <t>隆盛富兴大
厦</t>
    </r>
  </si>
  <si>
    <r>
      <rPr>
        <sz val="10"/>
        <rFont val="SimSun"/>
        <charset val="134"/>
      </rPr>
      <t>6幢</t>
    </r>
  </si>
  <si>
    <r>
      <rPr>
        <sz val="10"/>
        <rFont val="SimSun"/>
        <charset val="134"/>
      </rPr>
      <t>办公、附属
用房</t>
    </r>
  </si>
  <si>
    <r>
      <rPr>
        <sz val="10"/>
        <rFont val="SimSun"/>
        <charset val="134"/>
      </rPr>
      <t>办公</t>
    </r>
  </si>
  <si>
    <r>
      <rPr>
        <sz val="10"/>
        <rFont val="SimSun"/>
        <charset val="134"/>
      </rPr>
      <t>1-7</t>
    </r>
  </si>
  <si>
    <r>
      <rPr>
        <sz val="10"/>
        <rFont val="SimSun"/>
        <charset val="134"/>
      </rPr>
      <t>混合</t>
    </r>
  </si>
  <si>
    <t>办公1-7层5299.24附属7层135.75</t>
  </si>
  <si>
    <r>
      <rPr>
        <sz val="10"/>
        <rFont val="SimSun"/>
        <charset val="134"/>
      </rPr>
      <t>估价
对象3</t>
    </r>
  </si>
  <si>
    <r>
      <rPr>
        <sz val="10"/>
        <rFont val="SimSun"/>
        <charset val="134"/>
      </rPr>
      <t>开全国用
(2003)字第
   31号</t>
    </r>
  </si>
  <si>
    <r>
      <rPr>
        <sz val="10"/>
        <rFont val="SimSun"/>
        <charset val="134"/>
      </rPr>
      <t>X京房权证开
字第008294号</t>
    </r>
  </si>
  <si>
    <r>
      <rPr>
        <sz val="10"/>
        <rFont val="SimSun"/>
        <charset val="134"/>
      </rPr>
      <t>康盛工业园</t>
    </r>
  </si>
  <si>
    <r>
      <rPr>
        <sz val="10"/>
        <rFont val="SimSun"/>
        <charset val="134"/>
      </rPr>
      <t>工业用房</t>
    </r>
  </si>
  <si>
    <r>
      <rPr>
        <sz val="10"/>
        <rFont val="SimSun"/>
        <charset val="134"/>
      </rPr>
      <t>X京房权证开
字第008295号</t>
    </r>
  </si>
  <si>
    <r>
      <rPr>
        <sz val="10"/>
        <rFont val="SimSun"/>
        <charset val="134"/>
      </rPr>
      <t>X京房权证开
字第010084号</t>
    </r>
  </si>
  <si>
    <r>
      <rPr>
        <sz val="10"/>
        <rFont val="SimSun"/>
        <charset val="134"/>
      </rPr>
      <t>厂房</t>
    </r>
  </si>
  <si>
    <t>1-6层</t>
  </si>
  <si>
    <r>
      <rPr>
        <sz val="10"/>
        <rFont val="SimSun"/>
        <charset val="134"/>
      </rPr>
      <t>京(2021)开不
动产权第
0009431号</t>
    </r>
  </si>
  <si>
    <t>康盛工业园
(改建)</t>
  </si>
  <si>
    <r>
      <rPr>
        <sz val="10"/>
        <rFont val="SimSun"/>
        <charset val="134"/>
      </rPr>
      <t>19号楼</t>
    </r>
  </si>
  <si>
    <r>
      <rPr>
        <sz val="10"/>
        <rFont val="SimSun"/>
        <charset val="134"/>
      </rPr>
      <t>通用厂房、
健身房</t>
    </r>
  </si>
  <si>
    <r>
      <rPr>
        <sz val="10"/>
        <rFont val="SimSun"/>
        <charset val="134"/>
      </rPr>
      <t>办公、商业、
车库、设备
    用房</t>
    </r>
  </si>
  <si>
    <t>1-5层</t>
  </si>
  <si>
    <t>签订日期</t>
  </si>
  <si>
    <t>容积率</t>
  </si>
  <si>
    <t>地上建筑规模</t>
  </si>
  <si>
    <t>地下建筑规模</t>
  </si>
  <si>
    <t>20、21、24号
楼</t>
  </si>
  <si>
    <r>
      <rPr>
        <sz val="10"/>
        <rFont val="SimSun"/>
        <charset val="134"/>
      </rPr>
      <t>通用厂房
培训交流
金融服务
与通行空
间、食堂、
产品展示
中心、会议
中心、产品
体验中心
科技中介
服务、汽车
库、设备用
房</t>
    </r>
  </si>
  <si>
    <r>
      <rPr>
        <sz val="10"/>
        <rFont val="SimSun"/>
        <charset val="134"/>
      </rPr>
      <t>7(-01)</t>
    </r>
  </si>
  <si>
    <t>13.77万</t>
  </si>
  <si>
    <t>2.89万</t>
  </si>
  <si>
    <r>
      <rPr>
        <sz val="10"/>
        <rFont val="SimSun"/>
        <charset val="134"/>
      </rPr>
      <t>28号楼</t>
    </r>
  </si>
  <si>
    <r>
      <rPr>
        <sz val="10"/>
        <rFont val="SimSun"/>
        <charset val="134"/>
      </rPr>
      <t>通用厂房</t>
    </r>
  </si>
  <si>
    <r>
      <rPr>
        <sz val="10"/>
        <rFont val="SimSun"/>
        <charset val="134"/>
      </rPr>
      <t>合计</t>
    </r>
  </si>
  <si>
    <r>
      <rPr>
        <sz val="10"/>
        <rFont val="SimSun"/>
        <charset val="134"/>
      </rPr>
      <t>120.054.86</t>
    </r>
  </si>
  <si>
    <t>28号楼</t>
  </si>
  <si>
    <t>1层</t>
  </si>
  <si>
    <t>B1层</t>
  </si>
  <si>
    <t>2层</t>
  </si>
  <si>
    <t>3层</t>
  </si>
  <si>
    <t>4层</t>
  </si>
  <si>
    <t>5层</t>
  </si>
  <si>
    <t>附属用房</t>
  </si>
  <si>
    <t>6层</t>
  </si>
  <si>
    <t>7层</t>
  </si>
  <si>
    <t>附属层</t>
  </si>
  <si>
    <t>抵押范围</t>
  </si>
  <si>
    <t>不抵押</t>
  </si>
  <si>
    <t>不动产坐落</t>
  </si>
  <si>
    <t>建筑面积</t>
  </si>
  <si>
    <t>1层102</t>
  </si>
  <si>
    <t>商业用房</t>
  </si>
  <si>
    <t>-1层-001</t>
  </si>
  <si>
    <t>车位</t>
  </si>
  <si>
    <t>3层2单元301</t>
  </si>
  <si>
    <t>研发用房</t>
  </si>
  <si>
    <t>1层103</t>
  </si>
  <si>
    <t>-1层-002</t>
  </si>
  <si>
    <t>3层2单元302</t>
  </si>
  <si>
    <t>1层104</t>
  </si>
  <si>
    <t>-1层-003</t>
  </si>
  <si>
    <t>3层2单元321</t>
  </si>
  <si>
    <t>1层105</t>
  </si>
  <si>
    <t>-1层-004</t>
  </si>
  <si>
    <t>3层2单元325</t>
  </si>
  <si>
    <t>1层107</t>
  </si>
  <si>
    <t>-1层-005</t>
  </si>
  <si>
    <t>5层2单元501</t>
  </si>
  <si>
    <t>1层108</t>
  </si>
  <si>
    <t>-1层-006</t>
  </si>
  <si>
    <t>6层1单元622</t>
  </si>
  <si>
    <t>1层110</t>
  </si>
  <si>
    <t>-1层-007</t>
  </si>
  <si>
    <t>6层1单元623</t>
  </si>
  <si>
    <t>2层201</t>
  </si>
  <si>
    <t>-1层-008</t>
  </si>
  <si>
    <t>7层1单元721</t>
  </si>
  <si>
    <t>2层202</t>
  </si>
  <si>
    <t>-1层-009</t>
  </si>
  <si>
    <t>8层2单元818</t>
  </si>
  <si>
    <t>2层203</t>
  </si>
  <si>
    <t>-1层-010</t>
  </si>
  <si>
    <t>9层1单元929</t>
  </si>
  <si>
    <t>2层204</t>
  </si>
  <si>
    <t>-1层-011</t>
  </si>
  <si>
    <t>9层2单元931</t>
  </si>
  <si>
    <t>2层205</t>
  </si>
  <si>
    <t>-1层-012</t>
  </si>
  <si>
    <t>10层1单元1011</t>
  </si>
  <si>
    <t>2层206</t>
  </si>
  <si>
    <t>-1层-013</t>
  </si>
  <si>
    <t>1层101</t>
  </si>
  <si>
    <t>租金</t>
  </si>
  <si>
    <t>-1层-014</t>
  </si>
  <si>
    <t>1层小计</t>
  </si>
  <si>
    <t>-1层-015</t>
  </si>
  <si>
    <t>2层小计</t>
  </si>
  <si>
    <t>-1层-016</t>
  </si>
  <si>
    <t>-1层-017</t>
  </si>
  <si>
    <t>个</t>
  </si>
  <si>
    <t>-1层-018</t>
  </si>
  <si>
    <t>总计</t>
  </si>
  <si>
    <t>-1层-019</t>
  </si>
  <si>
    <t>车位租金</t>
  </si>
  <si>
    <t>-1层-020</t>
  </si>
  <si>
    <t>600元/月含100元管理费</t>
  </si>
  <si>
    <t>-1层-021</t>
  </si>
  <si>
    <t>-1层-022</t>
  </si>
  <si>
    <t>-1层-023</t>
  </si>
  <si>
    <t>-1层-024</t>
  </si>
  <si>
    <t>-1层-025</t>
  </si>
  <si>
    <t>-1层-026</t>
  </si>
  <si>
    <t>-1层-027</t>
  </si>
  <si>
    <t>-1层-028</t>
  </si>
  <si>
    <t>-1层-029</t>
  </si>
  <si>
    <t>-1层-030</t>
  </si>
  <si>
    <t>-1层-037</t>
  </si>
  <si>
    <t>-1层-038</t>
  </si>
  <si>
    <t>-1层-039</t>
  </si>
  <si>
    <t>-1层-040</t>
  </si>
  <si>
    <t>-1层-041</t>
  </si>
  <si>
    <t>-1层-042</t>
  </si>
  <si>
    <t>-1层-043</t>
  </si>
  <si>
    <t>-1层-044</t>
  </si>
  <si>
    <t>-1层-045</t>
  </si>
  <si>
    <t>-1层-046</t>
  </si>
  <si>
    <t>-1层-047</t>
  </si>
  <si>
    <t>-1层-048</t>
  </si>
  <si>
    <t>-1层-051</t>
  </si>
  <si>
    <t>-1层-052</t>
  </si>
  <si>
    <t>-1层-053</t>
  </si>
  <si>
    <t>-1层-054</t>
  </si>
  <si>
    <t>-1层-055</t>
  </si>
  <si>
    <t>-1层-056</t>
  </si>
  <si>
    <t>-1层-057</t>
  </si>
  <si>
    <t>-1层-058</t>
  </si>
  <si>
    <t>-1层-059</t>
  </si>
  <si>
    <t>-1层-060</t>
  </si>
  <si>
    <t>-1层-061</t>
  </si>
  <si>
    <t>-1层-062</t>
  </si>
  <si>
    <t>-1层-063</t>
  </si>
  <si>
    <t>-1层-064</t>
  </si>
  <si>
    <t>-1层-065</t>
  </si>
  <si>
    <t>-1层-066</t>
  </si>
  <si>
    <t>-1层-067</t>
  </si>
  <si>
    <t>-1层-068</t>
  </si>
  <si>
    <t>-1层-069</t>
  </si>
  <si>
    <t>-1层-070</t>
  </si>
  <si>
    <t>-1层-071</t>
  </si>
  <si>
    <t>-1层-072</t>
  </si>
  <si>
    <t>-1层-073</t>
  </si>
  <si>
    <t>-1层-074</t>
  </si>
  <si>
    <t>-1层-075</t>
  </si>
  <si>
    <t>-1层-076</t>
  </si>
  <si>
    <t>-1层-077</t>
  </si>
  <si>
    <t>-1层-078</t>
  </si>
  <si>
    <t>-1层-079</t>
  </si>
  <si>
    <t>-1层-080</t>
  </si>
  <si>
    <t>-1层-081</t>
  </si>
  <si>
    <t>-1层-082</t>
  </si>
  <si>
    <t>-1层-083</t>
  </si>
  <si>
    <t>-1层-084</t>
  </si>
  <si>
    <t>-1层-085</t>
  </si>
  <si>
    <t>-1层-086</t>
  </si>
  <si>
    <t>-1层-087</t>
  </si>
  <si>
    <t>-1层-088</t>
  </si>
  <si>
    <t>-1层-089</t>
  </si>
  <si>
    <t>-1层-090</t>
  </si>
  <si>
    <t>-1层-091</t>
  </si>
  <si>
    <t>-1层-092</t>
  </si>
  <si>
    <t>-1层-093</t>
  </si>
  <si>
    <t>-1层-094</t>
  </si>
  <si>
    <t>-1层-095</t>
  </si>
  <si>
    <t>-1层-096</t>
  </si>
  <si>
    <t>-1层-097</t>
  </si>
  <si>
    <t>-1层-098</t>
  </si>
  <si>
    <t>-1层-099</t>
  </si>
  <si>
    <t>-1层-100</t>
  </si>
  <si>
    <t>-1层-101</t>
  </si>
  <si>
    <t>-1层-102</t>
  </si>
  <si>
    <t>-1层-103</t>
  </si>
  <si>
    <t>-1层-104</t>
  </si>
  <si>
    <t>-1层-105</t>
  </si>
  <si>
    <t>-1层-106</t>
  </si>
  <si>
    <t>-1层-107</t>
  </si>
  <si>
    <t>-1层-108</t>
  </si>
  <si>
    <t>-1层-109</t>
  </si>
  <si>
    <t>-1层-110</t>
  </si>
  <si>
    <t>-1层-111</t>
  </si>
  <si>
    <t>-1层-112</t>
  </si>
  <si>
    <t>-1层-113</t>
  </si>
  <si>
    <t>-1层-114</t>
  </si>
  <si>
    <t>-1层-115</t>
  </si>
  <si>
    <t>-1层-116</t>
  </si>
  <si>
    <t>-1层-117</t>
  </si>
  <si>
    <t>-1层-118</t>
  </si>
  <si>
    <t>-1层-119</t>
  </si>
  <si>
    <t>-1层-120</t>
  </si>
  <si>
    <t>-1层-121</t>
  </si>
  <si>
    <t>-1层-122</t>
  </si>
  <si>
    <t>-1层-123</t>
  </si>
  <si>
    <t>-1层-124</t>
  </si>
  <si>
    <t>序号</t>
  </si>
  <si>
    <t>项目名称</t>
  </si>
  <si>
    <t>楼栋</t>
  </si>
  <si>
    <t>商铺号</t>
  </si>
  <si>
    <t>房产证号</t>
  </si>
  <si>
    <t>建筑面积(m2)</t>
  </si>
  <si>
    <r>
      <rPr>
        <b/>
        <sz val="11"/>
        <color theme="1"/>
        <rFont val="Microsoft YaHei"/>
        <charset val="134"/>
      </rPr>
      <t>2023年一铺一价
（元/月/</t>
    </r>
    <r>
      <rPr>
        <b/>
        <sz val="11"/>
        <color theme="1"/>
        <rFont val="宋体"/>
        <family val="3"/>
        <charset val="134"/>
      </rPr>
      <t>㎡</t>
    </r>
    <r>
      <rPr>
        <b/>
        <sz val="11"/>
        <color theme="1"/>
        <rFont val="Microsoft YaHei"/>
        <charset val="134"/>
      </rPr>
      <t>）</t>
    </r>
  </si>
  <si>
    <t>计租面积(m2)</t>
  </si>
  <si>
    <t>租户</t>
  </si>
  <si>
    <t>2023年租金价格
（元/月/平米）</t>
  </si>
  <si>
    <t>租期</t>
  </si>
  <si>
    <t>递增</t>
  </si>
  <si>
    <t>月租金（万元）</t>
  </si>
  <si>
    <t>年租金（万元）</t>
  </si>
  <si>
    <t>物业类型</t>
  </si>
  <si>
    <t>状态</t>
  </si>
  <si>
    <t>备注</t>
  </si>
  <si>
    <t>租金单价</t>
  </si>
  <si>
    <t>富兴大厦</t>
  </si>
  <si>
    <t>整栋</t>
  </si>
  <si>
    <t>1F01</t>
  </si>
  <si>
    <t>京房权证开股字第00164号</t>
  </si>
  <si>
    <t>极客空间（北京）科技有限公司</t>
  </si>
  <si>
    <t>2016.1.20-2024.1.19</t>
  </si>
  <si>
    <t>每两年递增5%</t>
  </si>
  <si>
    <t>研发楼</t>
  </si>
  <si>
    <t>出租</t>
  </si>
  <si>
    <t>1F02</t>
  </si>
  <si>
    <t>2F01</t>
  </si>
  <si>
    <t>3F01</t>
  </si>
  <si>
    <t>4F01</t>
  </si>
  <si>
    <t>2018.1.17-2024.1.19</t>
  </si>
  <si>
    <t>5F01</t>
  </si>
  <si>
    <t>6F01</t>
  </si>
  <si>
    <t>7F01</t>
  </si>
  <si>
    <t>8F01</t>
  </si>
  <si>
    <t>富兴大厦已租合计</t>
  </si>
  <si>
    <t/>
  </si>
  <si>
    <t>隆盛工业园</t>
  </si>
  <si>
    <t>垃圾间</t>
  </si>
  <si>
    <t>京房权证开股字第00047号</t>
  </si>
  <si>
    <t>/</t>
  </si>
  <si>
    <t>富兴物业</t>
  </si>
  <si>
    <t>自用</t>
  </si>
  <si>
    <t>205栋</t>
  </si>
  <si>
    <t>205A-01</t>
  </si>
  <si>
    <t>北京远策药业有限责任公司</t>
  </si>
  <si>
    <t>2023.3.13-2028.3.12</t>
  </si>
  <si>
    <t>每年递增3%</t>
  </si>
  <si>
    <t>厂房</t>
  </si>
  <si>
    <t>207栋</t>
  </si>
  <si>
    <t>207A-01</t>
  </si>
  <si>
    <t>北京岛津医疗器械有限公司</t>
  </si>
  <si>
    <t>2021.10.1-2024.9.30</t>
  </si>
  <si>
    <t>无递增</t>
  </si>
  <si>
    <t>隆盛工业园小计</t>
  </si>
  <si>
    <t>隆盛工业园合计</t>
  </si>
  <si>
    <t>康盛四期</t>
  </si>
  <si>
    <t>31栋</t>
  </si>
  <si>
    <t>京房权证开字第010084号</t>
  </si>
  <si>
    <t>北京悦信通软件技术有限公司</t>
  </si>
  <si>
    <t>2021.4.1-2026.3.31</t>
  </si>
  <si>
    <t>每三年递增5%</t>
  </si>
  <si>
    <t>康盛一期</t>
  </si>
  <si>
    <t>3栋</t>
  </si>
  <si>
    <t>3A-3-01</t>
  </si>
  <si>
    <t>京房权证开字第008294号</t>
  </si>
  <si>
    <t>北京金风体育文化有限公司</t>
  </si>
  <si>
    <t>2022.6.30-2025.6.29</t>
  </si>
  <si>
    <t>8栋</t>
  </si>
  <si>
    <t>8A-8-01</t>
  </si>
  <si>
    <t>赛诺威盛科技（北京）有限公司</t>
  </si>
  <si>
    <t>2023.4.20-2028.4.19</t>
  </si>
  <si>
    <t>9栋</t>
  </si>
  <si>
    <t>9A-9-01</t>
  </si>
  <si>
    <t>福瑞博达（北京）自动化设备有限公司</t>
  </si>
  <si>
    <t>2023.7.1-2027.6.30</t>
  </si>
  <si>
    <t>10栋</t>
  </si>
  <si>
    <t>10A-1001</t>
  </si>
  <si>
    <t>安奕极（北京）电源系统有限公司</t>
  </si>
  <si>
    <t>2022.7.1-2025.6.30</t>
  </si>
  <si>
    <t>康盛二期</t>
  </si>
  <si>
    <t>16A栋</t>
  </si>
  <si>
    <t>16A-1601</t>
  </si>
  <si>
    <t>京房权证开字第008295号</t>
  </si>
  <si>
    <t>中核粒子医疗科技有限公司</t>
  </si>
  <si>
    <t>2023.8.15-2028.8.14</t>
  </si>
  <si>
    <t>16B栋</t>
  </si>
  <si>
    <t>16B-1601</t>
  </si>
  <si>
    <t>北京江语测试技术有限公司</t>
  </si>
  <si>
    <t>2023.5.15-2031.5.14</t>
  </si>
  <si>
    <t>12栋</t>
  </si>
  <si>
    <t>12B-1201</t>
  </si>
  <si>
    <t>赛诺威盛</t>
  </si>
  <si>
    <t>2022.9.1-2027.8.31</t>
  </si>
  <si>
    <t>每三年递增6%</t>
  </si>
  <si>
    <t>2A栋</t>
  </si>
  <si>
    <t>2A-2-01</t>
  </si>
  <si>
    <t>和晟嘉信</t>
  </si>
  <si>
    <t>2022.9.25-2025.9.24</t>
  </si>
  <si>
    <t>2B栋</t>
  </si>
  <si>
    <t>2B-2-01</t>
  </si>
  <si>
    <t>红英（北京）物业管理有限公司</t>
  </si>
  <si>
    <t>2022.4.1-2025.3.31</t>
  </si>
  <si>
    <t>1A栋</t>
  </si>
  <si>
    <t>1A-1-01</t>
  </si>
  <si>
    <t>新石器慧通</t>
  </si>
  <si>
    <t>2022.11.7-2025.11.6</t>
  </si>
  <si>
    <t>第二年起每两年递增5%</t>
  </si>
  <si>
    <t>1B栋</t>
  </si>
  <si>
    <t>1B-1-01</t>
  </si>
  <si>
    <t>25栋</t>
  </si>
  <si>
    <t>25A-2501</t>
  </si>
  <si>
    <t>营口金辰机械股份有限公司</t>
  </si>
  <si>
    <t>2023.12.15-2028.12.14</t>
  </si>
  <si>
    <t>签订意向</t>
  </si>
  <si>
    <t>15栋</t>
  </si>
  <si>
    <t>15A-1501</t>
  </si>
  <si>
    <t>新兴际华</t>
  </si>
  <si>
    <t>2022.9.15-2027.9.14</t>
  </si>
  <si>
    <t>17B栋</t>
  </si>
  <si>
    <t>17B-1702</t>
  </si>
  <si>
    <t>天拓四方</t>
  </si>
  <si>
    <t>2022.12.25-2030.12.24</t>
  </si>
  <si>
    <t>17A栋</t>
  </si>
  <si>
    <t>17A-1701</t>
  </si>
  <si>
    <t>11栋</t>
  </si>
  <si>
    <t>11A-1101</t>
  </si>
  <si>
    <t>2023.8.15-2028.8.141</t>
  </si>
  <si>
    <t>每两年递增6%</t>
  </si>
  <si>
    <t>康盛老厂房已租小计</t>
  </si>
  <si>
    <t>31A-3104</t>
  </si>
  <si>
    <t>京房权证开字第010084</t>
  </si>
  <si>
    <t>长沙掌创信息科技有限公司</t>
  </si>
  <si>
    <t>2023.3.15-2029.3.14</t>
  </si>
  <si>
    <t>31A-3105</t>
  </si>
  <si>
    <t>12A-1201</t>
  </si>
  <si>
    <t>康盛改建一期</t>
  </si>
  <si>
    <t>19号楼（A5栋）</t>
  </si>
  <si>
    <t>1F103</t>
  </si>
  <si>
    <t>京2021开不动产权0009431</t>
  </si>
  <si>
    <t>北京治顺商业管理有限公司</t>
  </si>
  <si>
    <t>2023.5.8-2031.5.7</t>
  </si>
  <si>
    <t>第三年起每年递增3%</t>
  </si>
  <si>
    <t>商业</t>
  </si>
  <si>
    <t>1F105</t>
  </si>
  <si>
    <t>2F203</t>
  </si>
  <si>
    <t>2F205</t>
  </si>
  <si>
    <t>2023.5.8-2028.5.7</t>
  </si>
  <si>
    <t>2F206</t>
  </si>
  <si>
    <t>2F207</t>
  </si>
  <si>
    <t>1F101</t>
  </si>
  <si>
    <t>北京纳百生物科技有限公司</t>
  </si>
  <si>
    <t>2023.3.1-2028.2.29</t>
  </si>
  <si>
    <t>1F102</t>
  </si>
  <si>
    <t>2F201</t>
  </si>
  <si>
    <t>2F202</t>
  </si>
  <si>
    <t>4F401</t>
  </si>
  <si>
    <t>空置</t>
  </si>
  <si>
    <t>4F402</t>
  </si>
  <si>
    <t>5F501</t>
  </si>
  <si>
    <t>5F502</t>
  </si>
  <si>
    <t>3F301</t>
  </si>
  <si>
    <t>3F302</t>
  </si>
  <si>
    <t>20号楼（A3栋）</t>
  </si>
  <si>
    <t>1F118</t>
  </si>
  <si>
    <t>胡彪</t>
  </si>
  <si>
    <t>1F119</t>
  </si>
  <si>
    <t>1F120</t>
  </si>
  <si>
    <t>1F121</t>
  </si>
  <si>
    <t>2F215</t>
  </si>
  <si>
    <t>2F216</t>
  </si>
  <si>
    <t>2F217</t>
  </si>
  <si>
    <t>2F218</t>
  </si>
  <si>
    <t>2023.4.20-2031.4.19</t>
  </si>
  <si>
    <t>2F219</t>
  </si>
  <si>
    <t>2F220</t>
  </si>
  <si>
    <t>北京广之晟贸易</t>
  </si>
  <si>
    <t>2023.3.31-2028.3.30</t>
  </si>
  <si>
    <t>6F601</t>
  </si>
  <si>
    <t>6F602</t>
  </si>
  <si>
    <t>7F701</t>
  </si>
  <si>
    <t>7F702</t>
  </si>
  <si>
    <t>1F115</t>
  </si>
  <si>
    <t>刘戈</t>
  </si>
  <si>
    <t>2023.4.3-2035.4.2</t>
  </si>
  <si>
    <t>1F116</t>
  </si>
  <si>
    <t>1F117</t>
  </si>
  <si>
    <t>21号楼（A2栋）</t>
  </si>
  <si>
    <t>1F108</t>
  </si>
  <si>
    <t>1F112</t>
  </si>
  <si>
    <t>1F110</t>
  </si>
  <si>
    <t>1F109</t>
  </si>
  <si>
    <t>1F113</t>
  </si>
  <si>
    <t>1F106</t>
  </si>
  <si>
    <t>1F107</t>
  </si>
  <si>
    <t>1F111</t>
  </si>
  <si>
    <t>2F208</t>
  </si>
  <si>
    <t>2F209</t>
  </si>
  <si>
    <t>2F210</t>
  </si>
  <si>
    <t>2F211</t>
  </si>
  <si>
    <t>2F213</t>
  </si>
  <si>
    <t>2F212</t>
  </si>
  <si>
    <t>北京东方逸滕数码医疗设备技术有限公司</t>
  </si>
  <si>
    <t>2022.7.15-2025.7.14</t>
  </si>
  <si>
    <t>4F502</t>
  </si>
  <si>
    <t>24号楼（A1栋）</t>
  </si>
  <si>
    <t>北京鸿盛嘉苑酒店管理有限公司</t>
  </si>
  <si>
    <t>2023.7.1-2035.6.30</t>
  </si>
  <si>
    <t>合同签订，与厂房租期一致</t>
  </si>
  <si>
    <t>28号楼（A4栋）</t>
  </si>
  <si>
    <t>岳阳康兴贸易</t>
  </si>
  <si>
    <t>2023.3.2-2026.3.1</t>
  </si>
  <si>
    <t>赛诺威盛科技（北京）股份有限公司</t>
  </si>
  <si>
    <t>2021.9.20-2026.9.19</t>
  </si>
  <si>
    <t>地下</t>
  </si>
  <si>
    <r>
      <rPr>
        <sz val="10"/>
        <rFont val="Microsoft YaHei"/>
        <charset val="134"/>
      </rPr>
      <t>空置</t>
    </r>
  </si>
  <si>
    <t>已租小计</t>
  </si>
  <si>
    <t>小计</t>
  </si>
  <si>
    <t>康盛总计</t>
  </si>
  <si>
    <t>兴盛工业园</t>
  </si>
  <si>
    <t>8、9号</t>
  </si>
  <si>
    <t>京房权证开股字第00080号</t>
  </si>
  <si>
    <t>平房</t>
  </si>
  <si>
    <t>兴盛工业园已售小计</t>
  </si>
  <si>
    <t>10号</t>
  </si>
  <si>
    <t>动力中心+地下室</t>
  </si>
  <si>
    <t>兴盛工业园自用小计</t>
  </si>
  <si>
    <t>6B栋</t>
  </si>
  <si>
    <t>6B6-01</t>
  </si>
  <si>
    <t>诺兰特移动通信配件（北京）有限公司</t>
  </si>
  <si>
    <t>2021.1.2-2024.1.1</t>
  </si>
  <si>
    <t>7栋</t>
  </si>
  <si>
    <t>7A7-01</t>
  </si>
  <si>
    <t>兴盛工业园已租小计</t>
  </si>
  <si>
    <t>兴盛工业工业园小计</t>
  </si>
  <si>
    <t>2XS栋</t>
  </si>
  <si>
    <t>2XS-1F02</t>
  </si>
  <si>
    <t>京房权证开字第021268号</t>
  </si>
  <si>
    <t>北京亦芯熠熠科技有限公司（胖哥烧烤）</t>
  </si>
  <si>
    <t>2023.10.1-2028.9.30</t>
  </si>
  <si>
    <t>2XS-1F03</t>
  </si>
  <si>
    <t>北京故乡村韩国料理店（李春来）</t>
  </si>
  <si>
    <t>2022.4.8-2024.4.7</t>
  </si>
  <si>
    <t>2XS-1F04</t>
  </si>
  <si>
    <t>北京仰巽科技有限公司（喆啡酒店+美食城）</t>
  </si>
  <si>
    <t>2018.1.28-2024.1.27</t>
  </si>
  <si>
    <t>每年递增5%</t>
  </si>
  <si>
    <t>2XS-1F05</t>
  </si>
  <si>
    <t>2XS-1F07</t>
  </si>
  <si>
    <t>北京荣华中西医结合医院</t>
  </si>
  <si>
    <t>2011.4.19-2025.4.18</t>
  </si>
  <si>
    <t>2XS-1F08</t>
  </si>
  <si>
    <t>2XS-2F01</t>
  </si>
  <si>
    <t>2XS-2F02</t>
  </si>
  <si>
    <t>2XS-2F03</t>
  </si>
  <si>
    <t>2XS-2F04</t>
  </si>
  <si>
    <t>2XS-2F05</t>
  </si>
  <si>
    <t>2XS-2F06</t>
  </si>
  <si>
    <t>兴盛国际已租小计</t>
  </si>
  <si>
    <t>地下负一层</t>
  </si>
  <si>
    <t>2XS-1F10</t>
  </si>
  <si>
    <t>兴盛国际空置小计</t>
  </si>
  <si>
    <t>兴盛国际合计</t>
  </si>
  <si>
    <t>测绘报告面积为30879.32平米，产证为30878.84平米，面积明细统计根据测绘报告填写。</t>
  </si>
  <si>
    <t>兴盛三期</t>
  </si>
  <si>
    <t>2号楼（现5号楼）</t>
  </si>
  <si>
    <t>1-9层</t>
  </si>
  <si>
    <t>京2017开不动产权第0016545号</t>
  </si>
  <si>
    <t>富兴地产北京公司</t>
  </si>
  <si>
    <t>十年</t>
  </si>
  <si>
    <t>兴盛三期自用小计</t>
  </si>
  <si>
    <t>3/6/7栋</t>
  </si>
  <si>
    <t>1F104</t>
  </si>
  <si>
    <t>山西面馆（北京筷食坊餐饮管理有限公司）</t>
  </si>
  <si>
    <t>2016.9.1-2025.8.31</t>
  </si>
  <si>
    <t>2023年9月1日递增5%</t>
  </si>
  <si>
    <t>（宜尚酒店）北京亦盛国际酒店管理有限公司</t>
  </si>
  <si>
    <t>2017.6.15-2023.6.14</t>
  </si>
  <si>
    <t>1F103a</t>
  </si>
  <si>
    <t>韩守清</t>
  </si>
  <si>
    <t>2023.7.1-2028.6.30</t>
  </si>
  <si>
    <t>1F103b</t>
  </si>
  <si>
    <t>新蓉小厨（于军虎）</t>
  </si>
  <si>
    <t>2017.2.28-2023.2.27</t>
  </si>
  <si>
    <t>张其宽</t>
  </si>
  <si>
    <t>2021.5.1-2024.4.30</t>
  </si>
  <si>
    <t>2021.8.1-2024.12.29</t>
  </si>
  <si>
    <t>2016.12.30-2024.12.29</t>
  </si>
  <si>
    <t>2F204</t>
  </si>
  <si>
    <t>5号楼</t>
  </si>
  <si>
    <t>中益能储热技术集团有限公司</t>
  </si>
  <si>
    <t>2015.11.16-2023.11.15</t>
  </si>
  <si>
    <t>地下负一层1F01</t>
  </si>
  <si>
    <t>2018.6.20-2023.6.19</t>
  </si>
  <si>
    <t>物业用房</t>
  </si>
  <si>
    <t>6号楼</t>
  </si>
  <si>
    <t>2017.6.30-2023.6.29</t>
  </si>
  <si>
    <t>2018.12.26-2024.12.25</t>
  </si>
  <si>
    <t>9F01</t>
  </si>
  <si>
    <t>7号楼</t>
  </si>
  <si>
    <t>康力电梯股份有限公司北京分公司</t>
  </si>
  <si>
    <t>2020.3.23-2025.3.22</t>
  </si>
  <si>
    <t>库房</t>
  </si>
  <si>
    <t>2018.11.1-2023.10.31</t>
  </si>
  <si>
    <t>北京全增文化发展有限公司</t>
  </si>
  <si>
    <t>2015.5.1-2026.4.30</t>
  </si>
  <si>
    <t>2023.7.15-2024.1.14</t>
  </si>
  <si>
    <t>兴盛三期已租小计</t>
  </si>
  <si>
    <t>7号楼底商</t>
  </si>
  <si>
    <t>岳阳涛之晟贸易有限责任公司</t>
  </si>
  <si>
    <t>2023.4.3-2028.4.2</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</si>
  <si>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</si>
  <si>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</si>
  <si>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</si>
  <si>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</si>
  <si>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</si>
  <si>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</si>
  <si>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</si>
  <si>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</si>
  <si>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</si>
  <si>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</si>
  <si>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</si>
  <si>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</si>
  <si>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</si>
  <si>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</si>
  <si>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</si>
  <si>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</si>
  <si>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</si>
  <si>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</si>
  <si>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</si>
  <si>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</si>
  <si>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</si>
  <si>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</si>
  <si>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</si>
  <si>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</si>
  <si>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</si>
  <si>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</si>
  <si>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</si>
  <si>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</si>
  <si>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</si>
  <si>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</si>
  <si>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</si>
  <si>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</si>
  <si>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</si>
  <si>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</si>
  <si>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</si>
  <si>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</si>
  <si>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</si>
  <si>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</si>
  <si>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</si>
  <si>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</si>
  <si>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</si>
  <si>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</si>
  <si>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</si>
  <si>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</si>
  <si>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</si>
  <si>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</si>
  <si>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</si>
  <si>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</si>
  <si>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</si>
  <si>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</si>
  <si>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</si>
  <si>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</si>
  <si>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</si>
  <si>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</si>
  <si>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</si>
  <si>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</si>
  <si>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</si>
  <si>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</si>
  <si>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</si>
  <si>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</si>
  <si>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</si>
  <si>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</si>
  <si>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</si>
  <si>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</si>
  <si>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</si>
  <si>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</si>
  <si>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</si>
  <si>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</si>
  <si>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</si>
  <si>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</si>
  <si>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</si>
  <si>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</si>
  <si>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</si>
  <si>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</si>
  <si>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</si>
  <si>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</si>
  <si>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</si>
  <si>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</si>
  <si>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</si>
  <si>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</si>
  <si>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</si>
  <si>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</si>
  <si>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</si>
  <si>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</si>
  <si>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</si>
  <si>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</si>
  <si>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</si>
  <si>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</si>
  <si>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</si>
  <si>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</si>
  <si>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</si>
  <si>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</si>
  <si>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</si>
  <si>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</si>
  <si>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</si>
  <si>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</si>
  <si>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</si>
  <si>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</si>
  <si>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</si>
  <si>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</si>
  <si>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</si>
  <si>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</si>
  <si>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</si>
  <si>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</si>
  <si>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</si>
  <si>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</si>
  <si>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</si>
  <si>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</si>
  <si>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</si>
  <si>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</si>
  <si>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</si>
  <si>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</si>
  <si>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</si>
  <si>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</si>
  <si>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</si>
  <si>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</si>
  <si>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</si>
  <si>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</si>
  <si>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</si>
  <si>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</si>
  <si>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</si>
  <si>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</si>
  <si>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</si>
  <si>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</si>
  <si>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</si>
  <si>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</si>
  <si>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</si>
  <si>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</si>
  <si>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</si>
  <si>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</si>
  <si>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</si>
  <si>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</si>
  <si>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</si>
  <si>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</si>
  <si>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</si>
  <si>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</si>
  <si>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</si>
  <si>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</si>
  <si>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</si>
  <si>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</si>
  <si>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</si>
  <si>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</si>
  <si>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</si>
  <si>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</si>
  <si>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</si>
  <si>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</si>
  <si>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</si>
  <si>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</si>
  <si>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</si>
  <si>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</si>
  <si>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</si>
  <si>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</si>
  <si>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</si>
  <si>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</si>
  <si>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</si>
  <si>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</si>
  <si>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</si>
  <si>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</si>
  <si>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</si>
  <si>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</si>
  <si>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</si>
  <si>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</si>
  <si>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</si>
  <si>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</si>
  <si>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</si>
  <si>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</si>
  <si>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</si>
  <si>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</si>
  <si>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</si>
  <si>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</si>
  <si>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</si>
  <si>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</si>
  <si>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</si>
  <si>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</si>
  <si>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</si>
  <si>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</si>
  <si>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</si>
  <si>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</si>
  <si>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</si>
  <si>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</si>
  <si>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</si>
  <si>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</si>
  <si>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</si>
  <si>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</si>
  <si>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</si>
  <si>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</si>
  <si>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</si>
  <si>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</si>
  <si>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</si>
  <si>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</si>
  <si>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</si>
  <si>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</si>
  <si>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</si>
  <si>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</si>
  <si>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</si>
  <si>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</si>
  <si>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</si>
  <si>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</si>
  <si>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</si>
  <si>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</si>
  <si>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</si>
  <si>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</si>
  <si>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</si>
  <si>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</si>
  <si>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</si>
  <si>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</si>
  <si>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</si>
  <si>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</si>
  <si>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</si>
  <si>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</si>
  <si>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</si>
  <si>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</si>
  <si>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</si>
  <si>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</si>
  <si>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</si>
  <si>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</si>
  <si>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</si>
  <si>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</si>
  <si>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</si>
  <si>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</si>
  <si>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</si>
  <si>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</si>
  <si>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</si>
  <si>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</si>
  <si>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</si>
  <si>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</si>
  <si>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</si>
  <si>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</si>
  <si>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</si>
  <si>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</si>
  <si>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</si>
  <si>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</si>
  <si>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</si>
  <si>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</si>
  <si>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</si>
  <si>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</si>
  <si>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</si>
  <si>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</si>
  <si>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</si>
  <si>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</si>
  <si>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</si>
  <si>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</si>
  <si>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</si>
  <si>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</si>
  <si>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</si>
  <si>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</si>
  <si>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</si>
  <si>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</si>
  <si>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</si>
  <si>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</si>
  <si>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</si>
  <si>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</si>
  <si>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</si>
  <si>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</si>
  <si>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</si>
  <si>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</si>
  <si>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</si>
  <si>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</si>
  <si>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</si>
  <si>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</si>
  <si>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</si>
  <si>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</si>
  <si>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</si>
  <si>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</si>
  <si>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</si>
  <si>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</si>
  <si>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</si>
  <si>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</si>
  <si>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</si>
  <si>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</si>
  <si>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</si>
  <si>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</si>
  <si>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</si>
  <si>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</si>
  <si>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</si>
  <si>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</si>
  <si>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</si>
  <si>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</si>
  <si>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</si>
  <si>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</si>
  <si>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</si>
  <si>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</si>
  <si>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</si>
  <si>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</si>
  <si>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</si>
  <si>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</si>
  <si>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</si>
  <si>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</si>
  <si>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</si>
  <si>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</si>
  <si>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</si>
  <si>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</si>
  <si>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</si>
  <si>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</si>
  <si>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</si>
  <si>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</si>
  <si>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</si>
  <si>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</si>
  <si>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</si>
  <si>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</si>
  <si>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</si>
  <si>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</si>
  <si>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</si>
  <si>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</si>
  <si>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</si>
  <si>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</si>
  <si>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</si>
  <si>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</si>
  <si>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</si>
  <si>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</si>
  <si>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</si>
  <si>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</si>
  <si>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</si>
  <si>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</si>
  <si>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</si>
  <si>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</si>
  <si>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</si>
  <si>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</si>
  <si>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</si>
  <si>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</si>
  <si>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</si>
  <si>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</si>
  <si>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</si>
  <si>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</si>
  <si>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</si>
  <si>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</si>
  <si>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</si>
  <si>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</si>
  <si>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</si>
  <si>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</si>
  <si>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</si>
  <si>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</si>
  <si>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</si>
  <si>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</si>
  <si>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</si>
  <si>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</si>
  <si>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</si>
  <si>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</si>
  <si>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</si>
  <si>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</si>
  <si>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</si>
  <si>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</si>
  <si>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</si>
  <si>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</si>
  <si>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</si>
  <si>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</si>
  <si>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</si>
  <si>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</si>
  <si>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</si>
  <si>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</si>
  <si>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</si>
  <si>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</si>
  <si>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</si>
  <si>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</si>
  <si>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</si>
  <si>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</si>
  <si>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</si>
  <si>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</si>
  <si>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</si>
  <si>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</si>
  <si>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</si>
  <si>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</si>
  <si>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</si>
  <si>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</si>
  <si>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</si>
  <si>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</si>
  <si>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</si>
  <si>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</si>
  <si>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</si>
  <si>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</si>
  <si>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</si>
  <si>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</si>
  <si>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</si>
  <si>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</si>
  <si>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</si>
  <si>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</si>
  <si>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</si>
  <si>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</si>
  <si>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</si>
  <si>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</si>
  <si>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</si>
  <si>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</si>
  <si>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</si>
  <si>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</si>
  <si>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</si>
  <si>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</si>
  <si>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</si>
  <si>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</si>
  <si>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</si>
  <si>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</si>
  <si>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</si>
  <si>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</si>
  <si>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</si>
  <si>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</si>
  <si>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</si>
  <si>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</si>
  <si>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</si>
  <si>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</si>
  <si>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</si>
  <si>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</si>
  <si>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</si>
  <si>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</si>
  <si>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</si>
  <si>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</si>
  <si>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</si>
  <si>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</si>
  <si>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</si>
  <si>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</si>
  <si>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</si>
  <si>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</si>
  <si>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</si>
  <si>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</si>
  <si>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</si>
  <si>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</si>
  <si>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</si>
  <si>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</si>
  <si>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</si>
  <si>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</si>
  <si>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</si>
  <si>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</si>
  <si>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</si>
  <si>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</si>
  <si>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</si>
  <si>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</si>
  <si>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</si>
  <si>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</si>
  <si>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</si>
  <si>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</si>
  <si>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</si>
  <si>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</si>
  <si>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</si>
  <si>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</si>
  <si>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</si>
  <si>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</si>
  <si>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</si>
  <si>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</si>
  <si>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</si>
  <si>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</si>
  <si>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</si>
  <si>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</si>
  <si>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</si>
  <si>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</si>
  <si>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</si>
  <si>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</si>
  <si>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</si>
  <si>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</si>
  <si>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</si>
  <si>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</si>
  <si>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</si>
  <si>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</si>
  <si>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</si>
  <si>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</si>
  <si>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</si>
  <si>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</si>
  <si>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</si>
  <si>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</si>
  <si>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</si>
  <si>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</si>
  <si>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</si>
  <si>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</si>
  <si>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</si>
  <si>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</si>
  <si>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</si>
  <si>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</si>
  <si>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</si>
  <si>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</si>
  <si>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</si>
  <si>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</si>
  <si>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</si>
  <si>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</si>
  <si>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</si>
  <si>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</si>
  <si>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</si>
  <si>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</si>
  <si>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</si>
  <si>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</si>
  <si>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</si>
  <si>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</si>
  <si>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</si>
  <si>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</si>
  <si>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</si>
  <si>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</si>
  <si>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</si>
  <si>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</si>
  <si>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</si>
  <si>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</si>
  <si>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</si>
  <si>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</si>
  <si>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</si>
  <si>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</si>
  <si>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</si>
  <si>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</si>
  <si>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</si>
  <si>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</si>
  <si>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</si>
  <si>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</si>
  <si>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</si>
  <si>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</si>
  <si>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</si>
  <si>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</si>
  <si>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</si>
  <si>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</si>
  <si>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</si>
  <si>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</si>
  <si>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</si>
  <si>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</si>
  <si>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</si>
  <si>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</si>
  <si>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</si>
  <si>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</si>
  <si>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</si>
  <si>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</si>
  <si>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</si>
  <si>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</si>
  <si>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</si>
  <si>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</si>
  <si>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</si>
  <si>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</si>
  <si>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</si>
  <si>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</si>
  <si>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</si>
  <si>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</si>
  <si>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</si>
  <si>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</si>
  <si>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</si>
  <si>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</si>
  <si>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</si>
  <si>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</si>
  <si>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</si>
  <si>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</si>
  <si>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</si>
  <si>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</si>
  <si>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</si>
  <si>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</si>
  <si>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</si>
  <si>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</si>
  <si>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</si>
  <si>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</si>
  <si>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</si>
  <si>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</si>
  <si>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</si>
  <si>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</si>
  <si>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</si>
  <si>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</si>
  <si>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</si>
  <si>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</si>
  <si>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</si>
  <si>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</si>
  <si>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</si>
  <si>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</si>
  <si>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</si>
  <si>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</si>
  <si>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</si>
  <si>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</si>
  <si>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</si>
  <si>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</si>
  <si>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</si>
  <si>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</si>
  <si>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</si>
  <si>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</si>
  <si>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</si>
  <si>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</si>
  <si>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</si>
  <si>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</si>
  <si>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</si>
  <si>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</si>
  <si>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</si>
  <si>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</si>
  <si>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</si>
  <si>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</si>
  <si>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</si>
  <si>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</si>
  <si>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</si>
  <si>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</si>
  <si>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</si>
  <si>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</si>
  <si>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</si>
  <si>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</si>
  <si>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</si>
  <si>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</si>
  <si>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</si>
  <si>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</si>
  <si>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</si>
  <si>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</si>
  <si>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</si>
  <si>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</si>
  <si>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</si>
  <si>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</si>
  <si>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</si>
  <si>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</si>
  <si>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</si>
  <si>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</si>
  <si>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</si>
  <si>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</si>
  <si>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</si>
  <si>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</si>
  <si>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</si>
  <si>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</si>
  <si>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</si>
  <si>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</si>
  <si>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</si>
  <si>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</si>
  <si>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</si>
  <si>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</si>
  <si>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</si>
  <si>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</si>
  <si>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</si>
  <si>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</si>
  <si>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</si>
  <si>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</si>
  <si>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</si>
  <si>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</si>
  <si>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</si>
  <si>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</si>
  <si>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</si>
  <si>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</si>
  <si>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</si>
  <si>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</si>
  <si>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</si>
  <si>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</si>
  <si>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</si>
  <si>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</si>
  <si>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</si>
  <si>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</si>
  <si>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</si>
  <si>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</si>
  <si>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</si>
  <si>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</si>
  <si>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</si>
  <si>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</si>
  <si>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</si>
  <si>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</si>
  <si>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</si>
  <si>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</si>
  <si>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</si>
  <si>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</si>
  <si>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</si>
  <si>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</si>
  <si>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</si>
  <si>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</si>
  <si>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</si>
  <si>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</si>
  <si>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</si>
  <si>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</si>
  <si>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</si>
  <si>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</si>
  <si>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</si>
  <si>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</si>
  <si>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</si>
  <si>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</si>
  <si>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</si>
  <si>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</si>
  <si>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</si>
  <si>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</si>
  <si>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</si>
  <si>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</si>
  <si>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</si>
  <si>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</si>
  <si>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</si>
  <si>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</si>
  <si>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</si>
  <si>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</si>
  <si>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</si>
  <si>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</si>
  <si>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</si>
  <si>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</si>
  <si>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</si>
  <si>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</si>
  <si>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</si>
  <si>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</si>
  <si>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</si>
  <si>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</si>
  <si>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</si>
  <si>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</si>
  <si>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</si>
  <si>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</si>
  <si>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</si>
  <si>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</si>
  <si>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</si>
  <si>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</si>
  <si>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</si>
  <si>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</si>
  <si>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</si>
  <si>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</si>
  <si>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</si>
  <si>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</si>
  <si>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</si>
  <si>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</si>
  <si>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</si>
  <si>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</si>
  <si>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</si>
  <si>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</si>
  <si>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</si>
  <si>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</si>
  <si>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</si>
  <si>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</si>
  <si>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</si>
  <si>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</si>
  <si>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</si>
  <si>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</si>
  <si>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</si>
  <si>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</si>
  <si>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</si>
  <si>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</si>
  <si>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</si>
  <si>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</si>
  <si>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</si>
  <si>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</si>
  <si>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</si>
  <si>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</si>
  <si>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</si>
  <si>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</si>
  <si>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</si>
  <si>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</si>
  <si>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</si>
  <si>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</si>
  <si>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</si>
  <si>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</si>
  <si>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</si>
  <si>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</si>
  <si>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</si>
  <si>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</si>
  <si>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</si>
  <si>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</si>
  <si>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</si>
  <si>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</si>
  <si>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</si>
  <si>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</si>
  <si>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</si>
  <si>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</si>
  <si>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</si>
  <si>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</si>
  <si>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</si>
  <si>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</si>
  <si>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</si>
  <si>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</si>
  <si>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</si>
  <si>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</si>
  <si>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</si>
  <si>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</si>
  <si>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</si>
  <si>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</si>
  <si>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</si>
  <si>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</si>
  <si>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</si>
  <si>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</si>
  <si>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</si>
  <si>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</si>
  <si>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</si>
  <si>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</si>
  <si>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</si>
  <si>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</si>
  <si>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</si>
  <si>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</si>
  <si>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</si>
  <si>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</si>
  <si>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</si>
  <si>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</si>
  <si>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</si>
  <si>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</si>
  <si>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</si>
  <si>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</si>
  <si>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</si>
  <si>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</si>
  <si>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</si>
  <si>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</si>
  <si>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</si>
  <si>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</si>
  <si>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</si>
  <si>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</si>
  <si>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</si>
  <si>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</si>
  <si>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</si>
  <si>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</si>
  <si>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</si>
  <si>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</si>
  <si>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</si>
  <si>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</si>
  <si>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</si>
  <si>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</si>
  <si>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</si>
  <si>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</si>
  <si>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</si>
  <si>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</si>
  <si>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</si>
  <si>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</si>
  <si>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</si>
  <si>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</si>
  <si>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</si>
  <si>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</si>
  <si>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</si>
  <si>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</si>
  <si>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</si>
  <si>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</si>
  <si>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</si>
  <si>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</si>
  <si>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</si>
  <si>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</si>
  <si>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</si>
  <si>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</si>
  <si>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</si>
  <si>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</si>
  <si>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</si>
  <si>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</si>
  <si>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</si>
  <si>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</si>
  <si>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</si>
  <si>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</si>
  <si>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</si>
  <si>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</si>
  <si>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</si>
  <si>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</si>
  <si>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</si>
  <si>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</si>
  <si>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</si>
  <si>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</si>
  <si>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</si>
  <si>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</si>
  <si>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</si>
  <si>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</si>
  <si>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</si>
  <si>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</si>
  <si>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</si>
  <si>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押一</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</si>
  <si>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</si>
  <si>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</si>
  <si>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</si>
  <si>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</si>
  <si>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</si>
  <si>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</si>
  <si>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</si>
  <si>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</si>
  <si>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</si>
  <si>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</si>
  <si>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</si>
  <si>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</si>
  <si>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</si>
  <si>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</si>
  <si>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</si>
  <si>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</si>
  <si>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</si>
  <si>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</si>
  <si>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</si>
  <si>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</si>
  <si>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</si>
  <si>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</si>
  <si>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</si>
  <si>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</si>
  <si>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</si>
  <si>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</si>
  <si>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</si>
  <si>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</si>
  <si>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</si>
  <si>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</si>
  <si>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</si>
  <si>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</si>
  <si>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</si>
  <si>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</si>
  <si>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</si>
  <si>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</si>
  <si>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</si>
  <si>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</si>
  <si>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</si>
  <si>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</si>
  <si>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</si>
  <si>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</si>
  <si>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</si>
  <si>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</si>
  <si>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</si>
  <si>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</si>
  <si>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</si>
  <si>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</si>
  <si>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</si>
  <si>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</si>
  <si>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</si>
  <si>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</si>
  <si>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</si>
  <si>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</si>
  <si>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</si>
  <si>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</si>
  <si>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</si>
  <si>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</si>
  <si>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</si>
  <si>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</si>
  <si>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</si>
  <si>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</si>
  <si>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</si>
  <si>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</si>
  <si>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</si>
  <si>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</si>
  <si>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</si>
  <si>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</si>
  <si>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</si>
  <si>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</si>
  <si>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</si>
  <si>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</si>
  <si>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</si>
  <si>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</si>
  <si>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</si>
  <si>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</si>
  <si>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</si>
  <si>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</si>
  <si>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</si>
  <si>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</si>
  <si>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</si>
  <si>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</si>
  <si>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</si>
  <si>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</si>
  <si>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</si>
  <si>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</si>
  <si>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</si>
  <si>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</si>
  <si>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</si>
  <si>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</si>
  <si>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</si>
  <si>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</si>
  <si>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</si>
  <si>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</si>
  <si>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</si>
  <si>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</si>
  <si>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</si>
  <si>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</si>
  <si>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</si>
  <si>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</si>
  <si>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</si>
  <si>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</si>
  <si>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</si>
  <si>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</si>
  <si>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</si>
  <si>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</si>
  <si>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</si>
  <si>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</si>
  <si>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</si>
  <si>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</si>
  <si>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</si>
  <si>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</si>
  <si>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</si>
  <si>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</si>
  <si>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</si>
  <si>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</si>
  <si>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</si>
  <si>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</si>
  <si>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</si>
  <si>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</si>
  <si>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</si>
  <si>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</si>
  <si>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</si>
  <si>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</si>
  <si>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</si>
  <si>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</si>
  <si>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</si>
  <si>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</si>
  <si>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</si>
  <si>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</si>
  <si>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</si>
  <si>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</si>
  <si>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</si>
  <si>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</si>
  <si>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</si>
  <si>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</si>
  <si>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</si>
  <si>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</si>
  <si>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</si>
  <si>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</si>
  <si>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</si>
  <si>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</si>
  <si>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</si>
  <si>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</si>
  <si>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</si>
  <si>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</si>
  <si>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</si>
  <si>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</si>
  <si>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</si>
  <si>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</si>
  <si>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</si>
  <si>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</si>
  <si>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</si>
  <si>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</si>
  <si>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</si>
  <si>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</si>
  <si>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</si>
  <si>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</si>
  <si>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</si>
  <si>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</si>
  <si>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</si>
  <si>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</si>
  <si>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</si>
  <si>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</si>
  <si>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</si>
  <si>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</si>
  <si>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</si>
  <si>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</si>
  <si>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</si>
  <si>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</si>
  <si>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</si>
  <si>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</si>
  <si>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</si>
  <si>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</si>
  <si>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</si>
  <si>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</si>
  <si>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</si>
  <si>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</si>
  <si>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</si>
  <si>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</si>
  <si>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</si>
  <si>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</si>
  <si>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</si>
  <si>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</si>
  <si>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</si>
  <si>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</si>
  <si>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</si>
  <si>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</si>
  <si>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</si>
  <si>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</si>
  <si>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</si>
  <si>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</si>
  <si>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</si>
  <si>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</si>
  <si>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</si>
  <si>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</si>
  <si>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</si>
  <si>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</si>
  <si>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</si>
  <si>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</si>
  <si>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</si>
  <si>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</si>
  <si>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</si>
  <si>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</si>
  <si>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</si>
  <si>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</si>
  <si>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</si>
  <si>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</si>
  <si>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</si>
  <si>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</si>
  <si>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</si>
  <si>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</si>
  <si>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</si>
  <si>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</si>
  <si>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</si>
  <si>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</si>
  <si>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</si>
  <si>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</si>
  <si>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</si>
  <si>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</si>
  <si>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</si>
  <si>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</si>
  <si>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</si>
  <si>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</si>
  <si>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</si>
  <si>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</si>
  <si>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</si>
  <si>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</si>
  <si>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</si>
  <si>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</si>
  <si>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</si>
  <si>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</si>
  <si>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</si>
  <si>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</si>
  <si>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</si>
  <si>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</si>
  <si>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</si>
  <si>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</si>
  <si>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</si>
  <si>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</si>
  <si>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</si>
  <si>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</si>
  <si>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</si>
  <si>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</si>
  <si>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</si>
  <si>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售价</t>
  </si>
  <si>
    <t>报价</t>
  </si>
  <si>
    <t>20-30</t>
  </si>
  <si>
    <r>
      <rPr>
        <sz val="11"/>
        <color indexed="8"/>
        <rFont val="宋体"/>
        <family val="3"/>
        <charset val="134"/>
      </rPr>
      <t>产业集聚程度</t>
    </r>
  </si>
  <si>
    <t>较好</t>
  </si>
  <si>
    <t>楼层</t>
  </si>
  <si>
    <t>纯地上</t>
  </si>
  <si>
    <t>厂房及办公</t>
  </si>
  <si>
    <t>独栋办公</t>
  </si>
  <si>
    <t>普装</t>
  </si>
  <si>
    <r>
      <rPr>
        <sz val="11"/>
        <color indexed="8"/>
        <rFont val="宋体"/>
        <family val="3"/>
        <charset val="134"/>
      </rPr>
      <t>内部装修状况</t>
    </r>
  </si>
  <si>
    <r>
      <rPr>
        <sz val="11"/>
        <color rgb="FF000000"/>
        <rFont val="宋体"/>
        <family val="3"/>
        <charset val="134"/>
      </rPr>
      <t>带地下</t>
    </r>
    <r>
      <rPr>
        <sz val="11"/>
        <color rgb="FF000000"/>
        <rFont val="Arial"/>
        <family val="2"/>
      </rPr>
      <t>1</t>
    </r>
    <r>
      <rPr>
        <sz val="11"/>
        <color rgb="FF000000"/>
        <rFont val="宋体"/>
        <family val="3"/>
        <charset val="134"/>
      </rPr>
      <t>层</t>
    </r>
  </si>
  <si>
    <t>简装</t>
  </si>
  <si>
    <t>毛坯</t>
  </si>
  <si>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</si>
  <si>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</si>
  <si>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</si>
  <si>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</si>
  <si>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</si>
  <si>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</si>
  <si>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</si>
  <si>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</si>
  <si>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</si>
  <si>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</si>
  <si>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</si>
  <si>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</si>
  <si>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</si>
  <si>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</si>
  <si>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</si>
  <si>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</si>
  <si>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</si>
  <si>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</si>
  <si>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</si>
  <si>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</si>
  <si>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</si>
  <si>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</si>
  <si>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</si>
  <si>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</si>
  <si>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</si>
  <si>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</si>
  <si>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</si>
  <si>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</si>
  <si>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</si>
  <si>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</si>
  <si>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</si>
  <si>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</si>
  <si>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</si>
  <si>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</si>
  <si>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</si>
  <si>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</si>
  <si>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</si>
  <si>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</si>
  <si>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</si>
  <si>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</si>
  <si>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</si>
  <si>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</si>
  <si>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</si>
  <si>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</si>
  <si>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</si>
  <si>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</si>
  <si>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</si>
  <si>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</si>
  <si>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</si>
  <si>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</si>
  <si>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</si>
  <si>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</si>
  <si>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</si>
  <si>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</si>
  <si>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</si>
  <si>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</si>
  <si>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</si>
  <si>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</si>
  <si>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</si>
  <si>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</si>
  <si>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</si>
  <si>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</si>
  <si>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</si>
  <si>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</si>
  <si>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</si>
  <si>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</si>
  <si>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</si>
  <si>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</si>
  <si>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</si>
  <si>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</si>
  <si>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</si>
  <si>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</si>
  <si>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</si>
  <si>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</si>
  <si>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</si>
  <si>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</si>
  <si>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</si>
  <si>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</si>
  <si>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</si>
  <si>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</si>
  <si>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</si>
  <si>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</si>
  <si>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</si>
  <si>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</si>
  <si>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</si>
  <si>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</si>
  <si>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</si>
  <si>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</si>
  <si>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</si>
  <si>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</si>
  <si>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</si>
  <si>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</si>
  <si>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</si>
  <si>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</si>
  <si>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</si>
  <si>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</si>
  <si>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</si>
  <si>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</si>
  <si>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</si>
  <si>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</si>
  <si>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</si>
  <si>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</si>
  <si>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</si>
  <si>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</si>
  <si>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</si>
  <si>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</si>
  <si>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</si>
  <si>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</si>
  <si>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</si>
  <si>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</si>
  <si>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</si>
  <si>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</si>
  <si>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</si>
  <si>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</si>
  <si>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</si>
  <si>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</si>
  <si>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</si>
  <si>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</si>
  <si>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</si>
  <si>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</si>
  <si>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</si>
  <si>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</si>
  <si>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</si>
  <si>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</si>
  <si>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</si>
  <si>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</si>
  <si>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</si>
  <si>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</si>
  <si>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</si>
  <si>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</si>
  <si>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</si>
  <si>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</si>
  <si>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</si>
  <si>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</si>
  <si>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</si>
  <si>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</si>
  <si>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</si>
  <si>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</si>
  <si>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</si>
  <si>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</si>
  <si>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</si>
  <si>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</si>
  <si>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</si>
  <si>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</si>
  <si>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</si>
  <si>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</si>
  <si>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</si>
  <si>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</si>
  <si>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</si>
  <si>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</si>
  <si>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</si>
  <si>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</si>
  <si>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</si>
  <si>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</si>
  <si>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</si>
  <si>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</si>
  <si>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</si>
  <si>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</si>
  <si>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</si>
  <si>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</si>
  <si>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</si>
  <si>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</si>
  <si>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</si>
  <si>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</si>
  <si>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</si>
  <si>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</si>
  <si>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</si>
  <si>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</si>
  <si>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</si>
  <si>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</si>
  <si>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</si>
  <si>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</si>
  <si>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</si>
  <si>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</si>
  <si>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</si>
  <si>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</si>
  <si>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</si>
  <si>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</si>
  <si>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</si>
  <si>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</si>
  <si>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</si>
  <si>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</si>
  <si>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</si>
  <si>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</si>
  <si>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</si>
  <si>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</si>
  <si>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</si>
  <si>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</si>
  <si>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</si>
  <si>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</si>
  <si>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</si>
  <si>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</si>
  <si>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</si>
  <si>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</si>
  <si>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</si>
  <si>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</si>
  <si>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</si>
  <si>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</si>
  <si>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</si>
  <si>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</si>
  <si>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</si>
  <si>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</si>
  <si>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</si>
  <si>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</si>
  <si>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</si>
  <si>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</si>
  <si>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</si>
  <si>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</si>
  <si>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</si>
  <si>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</si>
  <si>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</si>
  <si>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</si>
  <si>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</si>
  <si>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</si>
  <si>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</si>
  <si>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</si>
  <si>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</si>
  <si>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</si>
  <si>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</si>
  <si>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</si>
  <si>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</si>
  <si>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</si>
  <si>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</si>
  <si>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</si>
  <si>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</si>
  <si>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</si>
  <si>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</si>
  <si>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</si>
  <si>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</si>
  <si>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</si>
  <si>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</si>
  <si>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</si>
  <si>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</si>
  <si>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</si>
  <si>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</si>
  <si>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</si>
  <si>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</si>
  <si>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</si>
  <si>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</si>
  <si>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</si>
  <si>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</si>
  <si>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</si>
  <si>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</si>
  <si>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</si>
  <si>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</si>
  <si>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</si>
  <si>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</si>
  <si>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</si>
  <si>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</si>
  <si>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</si>
  <si>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</si>
  <si>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</si>
  <si>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</si>
  <si>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</si>
  <si>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</si>
  <si>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</si>
  <si>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</si>
  <si>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</si>
  <si>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</si>
  <si>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</si>
  <si>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</si>
  <si>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</si>
  <si>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</si>
  <si>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</si>
  <si>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</si>
  <si>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</si>
  <si>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</si>
  <si>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</si>
  <si>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</si>
  <si>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</si>
  <si>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</si>
  <si>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</si>
  <si>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</si>
  <si>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</si>
  <si>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</si>
  <si>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</si>
  <si>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</si>
  <si>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</si>
  <si>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</si>
  <si>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</si>
  <si>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</si>
  <si>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</si>
  <si>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</si>
  <si>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</si>
  <si>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</si>
  <si>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</si>
  <si>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</si>
  <si>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</si>
  <si>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</si>
  <si>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</si>
  <si>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</si>
  <si>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</si>
  <si>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</si>
  <si>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</si>
  <si>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</si>
  <si>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</si>
  <si>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</si>
  <si>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</si>
  <si>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</si>
  <si>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中心城区以外</t>
  </si>
  <si>
    <t>楼层修正</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</si>
  <si>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</si>
  <si>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</si>
  <si>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</si>
  <si>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</si>
  <si>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</si>
  <si>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</si>
  <si>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</si>
  <si>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</si>
  <si>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</si>
  <si>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</si>
  <si>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</si>
  <si>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</si>
  <si>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</si>
  <si>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</si>
  <si>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</si>
  <si>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</si>
  <si>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</si>
  <si>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</si>
  <si>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</si>
  <si>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</si>
  <si>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</si>
  <si>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</si>
  <si>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</si>
  <si>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</si>
  <si>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</si>
  <si>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</si>
  <si>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</si>
  <si>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</si>
  <si>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</si>
  <si>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</si>
  <si>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</si>
  <si>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</si>
  <si>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</si>
  <si>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</si>
  <si>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</si>
  <si>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</si>
  <si>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</si>
  <si>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</si>
  <si>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</si>
  <si>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</si>
  <si>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</si>
  <si>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</si>
  <si>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</si>
  <si>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</si>
  <si>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</si>
  <si>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</si>
  <si>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</si>
  <si>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</si>
  <si>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</si>
  <si>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</si>
  <si>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</si>
  <si>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</si>
  <si>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</si>
  <si>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</si>
  <si>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</si>
  <si>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</si>
  <si>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</si>
  <si>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</si>
  <si>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</si>
  <si>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</si>
  <si>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</si>
  <si>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</si>
  <si>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</si>
  <si>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</si>
  <si>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</si>
  <si>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</si>
  <si>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</si>
  <si>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</si>
  <si>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</si>
  <si>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</si>
  <si>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</si>
  <si>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</si>
  <si>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</si>
  <si>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</si>
  <si>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</si>
  <si>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</si>
  <si>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</si>
  <si>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</si>
  <si>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</si>
  <si>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</si>
  <si>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</si>
  <si>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</si>
  <si>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</si>
  <si>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</si>
  <si>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</si>
  <si>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</si>
  <si>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</si>
  <si>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</si>
  <si>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</si>
  <si>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</si>
  <si>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</si>
  <si>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</si>
  <si>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</si>
  <si>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</si>
  <si>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</si>
  <si>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</si>
  <si>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</si>
  <si>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</si>
  <si>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</si>
  <si>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</si>
  <si>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</si>
  <si>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</si>
  <si>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</si>
  <si>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</si>
  <si>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</si>
  <si>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</si>
  <si>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</si>
  <si>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</si>
  <si>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</si>
  <si>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</si>
  <si>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</si>
  <si>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</si>
  <si>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</si>
  <si>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</si>
  <si>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</si>
  <si>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</si>
  <si>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</si>
  <si>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</si>
  <si>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</si>
  <si>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</si>
  <si>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</si>
  <si>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</si>
  <si>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</si>
  <si>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</si>
  <si>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</si>
  <si>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</si>
  <si>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</si>
  <si>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</si>
  <si>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</si>
  <si>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</si>
  <si>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</si>
  <si>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</si>
  <si>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</si>
  <si>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</si>
  <si>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</si>
  <si>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</si>
  <si>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</si>
  <si>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</si>
  <si>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</si>
  <si>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</si>
  <si>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</si>
  <si>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</si>
  <si>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</si>
  <si>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</si>
  <si>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</si>
  <si>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</si>
  <si>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</si>
  <si>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</si>
  <si>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</si>
  <si>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</si>
  <si>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</si>
  <si>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</si>
  <si>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</si>
  <si>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</si>
  <si>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</si>
  <si>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</si>
  <si>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</si>
  <si>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</si>
  <si>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</si>
  <si>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</si>
  <si>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</si>
  <si>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</si>
  <si>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</si>
  <si>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</si>
  <si>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</si>
  <si>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</si>
  <si>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</si>
  <si>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</si>
  <si>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</si>
  <si>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</si>
  <si>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</si>
  <si>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</si>
  <si>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</si>
  <si>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</si>
  <si>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</si>
  <si>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</si>
  <si>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</si>
  <si>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</si>
  <si>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</si>
  <si>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</si>
  <si>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</si>
  <si>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</si>
  <si>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</si>
  <si>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</si>
  <si>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</si>
  <si>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</si>
  <si>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</si>
  <si>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</si>
  <si>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</si>
  <si>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</si>
  <si>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</si>
  <si>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</si>
  <si>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</si>
  <si>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</si>
  <si>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</si>
  <si>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</si>
  <si>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</si>
  <si>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</si>
  <si>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</si>
  <si>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</si>
  <si>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</si>
  <si>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</si>
  <si>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</si>
  <si>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</si>
  <si>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</si>
  <si>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</si>
  <si>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</si>
  <si>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</si>
  <si>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</si>
  <si>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</si>
  <si>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</si>
  <si>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</si>
  <si>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</si>
  <si>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</si>
  <si>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</si>
  <si>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</si>
  <si>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</si>
  <si>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</si>
  <si>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</si>
  <si>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</si>
  <si>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</si>
  <si>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</si>
  <si>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</si>
  <si>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</si>
  <si>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</si>
  <si>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</si>
  <si>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</si>
  <si>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</si>
  <si>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</si>
  <si>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</si>
  <si>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</si>
  <si>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</si>
  <si>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</si>
  <si>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</si>
  <si>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</si>
  <si>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</si>
  <si>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</si>
  <si>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</si>
  <si>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</si>
  <si>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</si>
  <si>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</si>
  <si>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</si>
  <si>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</si>
  <si>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</si>
  <si>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</si>
  <si>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</si>
  <si>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</si>
  <si>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</si>
  <si>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</si>
  <si>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</si>
  <si>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</si>
  <si>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</si>
  <si>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</si>
  <si>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</si>
  <si>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</si>
  <si>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</si>
  <si>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</si>
  <si>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</si>
  <si>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</si>
  <si>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</si>
  <si>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</si>
  <si>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</si>
  <si>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</si>
  <si>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</si>
  <si>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</si>
  <si>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</si>
  <si>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</si>
  <si>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</si>
  <si>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</si>
  <si>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</si>
  <si>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</si>
  <si>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</si>
  <si>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</si>
  <si>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</si>
  <si>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</si>
  <si>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</si>
  <si>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</si>
  <si>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</si>
  <si>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</si>
  <si>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</si>
  <si>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</si>
  <si>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</si>
  <si>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</si>
  <si>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</si>
  <si>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</si>
  <si>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</si>
  <si>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</si>
  <si>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</si>
  <si>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</si>
  <si>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</si>
  <si>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</si>
  <si>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</si>
  <si>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</si>
  <si>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</si>
  <si>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</si>
  <si>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</si>
  <si>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</si>
  <si>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</si>
  <si>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</si>
  <si>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</si>
  <si>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</si>
  <si>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</si>
  <si>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</si>
  <si>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</si>
  <si>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</si>
  <si>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</si>
  <si>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</si>
  <si>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</si>
  <si>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</si>
  <si>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</si>
  <si>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</si>
  <si>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</si>
  <si>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</si>
  <si>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</si>
  <si>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</si>
  <si>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</si>
  <si>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</si>
  <si>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</si>
  <si>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</si>
  <si>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</si>
  <si>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</si>
  <si>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</si>
  <si>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</si>
  <si>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</si>
  <si>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</si>
  <si>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</si>
  <si>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</si>
  <si>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</si>
  <si>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</si>
  <si>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</si>
  <si>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</si>
  <si>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</si>
  <si>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</si>
  <si>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</si>
  <si>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</si>
  <si>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</si>
  <si>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</si>
  <si>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</si>
  <si>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</si>
  <si>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</si>
  <si>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</si>
  <si>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</si>
  <si>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</si>
  <si>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</si>
  <si>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</si>
  <si>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</si>
  <si>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</si>
  <si>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</si>
  <si>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</si>
  <si>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</si>
  <si>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</si>
  <si>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</si>
  <si>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</si>
  <si>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</si>
  <si>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</si>
  <si>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</si>
  <si>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</si>
  <si>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</si>
  <si>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</si>
  <si>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</si>
  <si>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</si>
  <si>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</si>
  <si>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</si>
  <si>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</si>
  <si>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</si>
  <si>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</si>
  <si>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</si>
  <si>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</si>
  <si>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</si>
  <si>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</si>
  <si>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</si>
  <si>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</si>
  <si>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</si>
  <si>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</si>
  <si>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</si>
  <si>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</si>
  <si>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</si>
  <si>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</si>
  <si>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</si>
  <si>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</si>
  <si>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</si>
  <si>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</si>
  <si>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</si>
  <si>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</si>
  <si>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</si>
  <si>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</si>
  <si>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</si>
  <si>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</si>
  <si>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</si>
  <si>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</si>
  <si>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</si>
  <si>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</si>
  <si>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</si>
  <si>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</si>
  <si>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</si>
  <si>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</si>
  <si>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</si>
  <si>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</si>
  <si>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</si>
  <si>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</si>
  <si>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</si>
  <si>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</si>
  <si>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</si>
  <si>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</si>
  <si>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</si>
  <si>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</si>
  <si>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</si>
  <si>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</si>
  <si>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</si>
  <si>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</si>
  <si>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</si>
  <si>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</si>
  <si>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</si>
  <si>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</si>
  <si>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</si>
  <si>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</si>
  <si>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</si>
  <si>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</si>
  <si>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</si>
  <si>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</si>
  <si>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</si>
  <si>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</si>
  <si>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</si>
  <si>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</si>
  <si>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</si>
  <si>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</si>
  <si>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</si>
  <si>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</si>
  <si>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</si>
  <si>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</si>
  <si>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</si>
  <si>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</si>
  <si>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</si>
  <si>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</si>
  <si>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</si>
  <si>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</si>
  <si>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</si>
  <si>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</si>
  <si>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</si>
  <si>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</si>
  <si>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</si>
  <si>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</si>
  <si>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</si>
  <si>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</si>
  <si>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</si>
  <si>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</si>
  <si>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</si>
  <si>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</si>
  <si>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</si>
  <si>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</si>
  <si>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</si>
  <si>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</si>
  <si>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</si>
  <si>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</si>
  <si>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</si>
  <si>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</si>
  <si>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</si>
  <si>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</si>
  <si>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</si>
  <si>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</si>
  <si>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</si>
  <si>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</si>
  <si>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</si>
  <si>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</si>
  <si>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</si>
  <si>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</si>
  <si>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</si>
  <si>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</si>
  <si>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</si>
  <si>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</si>
  <si>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</si>
  <si>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</si>
  <si>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</si>
  <si>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</si>
  <si>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</si>
  <si>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</si>
  <si>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</si>
  <si>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</si>
  <si>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</si>
  <si>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</si>
  <si>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</si>
  <si>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</si>
  <si>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</si>
  <si>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</si>
  <si>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</si>
  <si>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</si>
  <si>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</si>
  <si>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</si>
  <si>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</si>
  <si>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</si>
  <si>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</si>
  <si>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</si>
  <si>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</si>
  <si>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</si>
  <si>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</si>
  <si>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</si>
  <si>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</si>
  <si>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</si>
  <si>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</si>
  <si>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</si>
  <si>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</si>
  <si>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</si>
  <si>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</si>
  <si>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</si>
  <si>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</si>
  <si>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</si>
  <si>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</si>
  <si>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</si>
  <si>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</si>
  <si>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</si>
  <si>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</si>
  <si>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</si>
  <si>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</si>
  <si>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</si>
  <si>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</si>
  <si>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</si>
  <si>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</si>
  <si>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</si>
  <si>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</si>
  <si>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</si>
  <si>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</si>
  <si>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</si>
  <si>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</si>
  <si>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</si>
  <si>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</si>
  <si>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</si>
  <si>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</si>
  <si>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</si>
  <si>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</si>
  <si>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</si>
  <si>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</si>
  <si>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</si>
  <si>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</si>
  <si>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</si>
  <si>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</si>
  <si>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</si>
  <si>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</si>
  <si>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</si>
  <si>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</si>
  <si>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</si>
  <si>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</si>
  <si>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</si>
  <si>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</si>
  <si>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</si>
  <si>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</si>
  <si>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</si>
  <si>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</si>
  <si>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</si>
  <si>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</si>
  <si>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</si>
  <si>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</si>
  <si>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</si>
  <si>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</si>
  <si>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</si>
  <si>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</si>
  <si>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</si>
  <si>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</si>
  <si>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</si>
  <si>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</si>
  <si>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</si>
  <si>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</si>
  <si>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</si>
  <si>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</si>
  <si>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</si>
  <si>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</si>
  <si>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</si>
  <si>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</si>
  <si>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</si>
  <si>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</si>
  <si>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</si>
  <si>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</si>
  <si>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</si>
  <si>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</si>
  <si>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</si>
  <si>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</si>
  <si>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</si>
  <si>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</si>
  <si>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</si>
  <si>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</si>
  <si>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</si>
  <si>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</si>
  <si>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</si>
  <si>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</si>
  <si>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</si>
  <si>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</si>
  <si>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</si>
  <si>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</si>
  <si>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</si>
  <si>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</si>
  <si>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</si>
  <si>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</si>
  <si>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</si>
  <si>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</si>
  <si>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</si>
  <si>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</si>
  <si>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</si>
  <si>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</si>
  <si>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</si>
  <si>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</si>
  <si>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</si>
  <si>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</si>
  <si>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</si>
  <si>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</si>
  <si>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</si>
  <si>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</si>
  <si>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</si>
  <si>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</si>
  <si>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</si>
  <si>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</si>
  <si>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</si>
  <si>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</si>
  <si>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</si>
  <si>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</si>
  <si>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</si>
  <si>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</si>
  <si>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</si>
  <si>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</si>
  <si>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</si>
  <si>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</si>
  <si>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</si>
  <si>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</si>
  <si>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</si>
  <si>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</si>
  <si>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</si>
  <si>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</si>
  <si>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</si>
  <si>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</si>
  <si>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</si>
  <si>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</si>
  <si>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</si>
  <si>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</si>
  <si>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</si>
  <si>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</si>
  <si>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</si>
  <si>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</si>
  <si>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</si>
  <si>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</si>
  <si>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</si>
  <si>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</si>
  <si>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</si>
  <si>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</si>
  <si>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</si>
  <si>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</si>
  <si>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</si>
  <si>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</si>
  <si>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</si>
  <si>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</si>
  <si>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</si>
  <si>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</si>
  <si>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</si>
  <si>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</si>
  <si>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</si>
  <si>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</si>
  <si>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</si>
  <si>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</si>
  <si>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</si>
  <si>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</si>
  <si>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</si>
  <si>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</si>
  <si>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</si>
  <si>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</si>
  <si>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</si>
  <si>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</si>
  <si>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</si>
  <si>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</si>
  <si>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</si>
  <si>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</si>
  <si>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</si>
  <si>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</si>
  <si>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</si>
  <si>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</si>
  <si>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</si>
  <si>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</si>
  <si>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</si>
  <si>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</si>
  <si>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</si>
  <si>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</si>
  <si>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</si>
  <si>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</si>
  <si>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</si>
  <si>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</si>
  <si>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</si>
  <si>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</si>
  <si>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</si>
  <si>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</si>
  <si>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</si>
  <si>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</si>
  <si>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</si>
  <si>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</si>
  <si>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</si>
  <si>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</si>
  <si>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</si>
  <si>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</si>
  <si>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</si>
  <si>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</si>
  <si>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</si>
  <si>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</si>
  <si>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</si>
  <si>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</si>
  <si>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</si>
  <si>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</si>
  <si>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</si>
  <si>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</si>
  <si>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</si>
  <si>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</si>
  <si>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</si>
  <si>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</si>
  <si>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</si>
  <si>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</si>
  <si>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</si>
  <si>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</si>
  <si>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</si>
  <si>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</si>
  <si>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</si>
  <si>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</si>
  <si>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</si>
  <si>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</si>
  <si>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</si>
  <si>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</si>
  <si>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</si>
  <si>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</si>
  <si>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</si>
  <si>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</si>
  <si>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</si>
  <si>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</si>
  <si>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</si>
  <si>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</si>
  <si>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</si>
  <si>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</si>
  <si>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</si>
  <si>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</si>
  <si>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</si>
  <si>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</si>
  <si>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</si>
  <si>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</si>
  <si>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</si>
  <si>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</si>
  <si>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</si>
  <si>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</si>
  <si>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</si>
  <si>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</si>
  <si>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</si>
  <si>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</si>
  <si>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</si>
  <si>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</si>
  <si>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</si>
  <si>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</si>
  <si>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</si>
  <si>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</si>
  <si>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</si>
  <si>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</si>
  <si>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</si>
  <si>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</si>
  <si>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</si>
  <si>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</si>
  <si>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</si>
  <si>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</si>
  <si>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</si>
  <si>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</si>
  <si>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</si>
  <si>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</si>
  <si>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</si>
  <si>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</si>
  <si>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</si>
  <si>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</si>
  <si>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</si>
  <si>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</si>
  <si>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</si>
  <si>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</si>
  <si>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</si>
  <si>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</si>
  <si>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</si>
  <si>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</si>
  <si>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</si>
  <si>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</si>
  <si>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</si>
  <si>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</si>
  <si>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</si>
  <si>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</si>
  <si>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</si>
  <si>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</si>
  <si>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</si>
  <si>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</si>
  <si>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</si>
  <si>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</si>
  <si>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</si>
  <si>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</si>
  <si>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</si>
  <si>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</si>
  <si>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</si>
  <si>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</si>
  <si>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</si>
  <si>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</si>
  <si>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</si>
  <si>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</si>
  <si>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</si>
  <si>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</si>
  <si>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</si>
  <si>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</si>
  <si>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</si>
  <si>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</si>
  <si>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</si>
  <si>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</si>
  <si>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</si>
  <si>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</si>
  <si>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</si>
  <si>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</si>
  <si>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</si>
  <si>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</si>
  <si>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</si>
  <si>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</si>
  <si>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</si>
  <si>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</si>
  <si>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</si>
  <si>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</si>
  <si>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</si>
  <si>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</si>
  <si>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</si>
  <si>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</si>
  <si>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</si>
  <si>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</si>
  <si>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</si>
  <si>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</si>
  <si>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</si>
  <si>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</si>
  <si>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</si>
  <si>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</si>
  <si>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</si>
  <si>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</si>
  <si>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</si>
  <si>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</si>
  <si>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</si>
  <si>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</si>
  <si>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</si>
  <si>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</si>
  <si>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</si>
  <si>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</si>
  <si>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</si>
  <si>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</si>
  <si>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</si>
  <si>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</si>
  <si>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</si>
  <si>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</si>
  <si>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</si>
  <si>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</si>
  <si>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</si>
  <si>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</si>
  <si>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</si>
  <si>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</si>
  <si>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</si>
  <si>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</si>
  <si>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</si>
  <si>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</si>
  <si>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</si>
  <si>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</si>
  <si>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天骥智谷</t>
  </si>
  <si>
    <r>
      <rPr>
        <sz val="10"/>
        <color rgb="FF000000"/>
        <rFont val="宋体"/>
        <family val="3"/>
        <charset val="134"/>
      </rPr>
      <t>带地下</t>
    </r>
    <r>
      <rPr>
        <sz val="10"/>
        <color rgb="FF000000"/>
        <rFont val="Arial"/>
        <family val="2"/>
      </rPr>
      <t>1</t>
    </r>
    <r>
      <rPr>
        <sz val="10"/>
        <color rgb="FF000000"/>
        <rFont val="宋体"/>
        <family val="3"/>
        <charset val="134"/>
      </rPr>
      <t>层</t>
    </r>
  </si>
  <si>
    <t>经开壹中心</t>
  </si>
  <si>
    <t>锋创科技园</t>
  </si>
  <si>
    <t>汇龙森科技</t>
  </si>
  <si>
    <t>嘉捷科技园</t>
  </si>
  <si>
    <t>总建筑</t>
    <phoneticPr fontId="234" type="noConversion"/>
  </si>
  <si>
    <t>地上</t>
    <phoneticPr fontId="234" type="noConversion"/>
  </si>
  <si>
    <t>地下</t>
    <phoneticPr fontId="234" type="noConversion"/>
  </si>
  <si>
    <t>地下车库补缴，按建筑面积</t>
    <phoneticPr fontId="234" type="noConversion"/>
  </si>
  <si>
    <t>变更用途，地上补缴，按建筑面积</t>
    <phoneticPr fontId="234" type="noConversion"/>
  </si>
  <si>
    <t>容积率</t>
    <phoneticPr fontId="234" type="noConversion"/>
  </si>
  <si>
    <t>商业建筑面积</t>
    <phoneticPr fontId="234" type="noConversion"/>
  </si>
  <si>
    <t>车库建筑面积</t>
    <phoneticPr fontId="234" type="noConversion"/>
  </si>
  <si>
    <t>原地面出让</t>
    <phoneticPr fontId="234" type="noConversion"/>
  </si>
  <si>
    <t>商业补缴单价</t>
    <phoneticPr fontId="234" type="noConversion"/>
  </si>
  <si>
    <t>车库补缴单价</t>
    <phoneticPr fontId="234" type="noConversion"/>
  </si>
  <si>
    <t>地下车库</t>
  </si>
  <si>
    <t>单套模式</t>
  </si>
  <si>
    <t>兴盛国际</t>
    <phoneticPr fontId="234" type="noConversion"/>
  </si>
  <si>
    <t>博客雅居</t>
    <phoneticPr fontId="234" type="noConversion"/>
  </si>
  <si>
    <t>20-30</t>
    <phoneticPr fontId="98" type="noConversion"/>
  </si>
  <si>
    <t>30-40</t>
    <phoneticPr fontId="98" type="noConversion"/>
  </si>
  <si>
    <t>多面临街</t>
    <phoneticPr fontId="98" type="noConversion"/>
  </si>
  <si>
    <t>双面临街</t>
    <phoneticPr fontId="98" type="noConversion"/>
  </si>
  <si>
    <t>单面临街</t>
    <phoneticPr fontId="98" type="noConversion"/>
  </si>
  <si>
    <t>不临街</t>
    <phoneticPr fontId="98" type="noConversion"/>
  </si>
  <si>
    <t>住宅底商</t>
  </si>
  <si>
    <t>住宅底商</t>
    <phoneticPr fontId="234" type="noConversion"/>
  </si>
  <si>
    <t>科研底商</t>
  </si>
  <si>
    <t>科研底商</t>
    <phoneticPr fontId="234" type="noConversion"/>
  </si>
  <si>
    <t>钢混</t>
    <phoneticPr fontId="98" type="noConversion"/>
  </si>
  <si>
    <t>精装</t>
    <phoneticPr fontId="98" type="noConversion"/>
  </si>
  <si>
    <t>普装</t>
    <phoneticPr fontId="98" type="noConversion"/>
  </si>
  <si>
    <t>简装</t>
    <phoneticPr fontId="98" type="noConversion"/>
  </si>
  <si>
    <t>毛坯</t>
    <phoneticPr fontId="98" type="noConversion"/>
  </si>
  <si>
    <t>可餐饮</t>
    <phoneticPr fontId="98" type="noConversion"/>
  </si>
  <si>
    <t>不可餐饮</t>
    <phoneticPr fontId="98" type="noConversion"/>
  </si>
  <si>
    <t>标准层高</t>
    <phoneticPr fontId="98" type="noConversion"/>
  </si>
  <si>
    <t>报价</t>
    <phoneticPr fontId="234" type="noConversion"/>
  </si>
  <si>
    <t>商业</t>
    <phoneticPr fontId="234" type="noConversion"/>
  </si>
  <si>
    <t>单面临街</t>
  </si>
  <si>
    <t>较好</t>
    <phoneticPr fontId="234" type="noConversion"/>
  </si>
  <si>
    <t>大</t>
    <phoneticPr fontId="98" type="noConversion"/>
  </si>
  <si>
    <t>较大</t>
    <phoneticPr fontId="98" type="noConversion"/>
  </si>
  <si>
    <t>一般</t>
    <phoneticPr fontId="98" type="noConversion"/>
  </si>
  <si>
    <t>较小</t>
    <phoneticPr fontId="98" type="noConversion"/>
  </si>
  <si>
    <t>小</t>
    <phoneticPr fontId="98" type="noConversion"/>
  </si>
  <si>
    <r>
      <rPr>
        <sz val="11"/>
        <color indexed="8"/>
        <rFont val="宋体"/>
        <family val="3"/>
        <charset val="134"/>
      </rPr>
      <t>好</t>
    </r>
    <phoneticPr fontId="98" type="noConversion"/>
  </si>
  <si>
    <r>
      <rPr>
        <sz val="11"/>
        <color indexed="8"/>
        <rFont val="宋体"/>
        <family val="3"/>
        <charset val="134"/>
      </rPr>
      <t>较好</t>
    </r>
    <phoneticPr fontId="98" type="noConversion"/>
  </si>
  <si>
    <r>
      <rPr>
        <sz val="11"/>
        <color indexed="8"/>
        <rFont val="宋体"/>
        <family val="3"/>
        <charset val="134"/>
      </rPr>
      <t>一般</t>
    </r>
    <phoneticPr fontId="98" type="noConversion"/>
  </si>
  <si>
    <r>
      <rPr>
        <sz val="11"/>
        <color indexed="8"/>
        <rFont val="宋体"/>
        <family val="3"/>
        <charset val="134"/>
      </rPr>
      <t>较差</t>
    </r>
    <phoneticPr fontId="98" type="noConversion"/>
  </si>
  <si>
    <r>
      <rPr>
        <sz val="11"/>
        <color indexed="8"/>
        <rFont val="宋体"/>
        <family val="3"/>
        <charset val="134"/>
      </rPr>
      <t>差</t>
    </r>
    <phoneticPr fontId="98" type="noConversion"/>
  </si>
  <si>
    <t>标准层高</t>
  </si>
  <si>
    <r>
      <t>1-2</t>
    </r>
    <r>
      <rPr>
        <sz val="11"/>
        <color indexed="8"/>
        <rFont val="宋体"/>
        <family val="3"/>
        <charset val="134"/>
      </rPr>
      <t>层</t>
    </r>
    <phoneticPr fontId="234" type="noConversion"/>
  </si>
  <si>
    <t>1-2层</t>
  </si>
  <si>
    <t>较大</t>
  </si>
  <si>
    <t>林肯公园</t>
    <phoneticPr fontId="234" type="noConversion"/>
  </si>
  <si>
    <t>比较法-商业租金</t>
    <phoneticPr fontId="234" type="noConversion"/>
  </si>
  <si>
    <t>富兴国际中心</t>
    <phoneticPr fontId="234" type="noConversion"/>
  </si>
  <si>
    <t>办公底商</t>
  </si>
  <si>
    <t>办公底商</t>
    <phoneticPr fontId="234" type="noConversion"/>
  </si>
  <si>
    <t>大雄城市花园</t>
    <phoneticPr fontId="234" type="noConversion"/>
  </si>
  <si>
    <t>收益法(元)</t>
  </si>
  <si>
    <t>收益法(元)</t>
    <phoneticPr fontId="234" type="noConversion"/>
  </si>
  <si>
    <t>楼面单价</t>
  </si>
  <si>
    <r>
      <t>1</t>
    </r>
    <r>
      <rPr>
        <sz val="10"/>
        <color indexed="8"/>
        <rFont val="宋体"/>
        <family val="3"/>
        <charset val="134"/>
      </rPr>
      <t>层</t>
    </r>
    <phoneticPr fontId="234" type="noConversion"/>
  </si>
  <si>
    <r>
      <t>2</t>
    </r>
    <r>
      <rPr>
        <sz val="10"/>
        <color indexed="8"/>
        <rFont val="宋体"/>
        <family val="3"/>
        <charset val="134"/>
      </rPr>
      <t>层</t>
    </r>
    <phoneticPr fontId="234" type="noConversion"/>
  </si>
  <si>
    <t>建安取值</t>
    <phoneticPr fontId="234" type="noConversion"/>
  </si>
  <si>
    <t>建筑面积</t>
    <phoneticPr fontId="98" type="noConversion"/>
  </si>
  <si>
    <t>单方建安</t>
    <phoneticPr fontId="98" type="noConversion"/>
  </si>
  <si>
    <t>合计</t>
    <phoneticPr fontId="98" type="noConversion"/>
  </si>
  <si>
    <t>主体</t>
    <phoneticPr fontId="98" type="noConversion"/>
  </si>
  <si>
    <t>装修</t>
    <phoneticPr fontId="98" type="noConversion"/>
  </si>
  <si>
    <t>设备</t>
    <phoneticPr fontId="98" type="noConversion"/>
  </si>
  <si>
    <t>人防</t>
    <phoneticPr fontId="98" type="noConversion"/>
  </si>
  <si>
    <t>综合平均</t>
  </si>
  <si>
    <t>地下(1层)</t>
    <phoneticPr fontId="98" type="noConversion"/>
  </si>
  <si>
    <t>地上（办公）</t>
    <phoneticPr fontId="98" type="noConversion"/>
  </si>
  <si>
    <t>科研</t>
  </si>
  <si>
    <t>科研</t>
    <phoneticPr fontId="234"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</si>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</sst>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0.0000_);[Red]\(0.0000\)"/>
  </numFmts>
  <fonts count="237">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11"/>
      <name val="宋体"/>
      <family val="3"/>
      <charset val="134"/>
      <scheme val="minor"/>
    </font>
    <font>
      <b/>
      <sz val="11"/>
      <name val="Microsoft YaHei"/>
      <charset val="134"/>
    </font>
    <font>
      <b/>
      <sz val="11"/>
      <color theme="1"/>
      <name val="Microsoft YaHei"/>
      <charset val="134"/>
    </font>
    <font>
      <sz val="10"/>
      <name val="Microsoft YaHei"/>
      <charset val="134"/>
    </font>
    <font>
      <b/>
      <sz val="10"/>
      <name val="Microsoft YaHei"/>
      <charset val="134"/>
    </font>
    <font>
      <b/>
      <sz val="10"/>
      <color theme="1"/>
      <name val="Microsoft YaHei"/>
      <charset val="134"/>
    </font>
    <font>
      <sz val="10"/>
      <name val="黑体"/>
      <family val="3"/>
      <charset val="134"/>
    </font>
    <font>
      <sz val="10"/>
      <name val="SimSun"/>
      <charset val="134"/>
    </font>
    <font>
      <sz val="10"/>
      <color rgb="FF000000"/>
      <name val="SimSun"/>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rgb="FF00000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0"/>
      <name val="SimSun"/>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b/>
      <sz val="9"/>
      <name val="宋体"/>
      <family val="3"/>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sz val="10"/>
      <color theme="1"/>
      <name val="宋体"/>
      <family val="3"/>
      <charset val="134"/>
      <scheme val="minor"/>
    </font>
    <font>
      <sz val="10"/>
      <color rgb="FFFF0000"/>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39997558519241921"/>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27" fillId="0" borderId="0"/>
    <xf numFmtId="9" fontId="101"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1" fillId="0" borderId="0"/>
    <xf numFmtId="0" fontId="3" fillId="0" borderId="0">
      <alignment vertical="center"/>
    </xf>
    <xf numFmtId="0" fontId="3" fillId="0" borderId="0"/>
    <xf numFmtId="0" fontId="161" fillId="0" borderId="0">
      <alignment vertical="center"/>
    </xf>
    <xf numFmtId="0" fontId="161" fillId="0" borderId="0">
      <alignment vertical="center"/>
    </xf>
    <xf numFmtId="0" fontId="161" fillId="0" borderId="0">
      <alignment vertical="center"/>
    </xf>
    <xf numFmtId="0" fontId="3" fillId="0" borderId="0">
      <alignment vertical="center"/>
    </xf>
    <xf numFmtId="0" fontId="161" fillId="0" borderId="0">
      <alignment vertical="center"/>
    </xf>
    <xf numFmtId="0" fontId="117" fillId="0" borderId="0"/>
  </cellStyleXfs>
  <cellXfs count="3942">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6"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7" fillId="2" borderId="0" xfId="0" applyFont="1" applyFill="1" applyAlignment="1"/>
    <xf numFmtId="0" fontId="8" fillId="2" borderId="0" xfId="10" applyFont="1" applyFill="1"/>
    <xf numFmtId="0" fontId="4" fillId="2" borderId="3" xfId="10" applyFont="1" applyFill="1" applyBorder="1"/>
    <xf numFmtId="0" fontId="9" fillId="2" borderId="4" xfId="10" applyFont="1" applyFill="1" applyBorder="1" applyAlignment="1">
      <alignment horizontal="center" vertical="center" wrapText="1"/>
    </xf>
    <xf numFmtId="0" fontId="4" fillId="2" borderId="5" xfId="10" applyFont="1" applyFill="1" applyBorder="1" applyAlignment="1">
      <alignment horizontal="center"/>
    </xf>
    <xf numFmtId="0" fontId="9"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9" fillId="2" borderId="7" xfId="10" applyFont="1" applyFill="1" applyBorder="1" applyAlignment="1">
      <alignment horizontal="center" vertical="center" wrapText="1"/>
    </xf>
    <xf numFmtId="0" fontId="4" fillId="2" borderId="8" xfId="10" applyFont="1" applyFill="1" applyBorder="1" applyAlignment="1">
      <alignment horizontal="center"/>
    </xf>
    <xf numFmtId="0" fontId="9"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9"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9"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10" fillId="2" borderId="0" xfId="10" applyNumberFormat="1" applyFont="1" applyFill="1" applyAlignment="1">
      <alignment horizontal="center"/>
    </xf>
    <xf numFmtId="0" fontId="11" fillId="2" borderId="0" xfId="10" applyFont="1" applyFill="1" applyAlignment="1">
      <alignment horizontal="left"/>
    </xf>
    <xf numFmtId="14" fontId="10" fillId="2" borderId="0" xfId="10" applyNumberFormat="1" applyFont="1" applyFill="1" applyAlignment="1">
      <alignment horizontal="center"/>
    </xf>
    <xf numFmtId="0" fontId="10" fillId="2" borderId="0" xfId="10" applyFont="1" applyFill="1"/>
    <xf numFmtId="0" fontId="12" fillId="2" borderId="0" xfId="10" applyFont="1" applyFill="1"/>
    <xf numFmtId="0" fontId="13" fillId="2" borderId="0" xfId="10" applyFont="1" applyFill="1"/>
    <xf numFmtId="0" fontId="9" fillId="2" borderId="0" xfId="10" applyFont="1" applyFill="1" applyAlignment="1"/>
    <xf numFmtId="0" fontId="6" fillId="2" borderId="12" xfId="10" applyFont="1" applyFill="1" applyBorder="1" applyAlignment="1">
      <alignment horizontal="center" vertical="center"/>
    </xf>
    <xf numFmtId="0" fontId="6" fillId="2" borderId="12" xfId="10" applyFont="1" applyFill="1" applyBorder="1" applyAlignment="1">
      <alignment vertical="center"/>
    </xf>
    <xf numFmtId="0" fontId="6" fillId="2" borderId="13" xfId="10" applyFont="1" applyFill="1" applyBorder="1" applyAlignment="1">
      <alignment vertical="center"/>
    </xf>
    <xf numFmtId="0" fontId="6" fillId="2" borderId="14" xfId="10" applyFont="1" applyFill="1" applyBorder="1" applyAlignment="1">
      <alignment vertical="center"/>
    </xf>
    <xf numFmtId="0" fontId="6" fillId="2" borderId="15" xfId="10" applyFont="1" applyFill="1" applyBorder="1" applyAlignment="1">
      <alignment vertical="center"/>
    </xf>
    <xf numFmtId="0" fontId="9" fillId="2" borderId="0" xfId="10" applyFont="1" applyFill="1"/>
    <xf numFmtId="0" fontId="6" fillId="2" borderId="16" xfId="10" applyFont="1" applyFill="1" applyBorder="1" applyAlignment="1">
      <alignment horizontal="center" vertical="center" wrapText="1"/>
    </xf>
    <xf numFmtId="0" fontId="6" fillId="2" borderId="16" xfId="10" applyFont="1" applyFill="1" applyBorder="1" applyAlignment="1">
      <alignment vertical="center" wrapText="1"/>
    </xf>
    <xf numFmtId="0" fontId="4" fillId="2" borderId="7" xfId="10" applyFont="1" applyFill="1" applyBorder="1"/>
    <xf numFmtId="0" fontId="14" fillId="2" borderId="0" xfId="10" applyFont="1" applyFill="1" applyAlignment="1">
      <alignment vertical="center"/>
    </xf>
    <xf numFmtId="0" fontId="14" fillId="2" borderId="7" xfId="10" applyFont="1" applyFill="1" applyBorder="1" applyAlignment="1">
      <alignment horizontal="left" vertical="center" wrapText="1"/>
    </xf>
    <xf numFmtId="177" fontId="14" fillId="2" borderId="7" xfId="10" applyNumberFormat="1" applyFont="1" applyFill="1" applyBorder="1" applyAlignment="1">
      <alignment horizontal="center" vertical="center" wrapText="1"/>
    </xf>
    <xf numFmtId="0" fontId="14"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14" fontId="9" fillId="2" borderId="7" xfId="10" applyNumberFormat="1" applyFont="1" applyFill="1" applyBorder="1" applyAlignment="1">
      <alignment horizontal="center" wrapText="1"/>
    </xf>
    <xf numFmtId="0" fontId="9" fillId="2" borderId="7" xfId="10" applyFont="1" applyFill="1" applyBorder="1" applyAlignment="1">
      <alignment horizontal="center" wrapText="1"/>
    </xf>
    <xf numFmtId="178" fontId="6" fillId="2" borderId="1" xfId="10" applyNumberFormat="1" applyFont="1" applyFill="1" applyBorder="1" applyAlignment="1">
      <alignment horizontal="center"/>
    </xf>
    <xf numFmtId="0" fontId="6" fillId="2" borderId="7" xfId="10" applyFont="1" applyFill="1" applyBorder="1" applyAlignment="1">
      <alignment horizontal="center" vertical="center" wrapText="1"/>
    </xf>
    <xf numFmtId="14" fontId="14" fillId="2" borderId="7" xfId="10" applyNumberFormat="1" applyFont="1" applyFill="1" applyBorder="1" applyAlignment="1">
      <alignment horizontal="center" vertical="center" wrapText="1"/>
    </xf>
    <xf numFmtId="179" fontId="17" fillId="2" borderId="7" xfId="10" applyNumberFormat="1" applyFont="1" applyFill="1" applyBorder="1" applyAlignment="1">
      <alignment horizontal="center"/>
    </xf>
    <xf numFmtId="0" fontId="5" fillId="0" borderId="1" xfId="10" applyFont="1" applyBorder="1"/>
    <xf numFmtId="0" fontId="10" fillId="0" borderId="0" xfId="10" applyFont="1"/>
    <xf numFmtId="0" fontId="12" fillId="0" borderId="0" xfId="10" applyFont="1"/>
    <xf numFmtId="0" fontId="9" fillId="0" borderId="0" xfId="10" applyFont="1" applyAlignment="1"/>
    <xf numFmtId="0" fontId="9" fillId="0" borderId="0" xfId="10" applyFont="1"/>
    <xf numFmtId="0" fontId="14" fillId="3" borderId="0" xfId="1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9" fillId="0" borderId="0" xfId="15" applyFont="1" applyAlignment="1">
      <alignment horizontal="left" vertical="center"/>
    </xf>
    <xf numFmtId="0" fontId="19" fillId="0" borderId="17" xfId="15" applyFont="1" applyBorder="1" applyAlignment="1">
      <alignment horizontal="left" vertical="center"/>
    </xf>
    <xf numFmtId="0" fontId="19" fillId="4" borderId="0" xfId="15" applyFont="1" applyFill="1" applyAlignment="1">
      <alignment horizontal="left" vertical="center"/>
    </xf>
    <xf numFmtId="0" fontId="19" fillId="0" borderId="0" xfId="15" applyFont="1" applyFill="1" applyAlignment="1">
      <alignment horizontal="left" vertical="center"/>
    </xf>
    <xf numFmtId="0" fontId="20" fillId="5" borderId="0" xfId="15" applyFont="1" applyFill="1" applyAlignment="1">
      <alignment horizontal="left" vertical="center"/>
    </xf>
    <xf numFmtId="0" fontId="19" fillId="5" borderId="0" xfId="15" applyFont="1" applyFill="1" applyAlignment="1">
      <alignment horizontal="left" vertical="center"/>
    </xf>
    <xf numFmtId="0" fontId="21" fillId="3" borderId="0" xfId="15" applyFont="1" applyFill="1" applyAlignment="1">
      <alignment horizontal="left" vertical="center"/>
    </xf>
    <xf numFmtId="0" fontId="21" fillId="0" borderId="18" xfId="15" applyFont="1" applyBorder="1" applyAlignment="1">
      <alignment horizontal="left" vertical="center"/>
    </xf>
    <xf numFmtId="0" fontId="22" fillId="0" borderId="0" xfId="15" applyFont="1" applyAlignment="1">
      <alignment horizontal="left" vertical="center"/>
    </xf>
    <xf numFmtId="0" fontId="21" fillId="0" borderId="0" xfId="15" applyFont="1" applyAlignment="1">
      <alignment horizontal="left" vertical="center"/>
    </xf>
    <xf numFmtId="0" fontId="21" fillId="0" borderId="19" xfId="15" applyFont="1" applyBorder="1" applyAlignment="1">
      <alignment horizontal="left" vertical="center"/>
    </xf>
    <xf numFmtId="0" fontId="24" fillId="2" borderId="17" xfId="6" applyFont="1" applyFill="1" applyBorder="1" applyAlignment="1" applyProtection="1">
      <alignment horizontal="left" vertical="center"/>
    </xf>
    <xf numFmtId="0" fontId="25" fillId="2" borderId="17" xfId="6" applyFont="1" applyFill="1" applyBorder="1" applyAlignment="1" applyProtection="1">
      <alignment horizontal="left" vertical="center"/>
    </xf>
    <xf numFmtId="0" fontId="19" fillId="0" borderId="20" xfId="15" applyFont="1" applyBorder="1" applyAlignment="1">
      <alignment horizontal="left" vertical="center"/>
    </xf>
    <xf numFmtId="0" fontId="5" fillId="4" borderId="0" xfId="15" applyFont="1" applyFill="1" applyAlignment="1">
      <alignment horizontal="left" vertical="center"/>
    </xf>
    <xf numFmtId="0" fontId="26" fillId="4" borderId="0" xfId="6" applyFont="1" applyFill="1" applyAlignment="1" applyProtection="1">
      <alignment horizontal="left" vertical="center"/>
    </xf>
    <xf numFmtId="0" fontId="25" fillId="4" borderId="0" xfId="6" applyFont="1" applyFill="1" applyAlignment="1" applyProtection="1">
      <alignment horizontal="left" vertical="center"/>
    </xf>
    <xf numFmtId="0" fontId="19" fillId="4" borderId="19" xfId="15" applyFont="1" applyFill="1" applyBorder="1" applyAlignment="1">
      <alignment horizontal="left" vertical="center"/>
    </xf>
    <xf numFmtId="0" fontId="19" fillId="4" borderId="0" xfId="15" applyFont="1" applyFill="1" applyBorder="1" applyAlignment="1">
      <alignment horizontal="left" vertical="center"/>
    </xf>
    <xf numFmtId="0" fontId="26" fillId="0" borderId="0" xfId="6" applyFont="1" applyFill="1" applyAlignment="1" applyProtection="1">
      <alignment horizontal="left" vertical="center"/>
    </xf>
    <xf numFmtId="0" fontId="25" fillId="0" borderId="0" xfId="6" applyFont="1" applyFill="1" applyAlignment="1" applyProtection="1">
      <alignment horizontal="left" vertical="center"/>
    </xf>
    <xf numFmtId="0" fontId="19" fillId="0" borderId="19" xfId="15" applyFont="1" applyFill="1" applyBorder="1" applyAlignment="1">
      <alignment horizontal="left" vertical="center"/>
    </xf>
    <xf numFmtId="0" fontId="19" fillId="0" borderId="0" xfId="15" applyFont="1" applyFill="1" applyBorder="1" applyAlignment="1">
      <alignment horizontal="left" vertical="center"/>
    </xf>
    <xf numFmtId="49" fontId="27" fillId="2" borderId="7" xfId="15" applyNumberFormat="1" applyFont="1" applyFill="1" applyBorder="1" applyAlignment="1" applyProtection="1">
      <alignment horizontal="left" vertical="center" wrapText="1"/>
    </xf>
    <xf numFmtId="180" fontId="21" fillId="0" borderId="0" xfId="15" applyNumberFormat="1" applyFont="1" applyAlignment="1">
      <alignment horizontal="left" vertical="center"/>
    </xf>
    <xf numFmtId="0" fontId="28" fillId="6" borderId="21" xfId="15" applyFont="1" applyFill="1" applyBorder="1" applyAlignment="1" applyProtection="1">
      <alignment horizontal="left" vertical="center" wrapText="1"/>
    </xf>
    <xf numFmtId="0" fontId="28" fillId="7" borderId="22" xfId="15" applyFont="1" applyFill="1" applyBorder="1" applyAlignment="1" applyProtection="1">
      <alignment horizontal="left" vertical="center" wrapText="1"/>
    </xf>
    <xf numFmtId="49" fontId="27" fillId="5" borderId="7" xfId="15" applyNumberFormat="1" applyFont="1" applyFill="1" applyBorder="1" applyAlignment="1" applyProtection="1">
      <alignment horizontal="left" vertical="center" wrapText="1"/>
    </xf>
    <xf numFmtId="180" fontId="20" fillId="5" borderId="0" xfId="15" applyNumberFormat="1" applyFont="1" applyFill="1" applyAlignment="1">
      <alignment horizontal="left" vertical="center"/>
    </xf>
    <xf numFmtId="0" fontId="28" fillId="5" borderId="22" xfId="15" applyFont="1" applyFill="1" applyBorder="1" applyAlignment="1" applyProtection="1">
      <alignment horizontal="left" vertical="center" wrapText="1"/>
    </xf>
    <xf numFmtId="0" fontId="28" fillId="6" borderId="23" xfId="15" applyFont="1" applyFill="1" applyBorder="1" applyAlignment="1" applyProtection="1">
      <alignment horizontal="left" vertical="center" wrapText="1"/>
    </xf>
    <xf numFmtId="180" fontId="19" fillId="6" borderId="23" xfId="15" applyNumberFormat="1" applyFont="1" applyFill="1" applyBorder="1" applyAlignment="1" applyProtection="1">
      <alignment horizontal="left" vertical="center" wrapText="1"/>
    </xf>
    <xf numFmtId="180" fontId="19" fillId="6" borderId="24" xfId="15" applyNumberFormat="1" applyFont="1" applyFill="1" applyBorder="1" applyAlignment="1" applyProtection="1">
      <alignment horizontal="left" vertical="center" wrapText="1"/>
    </xf>
    <xf numFmtId="0" fontId="28" fillId="6" borderId="22" xfId="15" applyFont="1" applyFill="1" applyBorder="1" applyAlignment="1" applyProtection="1">
      <alignment horizontal="left" vertical="center" wrapText="1"/>
    </xf>
    <xf numFmtId="180" fontId="19" fillId="6" borderId="23" xfId="15" applyNumberFormat="1" applyFont="1" applyFill="1" applyBorder="1" applyAlignment="1">
      <alignment horizontal="left" vertical="center" wrapText="1"/>
    </xf>
    <xf numFmtId="180" fontId="19" fillId="6" borderId="24" xfId="15" applyNumberFormat="1" applyFont="1" applyFill="1" applyBorder="1" applyAlignment="1">
      <alignment horizontal="left" vertical="center" wrapText="1"/>
    </xf>
    <xf numFmtId="0" fontId="28" fillId="6" borderId="29" xfId="15" applyFont="1" applyFill="1" applyBorder="1" applyAlignment="1" applyProtection="1">
      <alignment horizontal="left" vertical="center" wrapText="1"/>
    </xf>
    <xf numFmtId="0" fontId="28" fillId="7" borderId="23" xfId="15" applyFont="1" applyFill="1" applyBorder="1" applyAlignment="1" applyProtection="1">
      <alignment horizontal="left" vertical="center" wrapText="1"/>
    </xf>
    <xf numFmtId="180" fontId="19" fillId="6" borderId="22" xfId="15" applyNumberFormat="1" applyFont="1" applyFill="1" applyBorder="1" applyAlignment="1">
      <alignment horizontal="left" vertical="center" wrapText="1"/>
    </xf>
    <xf numFmtId="180" fontId="19" fillId="6" borderId="30" xfId="15" applyNumberFormat="1" applyFont="1" applyFill="1" applyBorder="1" applyAlignment="1">
      <alignment horizontal="left" vertical="center" wrapText="1"/>
    </xf>
    <xf numFmtId="0" fontId="21" fillId="7" borderId="23" xfId="15" applyFont="1" applyFill="1" applyBorder="1" applyAlignment="1" applyProtection="1">
      <alignment horizontal="left" vertical="center" wrapText="1"/>
    </xf>
    <xf numFmtId="49" fontId="27" fillId="3" borderId="7" xfId="15" applyNumberFormat="1" applyFont="1" applyFill="1" applyBorder="1" applyAlignment="1" applyProtection="1">
      <alignment horizontal="left" vertical="center" wrapText="1"/>
    </xf>
    <xf numFmtId="180" fontId="21" fillId="3" borderId="0" xfId="15" applyNumberFormat="1" applyFont="1" applyFill="1" applyAlignment="1">
      <alignment horizontal="left" vertical="center"/>
    </xf>
    <xf numFmtId="0" fontId="21" fillId="3" borderId="22" xfId="15" applyFont="1" applyFill="1" applyBorder="1" applyAlignment="1" applyProtection="1">
      <alignment horizontal="left" vertical="center" wrapText="1"/>
    </xf>
    <xf numFmtId="0" fontId="21" fillId="6" borderId="29" xfId="15" applyFont="1" applyFill="1" applyBorder="1" applyAlignment="1" applyProtection="1">
      <alignment horizontal="left" vertical="center" wrapText="1"/>
    </xf>
    <xf numFmtId="180" fontId="19" fillId="6" borderId="29" xfId="15" applyNumberFormat="1" applyFont="1" applyFill="1" applyBorder="1" applyAlignment="1">
      <alignment horizontal="left" vertical="center" wrapText="1"/>
    </xf>
    <xf numFmtId="180" fontId="19" fillId="6" borderId="31" xfId="15" applyNumberFormat="1" applyFont="1" applyFill="1" applyBorder="1" applyAlignment="1">
      <alignment horizontal="left" vertical="center" wrapText="1"/>
    </xf>
    <xf numFmtId="180" fontId="21" fillId="5" borderId="0" xfId="15" applyNumberFormat="1" applyFont="1" applyFill="1" applyAlignment="1">
      <alignment horizontal="left" vertical="center"/>
    </xf>
    <xf numFmtId="180" fontId="21" fillId="0" borderId="18" xfId="15" applyNumberFormat="1" applyFont="1" applyBorder="1" applyAlignment="1">
      <alignment horizontal="left" vertical="center"/>
    </xf>
    <xf numFmtId="0" fontId="28" fillId="7" borderId="32" xfId="15" applyFont="1" applyFill="1" applyBorder="1" applyAlignment="1" applyProtection="1">
      <alignment horizontal="left" vertical="center" wrapText="1"/>
    </xf>
    <xf numFmtId="0" fontId="20" fillId="4" borderId="0"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28" fillId="7" borderId="22" xfId="16" applyFont="1" applyFill="1" applyBorder="1" applyAlignment="1" applyProtection="1">
      <alignment horizontal="left" vertical="center" wrapText="1"/>
    </xf>
    <xf numFmtId="0" fontId="28" fillId="7" borderId="33" xfId="16" applyFont="1" applyFill="1" applyBorder="1" applyAlignment="1" applyProtection="1">
      <alignment horizontal="left" vertical="center" wrapText="1"/>
    </xf>
    <xf numFmtId="10" fontId="21" fillId="0" borderId="19" xfId="15" applyNumberFormat="1" applyFont="1" applyBorder="1" applyAlignment="1">
      <alignment horizontal="left" vertical="center"/>
    </xf>
    <xf numFmtId="10" fontId="21" fillId="0" borderId="0" xfId="15" applyNumberFormat="1" applyFont="1" applyAlignment="1">
      <alignment horizontal="left" vertical="center"/>
    </xf>
    <xf numFmtId="0" fontId="20" fillId="5" borderId="0" xfId="15" applyFont="1" applyFill="1" applyBorder="1" applyAlignment="1" applyProtection="1">
      <alignment horizontal="left" vertical="center"/>
      <protection locked="0"/>
    </xf>
    <xf numFmtId="10" fontId="20" fillId="5" borderId="34" xfId="15" applyNumberFormat="1" applyFont="1" applyFill="1" applyBorder="1" applyAlignment="1">
      <alignment horizontal="left" vertical="center"/>
    </xf>
    <xf numFmtId="0" fontId="28" fillId="7" borderId="33" xfId="15" applyFont="1" applyFill="1" applyBorder="1" applyAlignment="1" applyProtection="1">
      <alignment horizontal="left" vertical="center" wrapText="1"/>
    </xf>
    <xf numFmtId="0" fontId="28" fillId="6" borderId="35" xfId="15" applyFont="1" applyFill="1" applyBorder="1" applyAlignment="1" applyProtection="1">
      <alignment horizontal="left" vertical="center" wrapText="1"/>
    </xf>
    <xf numFmtId="0" fontId="28" fillId="6" borderId="33" xfId="15" applyFont="1" applyFill="1" applyBorder="1" applyAlignment="1" applyProtection="1">
      <alignment horizontal="left" vertical="center" wrapText="1"/>
    </xf>
    <xf numFmtId="0" fontId="28" fillId="6" borderId="36" xfId="15" applyFont="1" applyFill="1" applyBorder="1" applyAlignment="1" applyProtection="1">
      <alignment horizontal="left" vertical="center" wrapText="1"/>
    </xf>
    <xf numFmtId="10" fontId="21" fillId="0" borderId="37" xfId="15" applyNumberFormat="1" applyFont="1" applyBorder="1" applyAlignment="1">
      <alignment horizontal="left" vertical="center"/>
    </xf>
    <xf numFmtId="10" fontId="21" fillId="0" borderId="38" xfId="15" applyNumberFormat="1" applyFont="1" applyBorder="1" applyAlignment="1">
      <alignment horizontal="left" vertical="center"/>
    </xf>
    <xf numFmtId="0" fontId="28" fillId="7" borderId="35" xfId="15" applyFont="1" applyFill="1" applyBorder="1" applyAlignment="1" applyProtection="1">
      <alignment horizontal="left" vertical="center" wrapText="1"/>
    </xf>
    <xf numFmtId="10" fontId="21" fillId="0" borderId="0" xfId="15" applyNumberFormat="1" applyFont="1" applyBorder="1" applyAlignment="1">
      <alignment horizontal="left" vertical="center"/>
    </xf>
    <xf numFmtId="10" fontId="21" fillId="0" borderId="34" xfId="15" applyNumberFormat="1" applyFont="1" applyBorder="1" applyAlignment="1">
      <alignment horizontal="left" vertical="center"/>
    </xf>
    <xf numFmtId="10" fontId="21" fillId="0" borderId="39" xfId="15" applyNumberFormat="1" applyFont="1" applyBorder="1" applyAlignment="1">
      <alignment horizontal="left" vertical="center"/>
    </xf>
    <xf numFmtId="0" fontId="21" fillId="7" borderId="35" xfId="15" applyFont="1" applyFill="1" applyBorder="1" applyAlignment="1" applyProtection="1">
      <alignment horizontal="left" vertical="center" wrapText="1"/>
    </xf>
    <xf numFmtId="0" fontId="21" fillId="3" borderId="33" xfId="15" applyFont="1" applyFill="1" applyBorder="1" applyAlignment="1" applyProtection="1">
      <alignment horizontal="left" vertical="center" wrapText="1"/>
    </xf>
    <xf numFmtId="10" fontId="21" fillId="3" borderId="19" xfId="15" applyNumberFormat="1" applyFont="1" applyFill="1" applyBorder="1" applyAlignment="1">
      <alignment horizontal="left" vertical="center"/>
    </xf>
    <xf numFmtId="10" fontId="21" fillId="3" borderId="0" xfId="15" applyNumberFormat="1" applyFont="1" applyFill="1" applyAlignment="1">
      <alignment horizontal="left" vertical="center"/>
    </xf>
    <xf numFmtId="0" fontId="21" fillId="6" borderId="36" xfId="15" applyFont="1" applyFill="1" applyBorder="1" applyAlignment="1" applyProtection="1">
      <alignment horizontal="left" vertical="center" wrapText="1"/>
    </xf>
    <xf numFmtId="0" fontId="28" fillId="7" borderId="40" xfId="15" applyFont="1" applyFill="1" applyBorder="1" applyAlignment="1" applyProtection="1">
      <alignment horizontal="left" vertical="center" wrapText="1"/>
    </xf>
    <xf numFmtId="10" fontId="21" fillId="0" borderId="41" xfId="15" applyNumberFormat="1" applyFont="1" applyBorder="1" applyAlignment="1">
      <alignment horizontal="left" vertical="center"/>
    </xf>
    <xf numFmtId="10" fontId="21" fillId="0" borderId="18" xfId="15" applyNumberFormat="1" applyFont="1" applyBorder="1" applyAlignment="1">
      <alignment horizontal="left" vertical="center"/>
    </xf>
    <xf numFmtId="0" fontId="6" fillId="4" borderId="0" xfId="15" applyFont="1" applyFill="1" applyAlignment="1">
      <alignment horizontal="left" vertical="center"/>
    </xf>
    <xf numFmtId="0" fontId="21" fillId="4" borderId="0" xfId="15" applyFont="1" applyFill="1" applyAlignment="1">
      <alignment horizontal="left" vertical="center"/>
    </xf>
    <xf numFmtId="178" fontId="21" fillId="0" borderId="0" xfId="15" applyNumberFormat="1" applyFont="1" applyAlignment="1">
      <alignment horizontal="left" vertical="center"/>
    </xf>
    <xf numFmtId="0" fontId="21" fillId="0" borderId="0" xfId="15" applyFont="1" applyFill="1" applyAlignment="1">
      <alignment horizontal="left" vertical="center"/>
    </xf>
    <xf numFmtId="0" fontId="19" fillId="5" borderId="19" xfId="15" applyFont="1" applyFill="1" applyBorder="1" applyAlignment="1">
      <alignment horizontal="left" vertical="center"/>
    </xf>
    <xf numFmtId="0" fontId="22" fillId="3" borderId="0" xfId="15" applyFont="1" applyFill="1" applyAlignment="1">
      <alignment horizontal="left" vertical="center"/>
    </xf>
    <xf numFmtId="0" fontId="21" fillId="5" borderId="0" xfId="15" applyFont="1" applyFill="1" applyAlignment="1">
      <alignment horizontal="left" vertical="center"/>
    </xf>
    <xf numFmtId="181" fontId="21" fillId="0" borderId="19" xfId="15" applyNumberFormat="1" applyFont="1" applyBorder="1" applyAlignment="1">
      <alignment horizontal="left" vertical="center"/>
    </xf>
    <xf numFmtId="181" fontId="21" fillId="0" borderId="0" xfId="15" applyNumberFormat="1" applyFont="1" applyAlignment="1">
      <alignment horizontal="left" vertical="center"/>
    </xf>
    <xf numFmtId="178" fontId="21" fillId="3" borderId="0" xfId="15" applyNumberFormat="1" applyFont="1" applyFill="1" applyAlignment="1">
      <alignment horizontal="left" vertical="center"/>
    </xf>
    <xf numFmtId="10" fontId="21" fillId="3" borderId="34" xfId="15" applyNumberFormat="1" applyFont="1" applyFill="1" applyBorder="1" applyAlignment="1">
      <alignment horizontal="left" vertical="center"/>
    </xf>
    <xf numFmtId="10" fontId="21" fillId="3" borderId="39" xfId="15" applyNumberFormat="1" applyFont="1" applyFill="1" applyBorder="1" applyAlignment="1">
      <alignment horizontal="left" vertical="center"/>
    </xf>
    <xf numFmtId="0" fontId="9" fillId="3" borderId="0" xfId="15" applyFont="1" applyFill="1" applyAlignment="1">
      <alignment horizontal="left" vertical="center"/>
    </xf>
    <xf numFmtId="0" fontId="21" fillId="3" borderId="0" xfId="15" applyNumberFormat="1" applyFont="1" applyFill="1" applyAlignment="1">
      <alignment horizontal="left" vertical="center"/>
    </xf>
    <xf numFmtId="14" fontId="21" fillId="0" borderId="0" xfId="15" applyNumberFormat="1" applyFont="1" applyAlignment="1">
      <alignment horizontal="left" vertical="center"/>
    </xf>
    <xf numFmtId="0" fontId="21" fillId="0" borderId="0" xfId="15" applyNumberFormat="1" applyFont="1" applyAlignment="1">
      <alignment horizontal="left" vertical="center"/>
    </xf>
    <xf numFmtId="178" fontId="21" fillId="0" borderId="18" xfId="15" applyNumberFormat="1" applyFont="1" applyBorder="1" applyAlignment="1">
      <alignment horizontal="left" vertical="center"/>
    </xf>
    <xf numFmtId="10" fontId="21" fillId="4" borderId="0" xfId="15" applyNumberFormat="1" applyFont="1" applyFill="1" applyAlignment="1">
      <alignment horizontal="left" vertical="center"/>
    </xf>
    <xf numFmtId="10" fontId="21" fillId="0" borderId="0" xfId="15" applyNumberFormat="1" applyFont="1" applyFill="1" applyAlignment="1">
      <alignment horizontal="left" vertical="center"/>
    </xf>
    <xf numFmtId="10" fontId="21" fillId="5" borderId="0" xfId="15" applyNumberFormat="1" applyFont="1" applyFill="1" applyAlignment="1">
      <alignment horizontal="left" vertical="center"/>
    </xf>
    <xf numFmtId="0" fontId="9" fillId="0" borderId="0" xfId="15" applyFont="1" applyAlignment="1">
      <alignment horizontal="left" vertical="center"/>
    </xf>
    <xf numFmtId="0" fontId="28" fillId="6" borderId="42" xfId="15" applyFont="1" applyFill="1" applyBorder="1" applyAlignment="1" applyProtection="1">
      <alignment horizontal="left" vertical="center" wrapText="1"/>
    </xf>
    <xf numFmtId="0" fontId="19" fillId="7" borderId="43" xfId="15" applyFont="1" applyFill="1" applyBorder="1" applyAlignment="1">
      <alignment horizontal="left" vertical="center" wrapText="1"/>
    </xf>
    <xf numFmtId="0" fontId="19" fillId="7" borderId="44" xfId="15" applyFont="1" applyFill="1" applyBorder="1" applyAlignment="1">
      <alignment horizontal="left" vertical="center" wrapText="1"/>
    </xf>
    <xf numFmtId="178" fontId="21" fillId="8" borderId="0" xfId="15" applyNumberFormat="1" applyFont="1" applyFill="1" applyAlignment="1">
      <alignment horizontal="left" vertical="center"/>
    </xf>
    <xf numFmtId="0" fontId="28" fillId="7" borderId="29" xfId="15" applyFont="1" applyFill="1" applyBorder="1" applyAlignment="1" applyProtection="1">
      <alignment horizontal="left" vertical="center" wrapText="1"/>
    </xf>
    <xf numFmtId="0" fontId="19" fillId="6" borderId="29" xfId="15" applyFont="1" applyFill="1" applyBorder="1" applyAlignment="1">
      <alignment horizontal="left" vertical="center" wrapText="1"/>
    </xf>
    <xf numFmtId="0" fontId="19" fillId="6" borderId="31" xfId="15" applyFont="1" applyFill="1" applyBorder="1" applyAlignment="1">
      <alignment horizontal="left" vertical="center" wrapText="1"/>
    </xf>
    <xf numFmtId="0" fontId="28" fillId="3" borderId="22" xfId="15" applyFont="1" applyFill="1" applyBorder="1" applyAlignment="1" applyProtection="1">
      <alignment horizontal="left" vertical="center" wrapText="1"/>
    </xf>
    <xf numFmtId="0" fontId="19" fillId="6" borderId="45" xfId="15" applyFont="1" applyFill="1" applyBorder="1" applyAlignment="1">
      <alignment horizontal="left" vertical="center" wrapText="1"/>
    </xf>
    <xf numFmtId="0" fontId="19" fillId="6" borderId="46" xfId="15" applyFont="1" applyFill="1" applyBorder="1" applyAlignment="1">
      <alignment horizontal="left" vertical="center" wrapText="1"/>
    </xf>
    <xf numFmtId="0" fontId="19" fillId="6" borderId="47" xfId="15" applyFont="1" applyFill="1" applyBorder="1" applyAlignment="1">
      <alignment horizontal="left" vertical="center" wrapText="1"/>
    </xf>
    <xf numFmtId="0" fontId="16" fillId="0" borderId="0" xfId="15" applyFont="1" applyAlignment="1">
      <alignment horizontal="left" vertical="center"/>
    </xf>
    <xf numFmtId="0" fontId="22" fillId="0" borderId="19" xfId="15" applyFont="1" applyBorder="1" applyAlignment="1">
      <alignment horizontal="left" vertical="center"/>
    </xf>
    <xf numFmtId="0" fontId="28" fillId="6" borderId="48" xfId="15" applyFont="1" applyFill="1" applyBorder="1" applyAlignment="1" applyProtection="1">
      <alignment horizontal="left" vertical="center" wrapText="1"/>
    </xf>
    <xf numFmtId="10" fontId="21" fillId="8" borderId="19" xfId="15" applyNumberFormat="1" applyFont="1" applyFill="1" applyBorder="1" applyAlignment="1">
      <alignment horizontal="left" vertical="center"/>
    </xf>
    <xf numFmtId="10" fontId="21" fillId="8" borderId="0" xfId="15" applyNumberFormat="1" applyFont="1" applyFill="1" applyAlignment="1">
      <alignment horizontal="left" vertical="center"/>
    </xf>
    <xf numFmtId="10" fontId="21" fillId="8" borderId="34" xfId="15" applyNumberFormat="1" applyFont="1" applyFill="1" applyBorder="1" applyAlignment="1">
      <alignment horizontal="left" vertical="center"/>
    </xf>
    <xf numFmtId="10" fontId="21" fillId="8" borderId="39" xfId="15" applyNumberFormat="1" applyFont="1" applyFill="1" applyBorder="1" applyAlignment="1">
      <alignment horizontal="left" vertical="center"/>
    </xf>
    <xf numFmtId="10" fontId="21" fillId="8" borderId="41" xfId="15" applyNumberFormat="1" applyFont="1" applyFill="1" applyBorder="1" applyAlignment="1">
      <alignment horizontal="left" vertical="center"/>
    </xf>
    <xf numFmtId="10" fontId="21" fillId="8" borderId="18" xfId="15" applyNumberFormat="1"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2" fontId="21" fillId="3" borderId="0" xfId="15" applyNumberFormat="1" applyFont="1" applyFill="1" applyAlignment="1">
      <alignment horizontal="left" vertical="center"/>
    </xf>
    <xf numFmtId="0" fontId="21" fillId="3" borderId="19" xfId="15"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3" fontId="21" fillId="0" borderId="0" xfId="15" applyNumberFormat="1" applyFont="1" applyAlignment="1">
      <alignment horizontal="left" vertical="center"/>
    </xf>
    <xf numFmtId="183" fontId="21" fillId="0" borderId="18" xfId="15" applyNumberFormat="1" applyFont="1" applyBorder="1" applyAlignment="1">
      <alignment horizontal="left" vertical="center"/>
    </xf>
    <xf numFmtId="183" fontId="21" fillId="3" borderId="0" xfId="15" applyNumberFormat="1" applyFont="1" applyFill="1" applyAlignment="1">
      <alignment horizontal="left" vertical="center"/>
    </xf>
    <xf numFmtId="0" fontId="28" fillId="7" borderId="49" xfId="15" applyFont="1" applyFill="1" applyBorder="1" applyAlignment="1">
      <alignment horizontal="left" vertical="center" wrapText="1"/>
    </xf>
    <xf numFmtId="0" fontId="28" fillId="7" borderId="23" xfId="15" applyFont="1" applyFill="1" applyBorder="1" applyAlignment="1">
      <alignment horizontal="left" vertical="center" wrapText="1"/>
    </xf>
    <xf numFmtId="0" fontId="28" fillId="6" borderId="50" xfId="15" applyFont="1" applyFill="1" applyBorder="1" applyAlignment="1">
      <alignment horizontal="left" vertical="center" wrapText="1"/>
    </xf>
    <xf numFmtId="0" fontId="28" fillId="6" borderId="22" xfId="15" applyFont="1" applyFill="1" applyBorder="1" applyAlignment="1">
      <alignment horizontal="left" vertical="center" wrapText="1"/>
    </xf>
    <xf numFmtId="0" fontId="28" fillId="7" borderId="50" xfId="15" applyFont="1" applyFill="1" applyBorder="1" applyAlignment="1">
      <alignment horizontal="left" vertical="center" wrapText="1"/>
    </xf>
    <xf numFmtId="0" fontId="28" fillId="7" borderId="22" xfId="15" applyFont="1" applyFill="1" applyBorder="1" applyAlignment="1">
      <alignment horizontal="left" vertical="center" wrapText="1"/>
    </xf>
    <xf numFmtId="0" fontId="28" fillId="6" borderId="51" xfId="15" applyFont="1" applyFill="1" applyBorder="1" applyAlignment="1">
      <alignment horizontal="left" vertical="center" wrapText="1"/>
    </xf>
    <xf numFmtId="0" fontId="28" fillId="6" borderId="29" xfId="15" applyFont="1" applyFill="1" applyBorder="1" applyAlignment="1">
      <alignment horizontal="left" vertical="center" wrapText="1"/>
    </xf>
    <xf numFmtId="0" fontId="19" fillId="0" borderId="17" xfId="15" applyNumberFormat="1" applyFont="1" applyBorder="1" applyAlignment="1" applyProtection="1">
      <alignment horizontal="left" vertical="center"/>
    </xf>
    <xf numFmtId="0" fontId="29" fillId="4" borderId="0" xfId="15" applyNumberFormat="1" applyFont="1" applyFill="1" applyAlignment="1" applyProtection="1">
      <alignment horizontal="left" vertical="center"/>
    </xf>
    <xf numFmtId="0" fontId="19" fillId="0" borderId="0" xfId="15" applyNumberFormat="1" applyFont="1" applyFill="1" applyAlignment="1" applyProtection="1">
      <alignment horizontal="left" vertical="center"/>
    </xf>
    <xf numFmtId="0" fontId="20" fillId="5" borderId="0" xfId="15" applyNumberFormat="1" applyFont="1" applyFill="1" applyAlignment="1" applyProtection="1">
      <alignment horizontal="left" vertical="center"/>
    </xf>
    <xf numFmtId="0" fontId="20" fillId="9" borderId="0" xfId="15" applyNumberFormat="1" applyFont="1" applyFill="1" applyAlignment="1" applyProtection="1">
      <alignment horizontal="left" vertical="center"/>
    </xf>
    <xf numFmtId="0" fontId="20" fillId="10" borderId="52" xfId="15" applyNumberFormat="1" applyFont="1" applyFill="1" applyBorder="1" applyAlignment="1" applyProtection="1">
      <alignment horizontal="left" vertical="center"/>
    </xf>
    <xf numFmtId="0" fontId="0" fillId="0" borderId="0" xfId="0" applyNumberFormat="1">
      <alignment vertical="center"/>
    </xf>
    <xf numFmtId="0" fontId="19"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15" applyNumberFormat="1" applyFont="1" applyAlignment="1" applyProtection="1">
      <alignment vertical="center"/>
    </xf>
    <xf numFmtId="0" fontId="19" fillId="0" borderId="0" xfId="15" applyNumberFormat="1" applyFont="1" applyAlignment="1" applyProtection="1">
      <alignment vertical="center"/>
    </xf>
    <xf numFmtId="0" fontId="19" fillId="2" borderId="20" xfId="15" applyNumberFormat="1" applyFont="1" applyFill="1" applyBorder="1" applyAlignment="1" applyProtection="1">
      <alignment horizontal="left" vertical="center"/>
    </xf>
    <xf numFmtId="0" fontId="19" fillId="2" borderId="17" xfId="15" applyNumberFormat="1" applyFont="1" applyFill="1" applyBorder="1" applyAlignment="1" applyProtection="1">
      <alignment horizontal="left" vertical="center"/>
    </xf>
    <xf numFmtId="0" fontId="24" fillId="2" borderId="17" xfId="6"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30" fillId="4" borderId="0" xfId="15" applyNumberFormat="1" applyFont="1" applyFill="1" applyAlignment="1" applyProtection="1">
      <alignment horizontal="left" vertical="center"/>
    </xf>
    <xf numFmtId="0" fontId="29" fillId="4" borderId="19" xfId="15" applyNumberFormat="1" applyFont="1" applyFill="1" applyBorder="1" applyAlignment="1" applyProtection="1">
      <alignment horizontal="left" vertical="center"/>
    </xf>
    <xf numFmtId="0" fontId="29" fillId="4" borderId="0" xfId="15" applyNumberFormat="1" applyFont="1" applyFill="1" applyBorder="1" applyAlignment="1" applyProtection="1">
      <alignment horizontal="left" vertical="center"/>
    </xf>
    <xf numFmtId="0" fontId="19" fillId="0" borderId="19" xfId="15" applyNumberFormat="1" applyFont="1" applyFill="1" applyBorder="1" applyAlignment="1" applyProtection="1">
      <alignment horizontal="left" vertical="center"/>
    </xf>
    <xf numFmtId="0" fontId="19" fillId="0" borderId="0" xfId="15" applyNumberFormat="1" applyFont="1" applyFill="1" applyBorder="1" applyAlignment="1" applyProtection="1">
      <alignment horizontal="left" vertical="center"/>
    </xf>
    <xf numFmtId="0" fontId="28" fillId="6" borderId="21" xfId="15" applyNumberFormat="1" applyFont="1" applyFill="1" applyBorder="1" applyAlignment="1" applyProtection="1">
      <alignment horizontal="left" vertical="center" wrapText="1"/>
    </xf>
    <xf numFmtId="0" fontId="28" fillId="7" borderId="22" xfId="15" applyNumberFormat="1" applyFont="1" applyFill="1" applyBorder="1" applyAlignment="1" applyProtection="1">
      <alignment horizontal="left" vertical="center" wrapText="1"/>
    </xf>
    <xf numFmtId="0" fontId="28" fillId="7" borderId="22" xfId="16" applyNumberFormat="1" applyFont="1" applyFill="1" applyBorder="1" applyAlignment="1" applyProtection="1">
      <alignment horizontal="left" vertical="center" wrapText="1"/>
    </xf>
    <xf numFmtId="0" fontId="28" fillId="7" borderId="30" xfId="16" applyNumberFormat="1" applyFont="1" applyFill="1" applyBorder="1" applyAlignment="1" applyProtection="1">
      <alignment horizontal="left" vertical="center" wrapText="1"/>
    </xf>
    <xf numFmtId="0" fontId="31" fillId="9" borderId="7" xfId="15" applyNumberFormat="1" applyFont="1" applyFill="1" applyBorder="1" applyAlignment="1" applyProtection="1">
      <alignment horizontal="left" vertical="center" wrapText="1"/>
    </xf>
    <xf numFmtId="0" fontId="32" fillId="9" borderId="21" xfId="15" applyNumberFormat="1" applyFont="1" applyFill="1" applyBorder="1" applyAlignment="1" applyProtection="1">
      <alignment horizontal="left" vertical="center" wrapText="1"/>
    </xf>
    <xf numFmtId="0" fontId="32" fillId="9" borderId="22" xfId="15" applyNumberFormat="1" applyFont="1" applyFill="1" applyBorder="1" applyAlignment="1" applyProtection="1">
      <alignment horizontal="left" vertical="center" wrapText="1"/>
    </xf>
    <xf numFmtId="0" fontId="32" fillId="9" borderId="22" xfId="16" applyNumberFormat="1" applyFont="1" applyFill="1" applyBorder="1" applyAlignment="1" applyProtection="1">
      <alignment horizontal="left" vertical="center" wrapText="1"/>
    </xf>
    <xf numFmtId="0" fontId="32" fillId="9" borderId="30" xfId="16" applyNumberFormat="1" applyFont="1" applyFill="1" applyBorder="1" applyAlignment="1" applyProtection="1">
      <alignment horizontal="left" vertical="center" wrapText="1"/>
    </xf>
    <xf numFmtId="0" fontId="27" fillId="2" borderId="7" xfId="15" applyNumberFormat="1" applyFont="1" applyFill="1" applyBorder="1" applyAlignment="1" applyProtection="1">
      <alignment horizontal="left" vertical="center" wrapText="1"/>
    </xf>
    <xf numFmtId="0" fontId="27" fillId="10" borderId="53" xfId="15" applyNumberFormat="1" applyFont="1" applyFill="1" applyBorder="1" applyAlignment="1" applyProtection="1">
      <alignment horizontal="left" vertical="center" wrapText="1"/>
    </xf>
    <xf numFmtId="0" fontId="28" fillId="10" borderId="54" xfId="15" applyNumberFormat="1" applyFont="1" applyFill="1" applyBorder="1" applyAlignment="1" applyProtection="1">
      <alignment horizontal="left" vertical="center" wrapText="1"/>
    </xf>
    <xf numFmtId="0" fontId="28" fillId="10" borderId="55" xfId="15" applyNumberFormat="1" applyFont="1" applyFill="1" applyBorder="1" applyAlignment="1" applyProtection="1">
      <alignment horizontal="left" vertical="center" wrapText="1"/>
    </xf>
    <xf numFmtId="0" fontId="28" fillId="10" borderId="55" xfId="16" applyNumberFormat="1" applyFont="1" applyFill="1" applyBorder="1" applyAlignment="1" applyProtection="1">
      <alignment horizontal="left" vertical="center" wrapText="1"/>
    </xf>
    <xf numFmtId="0" fontId="28" fillId="10" borderId="56" xfId="16" applyNumberFormat="1" applyFont="1" applyFill="1" applyBorder="1" applyAlignment="1" applyProtection="1">
      <alignment horizontal="left" vertical="center" wrapText="1"/>
    </xf>
    <xf numFmtId="0" fontId="33" fillId="0" borderId="0" xfId="15" applyNumberFormat="1" applyFont="1" applyAlignment="1" applyProtection="1">
      <alignment vertical="center"/>
    </xf>
    <xf numFmtId="0" fontId="19" fillId="11" borderId="0" xfId="15" applyNumberFormat="1" applyFont="1" applyFill="1" applyAlignment="1" applyProtection="1">
      <alignment horizontal="left" vertical="center"/>
    </xf>
    <xf numFmtId="0" fontId="19" fillId="11" borderId="17" xfId="15" applyNumberFormat="1" applyFont="1" applyFill="1" applyBorder="1" applyAlignment="1" applyProtection="1">
      <alignment horizontal="left" vertical="center"/>
    </xf>
    <xf numFmtId="0" fontId="29" fillId="11" borderId="0" xfId="15" applyNumberFormat="1" applyFont="1" applyFill="1" applyAlignment="1" applyProtection="1">
      <alignment horizontal="left" vertical="center"/>
    </xf>
    <xf numFmtId="10" fontId="29" fillId="4" borderId="19" xfId="15" applyNumberFormat="1" applyFont="1" applyFill="1" applyBorder="1" applyAlignment="1" applyProtection="1">
      <alignment horizontal="left" vertical="center"/>
    </xf>
    <xf numFmtId="10" fontId="29" fillId="4" borderId="0" xfId="15" applyNumberFormat="1" applyFont="1" applyFill="1" applyAlignment="1" applyProtection="1">
      <alignment horizontal="left" vertical="center"/>
    </xf>
    <xf numFmtId="10" fontId="19" fillId="0" borderId="19" xfId="15" applyNumberFormat="1" applyFont="1" applyFill="1" applyBorder="1" applyAlignment="1" applyProtection="1">
      <alignment horizontal="left" vertical="center"/>
    </xf>
    <xf numFmtId="10" fontId="19" fillId="0" borderId="0" xfId="15" applyNumberFormat="1" applyFont="1" applyFill="1" applyAlignment="1" applyProtection="1">
      <alignment horizontal="left" vertical="center"/>
    </xf>
    <xf numFmtId="0" fontId="28" fillId="7" borderId="33" xfId="16" applyNumberFormat="1" applyFont="1" applyFill="1" applyBorder="1" applyAlignment="1" applyProtection="1">
      <alignment horizontal="left" vertical="center" wrapText="1"/>
    </xf>
    <xf numFmtId="0" fontId="21" fillId="11" borderId="0" xfId="15" applyNumberFormat="1" applyFont="1" applyFill="1" applyAlignment="1" applyProtection="1">
      <alignment horizontal="left" vertical="center"/>
    </xf>
    <xf numFmtId="10" fontId="21" fillId="0" borderId="19" xfId="15" applyNumberFormat="1" applyFont="1" applyBorder="1" applyAlignment="1" applyProtection="1">
      <alignment horizontal="left" vertical="center"/>
    </xf>
    <xf numFmtId="10" fontId="21" fillId="0" borderId="0" xfId="15" applyNumberFormat="1" applyFont="1" applyAlignment="1" applyProtection="1">
      <alignment horizontal="left" vertical="center"/>
    </xf>
    <xf numFmtId="0" fontId="32" fillId="9" borderId="33" xfId="16" applyNumberFormat="1" applyFont="1" applyFill="1" applyBorder="1" applyAlignment="1" applyProtection="1">
      <alignment horizontal="left" vertical="center" wrapText="1"/>
    </xf>
    <xf numFmtId="0" fontId="19" fillId="9" borderId="0" xfId="15" applyNumberFormat="1" applyFont="1" applyFill="1" applyAlignment="1" applyProtection="1">
      <alignment horizontal="left" vertical="center"/>
    </xf>
    <xf numFmtId="10" fontId="19" fillId="9" borderId="19" xfId="15" applyNumberFormat="1" applyFont="1" applyFill="1" applyBorder="1" applyAlignment="1" applyProtection="1">
      <alignment horizontal="left" vertical="center"/>
    </xf>
    <xf numFmtId="10" fontId="19" fillId="9" borderId="0" xfId="15" applyNumberFormat="1" applyFont="1" applyFill="1" applyAlignment="1" applyProtection="1">
      <alignment horizontal="left" vertical="center"/>
    </xf>
    <xf numFmtId="0" fontId="28" fillId="10" borderId="57" xfId="16" applyNumberFormat="1" applyFont="1" applyFill="1" applyBorder="1" applyAlignment="1" applyProtection="1">
      <alignment horizontal="left" vertical="center" wrapText="1"/>
    </xf>
    <xf numFmtId="0" fontId="21" fillId="11" borderId="52" xfId="15" applyNumberFormat="1" applyFont="1" applyFill="1" applyBorder="1" applyAlignment="1" applyProtection="1">
      <alignment horizontal="left" vertical="center"/>
    </xf>
    <xf numFmtId="10" fontId="21" fillId="10" borderId="58" xfId="15" applyNumberFormat="1" applyFont="1" applyFill="1" applyBorder="1" applyAlignment="1" applyProtection="1">
      <alignment horizontal="left" vertical="center"/>
    </xf>
    <xf numFmtId="10" fontId="21" fillId="10" borderId="52" xfId="15" applyNumberFormat="1" applyFont="1" applyFill="1" applyBorder="1" applyAlignment="1" applyProtection="1">
      <alignment horizontal="left" vertical="center"/>
    </xf>
    <xf numFmtId="0" fontId="3" fillId="0" borderId="0" xfId="0" applyNumberFormat="1" applyFont="1">
      <alignment vertical="center"/>
    </xf>
    <xf numFmtId="0" fontId="34" fillId="4" borderId="0" xfId="15" applyNumberFormat="1" applyFont="1" applyFill="1" applyAlignment="1" applyProtection="1">
      <alignment horizontal="left" vertical="center"/>
    </xf>
    <xf numFmtId="0" fontId="34" fillId="4" borderId="59" xfId="15" applyNumberFormat="1" applyFont="1" applyFill="1" applyBorder="1" applyAlignment="1" applyProtection="1">
      <alignment horizontal="left" vertical="center"/>
    </xf>
    <xf numFmtId="0" fontId="21" fillId="0" borderId="0" xfId="15" applyNumberFormat="1" applyFont="1" applyAlignment="1" applyProtection="1">
      <alignment horizontal="left" vertical="center"/>
    </xf>
    <xf numFmtId="0" fontId="21" fillId="0" borderId="59" xfId="15" applyNumberFormat="1" applyFont="1" applyBorder="1" applyAlignment="1" applyProtection="1">
      <alignment horizontal="left" vertical="center"/>
    </xf>
    <xf numFmtId="0" fontId="21" fillId="0" borderId="60" xfId="15" applyNumberFormat="1" applyFont="1" applyBorder="1" applyAlignment="1" applyProtection="1">
      <alignment horizontal="left" vertical="center"/>
    </xf>
    <xf numFmtId="0" fontId="21" fillId="0" borderId="61" xfId="15" applyNumberFormat="1" applyFont="1" applyBorder="1" applyAlignment="1" applyProtection="1">
      <alignment horizontal="left" vertical="center"/>
    </xf>
    <xf numFmtId="0" fontId="21" fillId="0"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10" fontId="34" fillId="4" borderId="0" xfId="15" applyNumberFormat="1" applyFont="1" applyFill="1" applyAlignment="1" applyProtection="1">
      <alignment horizontal="left" vertical="center"/>
    </xf>
    <xf numFmtId="10" fontId="34" fillId="4" borderId="59" xfId="15" applyNumberFormat="1" applyFont="1" applyFill="1" applyBorder="1" applyAlignment="1" applyProtection="1">
      <alignment horizontal="left" vertical="center"/>
    </xf>
    <xf numFmtId="10" fontId="34" fillId="4" borderId="60" xfId="15" applyNumberFormat="1" applyFont="1" applyFill="1" applyBorder="1" applyAlignment="1" applyProtection="1">
      <alignment horizontal="left" vertical="center"/>
    </xf>
    <xf numFmtId="10" fontId="34" fillId="4" borderId="61" xfId="15" applyNumberFormat="1" applyFont="1" applyFill="1" applyBorder="1" applyAlignment="1" applyProtection="1">
      <alignment horizontal="left" vertical="center"/>
    </xf>
    <xf numFmtId="10" fontId="21" fillId="0" borderId="59" xfId="15" applyNumberFormat="1" applyFont="1" applyBorder="1" applyAlignment="1" applyProtection="1">
      <alignment horizontal="left" vertical="center"/>
    </xf>
    <xf numFmtId="10" fontId="21" fillId="0" borderId="60" xfId="15" applyNumberFormat="1" applyFont="1" applyBorder="1" applyAlignment="1" applyProtection="1">
      <alignment horizontal="left" vertical="center"/>
    </xf>
    <xf numFmtId="10" fontId="21" fillId="0" borderId="61" xfId="15" applyNumberFormat="1" applyFont="1" applyBorder="1" applyAlignment="1" applyProtection="1">
      <alignment horizontal="left" vertical="center"/>
    </xf>
    <xf numFmtId="10" fontId="21" fillId="0" borderId="0" xfId="15" applyNumberFormat="1" applyFont="1" applyFill="1" applyAlignment="1" applyProtection="1">
      <alignment horizontal="left" vertical="center"/>
    </xf>
    <xf numFmtId="10" fontId="21" fillId="0" borderId="59" xfId="15" applyNumberFormat="1" applyFont="1" applyFill="1" applyBorder="1" applyAlignment="1" applyProtection="1">
      <alignment horizontal="left" vertical="center"/>
    </xf>
    <xf numFmtId="10" fontId="21" fillId="0" borderId="61" xfId="15" applyNumberFormat="1" applyFont="1" applyFill="1" applyBorder="1" applyAlignment="1" applyProtection="1">
      <alignment horizontal="left" vertical="center"/>
    </xf>
    <xf numFmtId="10" fontId="21" fillId="0" borderId="60" xfId="15" applyNumberFormat="1" applyFont="1" applyFill="1" applyBorder="1" applyAlignment="1" applyProtection="1">
      <alignment horizontal="left" vertical="center"/>
    </xf>
    <xf numFmtId="10" fontId="19" fillId="9" borderId="59" xfId="15" applyNumberFormat="1" applyFont="1" applyFill="1" applyBorder="1" applyAlignment="1" applyProtection="1">
      <alignment horizontal="left" vertical="center"/>
    </xf>
    <xf numFmtId="10" fontId="19" fillId="9" borderId="60" xfId="15" applyNumberFormat="1" applyFont="1" applyFill="1" applyBorder="1" applyAlignment="1" applyProtection="1">
      <alignment horizontal="left" vertical="center"/>
    </xf>
    <xf numFmtId="10" fontId="19" fillId="9" borderId="61" xfId="15" applyNumberFormat="1" applyFont="1" applyFill="1" applyBorder="1" applyAlignment="1" applyProtection="1">
      <alignment horizontal="left" vertical="center"/>
    </xf>
    <xf numFmtId="10" fontId="21" fillId="10" borderId="62" xfId="15" applyNumberFormat="1" applyFont="1" applyFill="1" applyBorder="1" applyAlignment="1" applyProtection="1">
      <alignment horizontal="left" vertical="center"/>
    </xf>
    <xf numFmtId="10" fontId="21" fillId="10" borderId="63" xfId="15" applyNumberFormat="1" applyFont="1" applyFill="1" applyBorder="1" applyAlignment="1" applyProtection="1">
      <alignment horizontal="left" vertical="center"/>
    </xf>
    <xf numFmtId="10" fontId="21"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6" fontId="42" fillId="2" borderId="7" xfId="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7" applyFont="1" applyFill="1" applyBorder="1" applyAlignment="1" applyProtection="1">
      <alignment vertical="center"/>
    </xf>
    <xf numFmtId="0" fontId="50" fillId="2" borderId="83" xfId="7" applyFont="1" applyFill="1" applyBorder="1" applyAlignment="1" applyProtection="1">
      <alignment vertical="center"/>
    </xf>
    <xf numFmtId="0" fontId="50" fillId="2" borderId="73" xfId="7" applyFont="1" applyFill="1" applyBorder="1" applyAlignment="1" applyProtection="1">
      <alignment vertical="center"/>
    </xf>
    <xf numFmtId="0" fontId="50" fillId="2" borderId="0" xfId="7" applyFont="1" applyFill="1" applyBorder="1" applyAlignment="1" applyProtection="1">
      <alignment vertical="center"/>
    </xf>
    <xf numFmtId="0" fontId="50" fillId="2" borderId="7" xfId="7" applyFont="1" applyFill="1" applyBorder="1" applyAlignment="1" applyProtection="1">
      <alignment vertical="center"/>
    </xf>
    <xf numFmtId="178" fontId="50" fillId="2" borderId="7" xfId="7" applyNumberFormat="1" applyFont="1" applyFill="1" applyBorder="1" applyAlignment="1" applyProtection="1">
      <alignment horizontal="right" vertical="center"/>
    </xf>
    <xf numFmtId="0" fontId="52" fillId="2" borderId="0" xfId="7" applyFont="1" applyFill="1" applyBorder="1" applyAlignment="1" applyProtection="1">
      <alignment vertical="center"/>
    </xf>
    <xf numFmtId="0" fontId="50" fillId="2" borderId="12" xfId="7" applyFont="1" applyFill="1" applyBorder="1" applyAlignment="1" applyProtection="1">
      <alignment vertical="center"/>
    </xf>
    <xf numFmtId="0" fontId="50" fillId="2" borderId="12" xfId="7" applyFont="1" applyFill="1" applyBorder="1" applyAlignment="1" applyProtection="1">
      <alignment horizontal="right" vertical="center"/>
    </xf>
    <xf numFmtId="49" fontId="50" fillId="2" borderId="82" xfId="7" applyNumberFormat="1" applyFont="1" applyFill="1" applyBorder="1" applyAlignment="1" applyProtection="1"/>
    <xf numFmtId="49" fontId="50" fillId="2" borderId="83" xfId="7" applyNumberFormat="1" applyFont="1" applyFill="1" applyBorder="1" applyAlignment="1" applyProtection="1"/>
    <xf numFmtId="49" fontId="50" fillId="2" borderId="84" xfId="7" applyNumberFormat="1" applyFont="1" applyFill="1" applyBorder="1" applyAlignment="1" applyProtection="1"/>
    <xf numFmtId="49" fontId="31" fillId="2" borderId="6" xfId="7" applyNumberFormat="1" applyFont="1" applyFill="1" applyBorder="1" applyAlignment="1" applyProtection="1">
      <alignment horizontal="left"/>
    </xf>
    <xf numFmtId="0" fontId="31" fillId="2" borderId="13" xfId="7" applyFont="1" applyFill="1" applyBorder="1" applyAlignment="1" applyProtection="1"/>
    <xf numFmtId="178" fontId="31" fillId="2" borderId="7" xfId="7" applyNumberFormat="1" applyFont="1" applyFill="1" applyBorder="1" applyAlignment="1" applyProtection="1">
      <alignment horizontal="center"/>
    </xf>
    <xf numFmtId="0" fontId="31" fillId="2" borderId="7" xfId="7" applyFont="1" applyFill="1" applyBorder="1" applyAlignment="1" applyProtection="1">
      <alignment horizontal="center"/>
    </xf>
    <xf numFmtId="0" fontId="31" fillId="2" borderId="8" xfId="7" applyFont="1" applyFill="1" applyBorder="1" applyAlignment="1" applyProtection="1">
      <alignment horizontal="left"/>
    </xf>
    <xf numFmtId="49" fontId="27" fillId="2" borderId="6" xfId="7" applyNumberFormat="1" applyFont="1" applyFill="1" applyBorder="1" applyAlignment="1" applyProtection="1">
      <alignment horizontal="center"/>
    </xf>
    <xf numFmtId="0" fontId="27" fillId="2" borderId="13" xfId="7" applyFont="1" applyFill="1" applyBorder="1" applyAlignment="1" applyProtection="1"/>
    <xf numFmtId="178" fontId="27" fillId="0" borderId="7" xfId="7" applyNumberFormat="1" applyFont="1" applyFill="1" applyBorder="1" applyAlignment="1" applyProtection="1">
      <alignment horizontal="center"/>
      <protection locked="0"/>
    </xf>
    <xf numFmtId="179" fontId="27" fillId="2" borderId="7" xfId="7" applyNumberFormat="1" applyFont="1" applyFill="1" applyBorder="1" applyAlignment="1" applyProtection="1">
      <alignment horizontal="center"/>
    </xf>
    <xf numFmtId="0" fontId="27" fillId="2" borderId="7" xfId="7" applyFont="1" applyFill="1" applyBorder="1" applyAlignment="1" applyProtection="1">
      <alignment horizontal="center"/>
    </xf>
    <xf numFmtId="0" fontId="27" fillId="2" borderId="8" xfId="7" applyFont="1" applyFill="1" applyBorder="1" applyAlignment="1" applyProtection="1">
      <alignment horizontal="left"/>
    </xf>
    <xf numFmtId="178" fontId="27" fillId="2" borderId="7" xfId="7" applyNumberFormat="1" applyFont="1" applyFill="1" applyBorder="1" applyAlignment="1" applyProtection="1">
      <alignment horizontal="center"/>
    </xf>
    <xf numFmtId="10" fontId="27" fillId="2" borderId="7" xfId="7" applyNumberFormat="1" applyFont="1" applyFill="1" applyBorder="1" applyAlignment="1" applyProtection="1">
      <alignment horizontal="center"/>
    </xf>
    <xf numFmtId="178" fontId="27" fillId="2" borderId="7" xfId="7" applyNumberFormat="1" applyFont="1" applyFill="1" applyBorder="1" applyAlignment="1" applyProtection="1"/>
    <xf numFmtId="0" fontId="53" fillId="3" borderId="8" xfId="7" applyFont="1" applyFill="1" applyBorder="1" applyAlignment="1" applyProtection="1">
      <alignment horizontal="left" vertical="center"/>
      <protection locked="0"/>
    </xf>
    <xf numFmtId="0" fontId="54" fillId="2" borderId="6" xfId="7" applyFont="1" applyFill="1" applyBorder="1" applyAlignment="1" applyProtection="1">
      <alignment horizontal="right"/>
    </xf>
    <xf numFmtId="0" fontId="54" fillId="2" borderId="13" xfId="7" applyFont="1" applyFill="1" applyBorder="1" applyAlignment="1" applyProtection="1"/>
    <xf numFmtId="178" fontId="54" fillId="2" borderId="7" xfId="7" applyNumberFormat="1" applyFont="1" applyFill="1" applyBorder="1" applyAlignment="1" applyProtection="1">
      <alignment horizontal="center"/>
    </xf>
    <xf numFmtId="0" fontId="54" fillId="2" borderId="7" xfId="7" applyNumberFormat="1" applyFont="1" applyFill="1" applyBorder="1" applyAlignment="1" applyProtection="1"/>
    <xf numFmtId="0" fontId="27" fillId="2" borderId="8" xfId="7" applyFont="1" applyFill="1" applyBorder="1" applyAlignment="1" applyProtection="1">
      <alignment vertical="center" wrapText="1"/>
    </xf>
    <xf numFmtId="0" fontId="27" fillId="2" borderId="6" xfId="7" applyFont="1" applyFill="1" applyBorder="1" applyAlignment="1" applyProtection="1">
      <alignment horizontal="left"/>
    </xf>
    <xf numFmtId="0" fontId="27" fillId="2" borderId="7" xfId="7" applyNumberFormat="1" applyFont="1" applyFill="1" applyBorder="1" applyAlignment="1" applyProtection="1">
      <alignment horizontal="center"/>
    </xf>
    <xf numFmtId="0" fontId="27" fillId="2" borderId="0" xfId="7"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7" applyNumberFormat="1" applyFont="1" applyFill="1" applyBorder="1" applyAlignment="1" applyProtection="1">
      <alignment horizontal="left"/>
    </xf>
    <xf numFmtId="0" fontId="31" fillId="2" borderId="7" xfId="7" applyNumberFormat="1" applyFont="1" applyFill="1" applyBorder="1" applyAlignment="1" applyProtection="1">
      <alignment horizontal="center"/>
    </xf>
    <xf numFmtId="9" fontId="31" fillId="2" borderId="13" xfId="7"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7"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3" fontId="31" fillId="2" borderId="7" xfId="0" applyNumberFormat="1" applyFont="1" applyFill="1" applyBorder="1" applyAlignment="1" applyProtection="1">
      <alignment horizontal="center" vertical="center"/>
    </xf>
    <xf numFmtId="10" fontId="31" fillId="2" borderId="13" xfId="7"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3"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7"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7" applyFont="1" applyFill="1" applyBorder="1" applyAlignment="1" applyProtection="1">
      <alignment vertical="center"/>
    </xf>
    <xf numFmtId="178" fontId="31" fillId="2" borderId="7" xfId="7" applyNumberFormat="1" applyFont="1" applyFill="1" applyBorder="1" applyAlignment="1" applyProtection="1">
      <alignment horizontal="center" vertical="center"/>
    </xf>
    <xf numFmtId="9" fontId="31" fillId="2" borderId="13" xfId="7"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7" applyFont="1" applyFill="1" applyBorder="1" applyAlignment="1" applyProtection="1">
      <alignment horizontal="left"/>
    </xf>
    <xf numFmtId="178" fontId="27" fillId="2" borderId="7" xfId="7" applyNumberFormat="1" applyFont="1" applyFill="1" applyBorder="1" applyAlignment="1" applyProtection="1">
      <alignment horizontal="center" vertical="center"/>
    </xf>
    <xf numFmtId="0" fontId="31" fillId="2" borderId="6" xfId="7" applyFont="1" applyFill="1" applyBorder="1" applyAlignment="1" applyProtection="1">
      <alignment horizontal="left"/>
    </xf>
    <xf numFmtId="179" fontId="31" fillId="2" borderId="7" xfId="7" applyNumberFormat="1" applyFont="1" applyFill="1" applyBorder="1" applyAlignment="1" applyProtection="1">
      <alignment horizontal="center"/>
    </xf>
    <xf numFmtId="9" fontId="31" fillId="2" borderId="7" xfId="7" applyNumberFormat="1" applyFont="1" applyFill="1" applyBorder="1" applyAlignment="1" applyProtection="1">
      <alignment horizontal="center"/>
    </xf>
    <xf numFmtId="49" fontId="50" fillId="2" borderId="86" xfId="7" applyNumberFormat="1" applyFont="1" applyFill="1" applyBorder="1" applyAlignment="1" applyProtection="1"/>
    <xf numFmtId="49" fontId="50" fillId="2" borderId="15" xfId="7" applyNumberFormat="1" applyFont="1" applyFill="1" applyBorder="1" applyAlignment="1" applyProtection="1"/>
    <xf numFmtId="49" fontId="50" fillId="2" borderId="87" xfId="7" applyNumberFormat="1" applyFont="1" applyFill="1" applyBorder="1" applyAlignment="1" applyProtection="1"/>
    <xf numFmtId="178" fontId="31" fillId="2" borderId="7" xfId="0" applyNumberFormat="1" applyFont="1" applyFill="1" applyBorder="1" applyAlignment="1" applyProtection="1">
      <alignment horizontal="center" vertical="center"/>
    </xf>
    <xf numFmtId="181" fontId="31" fillId="2" borderId="13" xfId="7" applyNumberFormat="1" applyFont="1" applyFill="1" applyBorder="1" applyAlignment="1" applyProtection="1">
      <alignment horizontal="center"/>
    </xf>
    <xf numFmtId="10" fontId="27" fillId="2" borderId="13" xfId="7"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7"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4" fontId="31" fillId="2" borderId="7" xfId="0" applyNumberFormat="1" applyFont="1" applyFill="1" applyBorder="1" applyAlignment="1" applyProtection="1">
      <alignment horizontal="right" vertical="center"/>
    </xf>
    <xf numFmtId="10" fontId="31" fillId="2" borderId="7" xfId="7" applyNumberFormat="1" applyFont="1" applyFill="1" applyBorder="1" applyAlignment="1" applyProtection="1">
      <alignment horizontal="center" vertical="center"/>
    </xf>
    <xf numFmtId="49" fontId="50" fillId="2" borderId="89" xfId="7" applyNumberFormat="1" applyFont="1" applyFill="1" applyBorder="1" applyAlignment="1" applyProtection="1"/>
    <xf numFmtId="49" fontId="50" fillId="2" borderId="90" xfId="7" applyNumberFormat="1" applyFont="1" applyFill="1" applyBorder="1" applyAlignment="1" applyProtection="1"/>
    <xf numFmtId="178" fontId="31" fillId="2" borderId="10" xfId="0" applyNumberFormat="1" applyFont="1" applyFill="1" applyBorder="1" applyAlignment="1" applyProtection="1">
      <alignment horizontal="center" vertical="center"/>
    </xf>
    <xf numFmtId="49" fontId="50" fillId="2" borderId="91" xfId="7"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27"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5" fontId="46" fillId="0" borderId="0" xfId="0" applyNumberFormat="1" applyFont="1" applyAlignment="1" applyProtection="1">
      <alignment horizontal="left" vertical="center"/>
    </xf>
    <xf numFmtId="0" fontId="0" fillId="0" borderId="0" xfId="0" applyNumberFormat="1" applyProtection="1">
      <alignment vertical="center"/>
    </xf>
    <xf numFmtId="185" fontId="57" fillId="0" borderId="0" xfId="11" applyNumberFormat="1" applyFont="1" applyBorder="1" applyAlignment="1" applyProtection="1">
      <alignment horizontal="left" vertical="center"/>
    </xf>
    <xf numFmtId="185" fontId="58" fillId="2" borderId="3" xfId="11" applyNumberFormat="1" applyFont="1" applyFill="1" applyBorder="1" applyAlignment="1" applyProtection="1">
      <alignment horizontal="left" vertical="center"/>
    </xf>
    <xf numFmtId="185" fontId="58" fillId="2" borderId="4" xfId="11" applyNumberFormat="1" applyFont="1" applyFill="1" applyBorder="1" applyAlignment="1" applyProtection="1">
      <alignment horizontal="left" vertical="center"/>
    </xf>
    <xf numFmtId="185" fontId="58" fillId="2" borderId="4" xfId="11" applyNumberFormat="1" applyFont="1" applyFill="1" applyBorder="1" applyAlignment="1" applyProtection="1">
      <alignment horizontal="left" vertical="center" wrapText="1"/>
    </xf>
    <xf numFmtId="185" fontId="58" fillId="2" borderId="6" xfId="11" applyNumberFormat="1" applyFont="1" applyFill="1" applyBorder="1" applyAlignment="1" applyProtection="1">
      <alignment horizontal="left" vertical="center"/>
    </xf>
    <xf numFmtId="185" fontId="59" fillId="2" borderId="7" xfId="11" applyNumberFormat="1" applyFont="1" applyFill="1" applyBorder="1" applyAlignment="1" applyProtection="1">
      <alignment horizontal="left" vertical="center"/>
    </xf>
    <xf numFmtId="185" fontId="58" fillId="2" borderId="6" xfId="11" applyNumberFormat="1" applyFont="1" applyFill="1" applyBorder="1" applyAlignment="1" applyProtection="1">
      <alignment horizontal="left" vertical="center" wrapText="1"/>
    </xf>
    <xf numFmtId="0" fontId="60" fillId="0" borderId="39" xfId="11" applyNumberFormat="1" applyFont="1" applyBorder="1" applyAlignment="1" applyProtection="1">
      <alignment vertical="center"/>
    </xf>
    <xf numFmtId="185" fontId="58" fillId="2" borderId="80" xfId="11" applyNumberFormat="1" applyFont="1" applyFill="1" applyBorder="1" applyAlignment="1" applyProtection="1">
      <alignment horizontal="left" vertical="center"/>
    </xf>
    <xf numFmtId="185" fontId="58" fillId="2" borderId="81" xfId="11" applyNumberFormat="1" applyFont="1" applyFill="1" applyBorder="1" applyAlignment="1" applyProtection="1">
      <alignment horizontal="left" vertical="center"/>
    </xf>
    <xf numFmtId="185" fontId="59"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6" fillId="2" borderId="7" xfId="0" applyNumberFormat="1" applyFont="1" applyFill="1" applyBorder="1" applyAlignment="1" applyProtection="1">
      <alignment horizontal="left" vertical="center"/>
    </xf>
    <xf numFmtId="185" fontId="58" fillId="2" borderId="9" xfId="11" applyNumberFormat="1" applyFont="1" applyFill="1" applyBorder="1" applyAlignment="1" applyProtection="1">
      <alignment horizontal="left" vertical="center" wrapText="1"/>
    </xf>
    <xf numFmtId="185" fontId="59" fillId="2" borderId="10" xfId="11" applyNumberFormat="1" applyFont="1" applyFill="1" applyBorder="1" applyAlignment="1" applyProtection="1">
      <alignment horizontal="left" vertical="center"/>
    </xf>
    <xf numFmtId="185" fontId="59" fillId="2" borderId="11" xfId="11" applyNumberFormat="1" applyFont="1" applyFill="1" applyBorder="1" applyAlignment="1" applyProtection="1">
      <alignment horizontal="left" vertical="center"/>
    </xf>
    <xf numFmtId="185"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3" xfId="0" applyNumberFormat="1" applyFont="1" applyFill="1" applyBorder="1" applyAlignment="1" applyProtection="1">
      <alignment horizontal="left" vertical="center" wrapText="1"/>
    </xf>
    <xf numFmtId="0" fontId="1" fillId="2" borderId="4" xfId="0" applyNumberFormat="1" applyFont="1" applyFill="1" applyBorder="1" applyAlignment="1" applyProtection="1">
      <alignment horizontal="left" vertical="center" wrapText="1"/>
    </xf>
    <xf numFmtId="0" fontId="1" fillId="2" borderId="6"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5"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5"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7"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8"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1" fontId="21"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6" fontId="27" fillId="2" borderId="78" xfId="0" applyNumberFormat="1" applyFont="1" applyFill="1" applyBorder="1" applyAlignment="1" applyProtection="1">
      <alignment horizontal="center" vertical="center" wrapText="1"/>
    </xf>
    <xf numFmtId="186"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186" fontId="65" fillId="14" borderId="98" xfId="0" applyNumberFormat="1"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8" applyFont="1" applyFill="1" applyBorder="1" applyAlignment="1" applyProtection="1">
      <alignment horizontal="center" vertical="center" wrapText="1"/>
    </xf>
    <xf numFmtId="10" fontId="64" fillId="0" borderId="14" xfId="8" applyNumberFormat="1" applyFont="1" applyFill="1" applyBorder="1" applyAlignment="1" applyProtection="1">
      <alignment horizontal="center" vertical="center" wrapText="1"/>
      <protection locked="0"/>
    </xf>
    <xf numFmtId="10" fontId="27" fillId="2" borderId="8" xfId="8"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8" applyFont="1" applyFill="1" applyBorder="1" applyAlignment="1" applyProtection="1">
      <alignment horizontal="center" vertical="center" wrapText="1"/>
    </xf>
    <xf numFmtId="10" fontId="64" fillId="0" borderId="96" xfId="8" applyNumberFormat="1" applyFont="1" applyFill="1" applyBorder="1" applyAlignment="1" applyProtection="1">
      <alignment horizontal="center" vertical="center" wrapText="1"/>
      <protection locked="0"/>
    </xf>
    <xf numFmtId="10" fontId="27" fillId="2" borderId="11" xfId="8" applyNumberFormat="1" applyFont="1" applyFill="1" applyBorder="1" applyAlignment="1" applyProtection="1">
      <alignment horizontal="center" vertical="center" wrapText="1"/>
    </xf>
    <xf numFmtId="0" fontId="64" fillId="2" borderId="67" xfId="8" applyFont="1" applyFill="1" applyBorder="1" applyAlignment="1" applyProtection="1">
      <alignment horizontal="center" vertical="center" wrapText="1"/>
      <protection locked="0"/>
    </xf>
    <xf numFmtId="0" fontId="64" fillId="2" borderId="0" xfId="8" applyFont="1" applyFill="1" applyBorder="1" applyAlignment="1" applyProtection="1">
      <alignment vertical="center" wrapText="1"/>
      <protection locked="0"/>
    </xf>
    <xf numFmtId="10" fontId="27" fillId="2" borderId="69" xfId="8"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1" fillId="2" borderId="7" xfId="2"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8" applyFont="1" applyFill="1" applyBorder="1" applyAlignment="1" applyProtection="1">
      <alignment horizontal="center" vertical="center" wrapText="1"/>
    </xf>
    <xf numFmtId="0" fontId="27" fillId="2" borderId="0" xfId="8" applyFont="1" applyFill="1" applyAlignment="1" applyProtection="1">
      <alignment vertical="center" wrapText="1"/>
      <protection locked="0"/>
    </xf>
    <xf numFmtId="0" fontId="49" fillId="2" borderId="7" xfId="8" applyNumberFormat="1" applyFont="1" applyFill="1" applyBorder="1" applyAlignment="1" applyProtection="1">
      <alignment horizontal="left" vertical="center" wrapText="1"/>
    </xf>
    <xf numFmtId="0" fontId="49" fillId="0" borderId="7" xfId="8" applyFont="1" applyFill="1" applyBorder="1" applyAlignment="1" applyProtection="1">
      <alignment horizontal="center" vertical="center" wrapText="1"/>
      <protection locked="0"/>
    </xf>
    <xf numFmtId="0" fontId="49" fillId="0" borderId="7" xfId="8" applyFont="1" applyFill="1" applyBorder="1" applyAlignment="1" applyProtection="1">
      <alignment horizontal="center" vertical="center" wrapText="1"/>
    </xf>
    <xf numFmtId="0" fontId="27" fillId="2" borderId="14" xfId="8" applyFont="1" applyFill="1" applyBorder="1" applyAlignment="1" applyProtection="1">
      <alignment horizontal="center" vertical="center" wrapText="1"/>
      <protection locked="0"/>
    </xf>
    <xf numFmtId="0" fontId="27" fillId="2" borderId="7" xfId="8" applyFont="1" applyFill="1" applyBorder="1" applyAlignment="1" applyProtection="1">
      <alignment horizontal="center" vertical="center" wrapText="1"/>
      <protection locked="0"/>
    </xf>
    <xf numFmtId="0" fontId="21" fillId="2" borderId="7" xfId="8"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8" applyFont="1" applyFill="1" applyAlignment="1" applyProtection="1">
      <alignment horizontal="center" vertical="center" wrapText="1"/>
      <protection locked="0"/>
    </xf>
    <xf numFmtId="0" fontId="27" fillId="13" borderId="0" xfId="8" applyFont="1" applyFill="1" applyAlignment="1" applyProtection="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pplyProtection="1">
      <alignment horizontal="center" vertical="center" wrapText="1"/>
    </xf>
    <xf numFmtId="179" fontId="27" fillId="2" borderId="7" xfId="8" applyNumberFormat="1" applyFont="1" applyFill="1" applyBorder="1" applyAlignment="1" applyProtection="1">
      <alignment horizontal="center" vertical="center" wrapText="1"/>
      <protection locked="0"/>
    </xf>
    <xf numFmtId="0" fontId="21" fillId="2" borderId="7" xfId="8" applyFont="1" applyFill="1" applyBorder="1" applyAlignment="1" applyProtection="1">
      <alignment horizontal="center" vertical="center"/>
    </xf>
    <xf numFmtId="0" fontId="22" fillId="0" borderId="7" xfId="8" applyNumberFormat="1" applyFont="1" applyFill="1" applyBorder="1" applyAlignment="1" applyProtection="1">
      <alignment horizontal="left" vertical="center"/>
      <protection locked="0"/>
    </xf>
    <xf numFmtId="0" fontId="22" fillId="2" borderId="7" xfId="8" applyNumberFormat="1" applyFont="1" applyFill="1" applyBorder="1" applyAlignment="1" applyProtection="1">
      <alignment horizontal="left" vertical="center"/>
    </xf>
    <xf numFmtId="0" fontId="22" fillId="2" borderId="7" xfId="8" applyNumberFormat="1" applyFont="1" applyFill="1" applyBorder="1" applyAlignment="1" applyProtection="1">
      <alignment horizontal="left" vertical="center" wrapText="1"/>
    </xf>
    <xf numFmtId="0" fontId="27" fillId="13" borderId="0" xfId="8" applyFont="1" applyFill="1" applyAlignment="1" applyProtection="1">
      <alignment horizontal="center" vertical="center" wrapText="1"/>
      <protection locked="0"/>
    </xf>
    <xf numFmtId="0" fontId="27" fillId="0" borderId="0" xfId="8" applyFont="1" applyAlignment="1" applyProtection="1">
      <alignment horizontal="center" vertical="center" wrapText="1"/>
    </xf>
    <xf numFmtId="0" fontId="64" fillId="0" borderId="0" xfId="8" applyFont="1" applyAlignment="1" applyProtection="1">
      <alignment horizontal="center" vertical="center" wrapText="1"/>
    </xf>
    <xf numFmtId="0" fontId="27" fillId="0" borderId="0" xfId="8"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7" xfId="11"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1" applyNumberFormat="1" applyFont="1" applyFill="1" applyBorder="1" applyAlignment="1" applyProtection="1">
      <alignment horizontal="left" vertical="center"/>
    </xf>
    <xf numFmtId="0" fontId="27" fillId="2" borderId="81" xfId="11"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5" borderId="112" xfId="0" applyNumberFormat="1" applyFont="1" applyFill="1" applyBorder="1" applyAlignment="1" applyProtection="1">
      <alignment horizontal="center" vertical="center" wrapText="1"/>
    </xf>
    <xf numFmtId="0" fontId="56" fillId="15" borderId="3" xfId="0" applyNumberFormat="1" applyFont="1" applyFill="1" applyBorder="1" applyAlignment="1" applyProtection="1">
      <alignment horizontal="center" vertical="center" wrapText="1"/>
      <protection locked="0"/>
    </xf>
    <xf numFmtId="0" fontId="56"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6" fillId="15" borderId="122" xfId="0" applyNumberFormat="1" applyFont="1" applyFill="1" applyBorder="1" applyAlignment="1" applyProtection="1">
      <alignment horizontal="center" vertical="center" wrapText="1"/>
    </xf>
    <xf numFmtId="0" fontId="56" fillId="15" borderId="9" xfId="0" applyNumberFormat="1" applyFont="1" applyFill="1" applyBorder="1" applyAlignment="1" applyProtection="1">
      <alignment horizontal="center" vertical="center" wrapText="1"/>
      <protection locked="0"/>
    </xf>
    <xf numFmtId="0" fontId="27" fillId="15"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7"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7"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6"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6"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5" borderId="4"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7" fillId="15"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09" xfId="0" applyFont="1" applyFill="1" applyBorder="1" applyAlignment="1" applyProtection="1">
      <alignment horizontal="center" vertical="center"/>
      <protection locked="0"/>
    </xf>
    <xf numFmtId="0" fontId="27" fillId="15"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7" fillId="2" borderId="6" xfId="0" applyFont="1" applyFill="1" applyBorder="1" applyAlignment="1" applyProtection="1"/>
    <xf numFmtId="180" fontId="27" fillId="2" borderId="7" xfId="7"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7" fillId="2" borderId="8" xfId="7" applyNumberFormat="1" applyFont="1" applyFill="1" applyBorder="1" applyAlignment="1" applyProtection="1">
      <alignment horizontal="center"/>
    </xf>
    <xf numFmtId="0" fontId="27" fillId="2" borderId="6" xfId="7"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7" fillId="0" borderId="7" xfId="7"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7" applyFont="1" applyFill="1" applyBorder="1" applyAlignment="1" applyProtection="1"/>
    <xf numFmtId="0" fontId="27" fillId="2" borderId="10" xfId="0" applyFont="1" applyFill="1" applyBorder="1" applyAlignment="1" applyProtection="1">
      <alignment horizontal="center"/>
    </xf>
    <xf numFmtId="178"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7" fillId="2" borderId="13" xfId="7"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7"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7" applyFont="1" applyFill="1" applyBorder="1" applyAlignment="1" applyProtection="1">
      <alignment vertical="center"/>
      <protection locked="0"/>
    </xf>
    <xf numFmtId="0" fontId="50" fillId="2" borderId="103" xfId="7" applyFont="1" applyFill="1" applyBorder="1" applyAlignment="1" applyProtection="1">
      <alignment vertical="center"/>
      <protection locked="0"/>
    </xf>
    <xf numFmtId="0" fontId="50" fillId="3" borderId="16" xfId="7"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94" fillId="0" borderId="8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0" fontId="72"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95"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6" fontId="50"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6"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7"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7"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2" applyFont="1" applyAlignment="1">
      <alignment horizontal="left"/>
    </xf>
    <xf numFmtId="0" fontId="4" fillId="0" borderId="0" xfId="12" applyFont="1" applyAlignment="1">
      <alignment horizontal="right"/>
    </xf>
    <xf numFmtId="0" fontId="98" fillId="0" borderId="0" xfId="12" applyFont="1" applyAlignment="1">
      <alignment horizontal="left"/>
    </xf>
    <xf numFmtId="0" fontId="98" fillId="0" borderId="0" xfId="12" applyFont="1" applyFill="1" applyAlignment="1" applyProtection="1">
      <alignment horizontal="left"/>
      <protection locked="0"/>
    </xf>
    <xf numFmtId="0" fontId="98" fillId="0" borderId="0" xfId="12" applyFont="1" applyAlignment="1" applyProtection="1">
      <alignment horizontal="left"/>
      <protection locked="0"/>
    </xf>
    <xf numFmtId="0" fontId="99" fillId="0" borderId="0" xfId="12" applyFont="1" applyAlignment="1" applyProtection="1">
      <alignment horizontal="left"/>
      <protection locked="0"/>
    </xf>
    <xf numFmtId="0" fontId="99" fillId="0" borderId="0" xfId="12" applyFont="1" applyAlignment="1" applyProtection="1">
      <alignment horizontal="left" vertical="center"/>
      <protection locked="0"/>
    </xf>
    <xf numFmtId="49" fontId="100" fillId="2" borderId="39" xfId="12" applyNumberFormat="1" applyFont="1" applyFill="1" applyBorder="1" applyAlignment="1" applyProtection="1"/>
    <xf numFmtId="0" fontId="77" fillId="2" borderId="0" xfId="12" applyFont="1" applyFill="1" applyAlignment="1" applyProtection="1">
      <alignment horizontal="center" vertical="center"/>
    </xf>
    <xf numFmtId="0" fontId="27" fillId="2" borderId="0" xfId="12" applyFont="1" applyFill="1" applyBorder="1" applyAlignment="1" applyProtection="1">
      <alignment vertical="center"/>
    </xf>
    <xf numFmtId="49" fontId="49" fillId="2" borderId="0" xfId="12" applyNumberFormat="1" applyFont="1" applyFill="1" applyBorder="1" applyAlignment="1" applyProtection="1">
      <alignment horizontal="center"/>
    </xf>
    <xf numFmtId="0" fontId="49" fillId="2" borderId="0" xfId="12" applyNumberFormat="1" applyFont="1" applyFill="1" applyBorder="1" applyAlignment="1" applyProtection="1">
      <alignment horizontal="center"/>
    </xf>
    <xf numFmtId="0" fontId="49" fillId="0" borderId="0" xfId="12" applyNumberFormat="1" applyFont="1" applyFill="1" applyBorder="1" applyAlignment="1" applyProtection="1">
      <alignment horizontal="center"/>
      <protection locked="0"/>
    </xf>
    <xf numFmtId="0" fontId="31" fillId="2" borderId="7" xfId="7" applyFont="1" applyFill="1" applyBorder="1" applyAlignment="1" applyProtection="1">
      <alignment vertical="center"/>
    </xf>
    <xf numFmtId="180" fontId="75" fillId="2" borderId="7" xfId="12" applyNumberFormat="1" applyFont="1" applyFill="1" applyBorder="1" applyAlignment="1" applyProtection="1">
      <alignment horizontal="right" vertical="center"/>
    </xf>
    <xf numFmtId="0" fontId="27" fillId="3" borderId="0" xfId="12" applyFont="1" applyFill="1" applyBorder="1" applyAlignment="1" applyProtection="1">
      <alignment vertical="center"/>
      <protection locked="0"/>
    </xf>
    <xf numFmtId="185" fontId="27" fillId="0" borderId="0" xfId="12" applyNumberFormat="1" applyFont="1" applyFill="1" applyBorder="1" applyAlignment="1" applyProtection="1">
      <protection locked="0"/>
    </xf>
    <xf numFmtId="49" fontId="31" fillId="2" borderId="0" xfId="12" applyNumberFormat="1" applyFont="1" applyFill="1" applyBorder="1" applyAlignment="1" applyProtection="1"/>
    <xf numFmtId="49" fontId="31" fillId="0" borderId="0" xfId="12" applyNumberFormat="1" applyFont="1" applyFill="1" applyBorder="1" applyAlignment="1" applyProtection="1">
      <protection locked="0"/>
    </xf>
    <xf numFmtId="0" fontId="4" fillId="0" borderId="0" xfId="12" applyFont="1" applyAlignment="1" applyProtection="1">
      <alignment horizontal="left"/>
      <protection locked="0"/>
    </xf>
    <xf numFmtId="0" fontId="31" fillId="2" borderId="12" xfId="7" applyFont="1" applyFill="1" applyBorder="1" applyAlignment="1" applyProtection="1">
      <alignment vertical="center"/>
    </xf>
    <xf numFmtId="0" fontId="75" fillId="2" borderId="12" xfId="12" applyFont="1" applyFill="1" applyBorder="1" applyAlignment="1" applyProtection="1">
      <alignment horizontal="right" vertical="center"/>
    </xf>
    <xf numFmtId="49" fontId="27" fillId="2" borderId="0" xfId="12" applyNumberFormat="1" applyFont="1" applyFill="1" applyBorder="1" applyAlignment="1" applyProtection="1"/>
    <xf numFmtId="0" fontId="4" fillId="2" borderId="7" xfId="12" applyFont="1" applyFill="1" applyBorder="1" applyAlignment="1" applyProtection="1">
      <alignment vertical="center"/>
    </xf>
    <xf numFmtId="0" fontId="27" fillId="0" borderId="7" xfId="12" applyFont="1" applyFill="1" applyBorder="1" applyAlignment="1" applyProtection="1">
      <alignment horizontal="left" vertical="center"/>
      <protection locked="0"/>
    </xf>
    <xf numFmtId="0" fontId="8" fillId="2" borderId="0" xfId="7" applyFont="1" applyFill="1" applyBorder="1" applyAlignment="1" applyProtection="1">
      <alignment vertical="center"/>
    </xf>
    <xf numFmtId="0" fontId="56" fillId="0" borderId="10" xfId="12" applyFont="1" applyFill="1" applyBorder="1" applyAlignment="1" applyProtection="1">
      <alignment horizontal="left" vertical="center"/>
      <protection locked="0"/>
    </xf>
    <xf numFmtId="0" fontId="4" fillId="2" borderId="92" xfId="12" applyFont="1" applyFill="1" applyBorder="1" applyAlignment="1" applyProtection="1">
      <alignment vertical="center"/>
    </xf>
    <xf numFmtId="0" fontId="31" fillId="0" borderId="99" xfId="12" applyFont="1" applyFill="1" applyBorder="1" applyAlignment="1" applyProtection="1">
      <alignment horizontal="left" vertical="center"/>
      <protection locked="0"/>
    </xf>
    <xf numFmtId="0" fontId="31" fillId="2" borderId="104" xfId="12" applyFont="1" applyFill="1" applyBorder="1" applyAlignment="1">
      <alignment vertical="center"/>
    </xf>
    <xf numFmtId="0" fontId="31" fillId="2" borderId="108" xfId="12" applyFont="1" applyFill="1" applyBorder="1" applyAlignment="1">
      <alignment vertical="center"/>
    </xf>
    <xf numFmtId="0" fontId="31" fillId="0" borderId="0" xfId="12" applyFont="1" applyFill="1" applyBorder="1" applyAlignment="1" applyProtection="1">
      <alignment vertical="center"/>
      <protection locked="0"/>
    </xf>
    <xf numFmtId="0" fontId="31" fillId="2" borderId="133" xfId="12" applyFont="1" applyFill="1" applyBorder="1" applyAlignment="1">
      <alignment horizontal="left" vertical="center"/>
    </xf>
    <xf numFmtId="0" fontId="31" fillId="2" borderId="39" xfId="12" applyFont="1" applyFill="1" applyBorder="1" applyAlignment="1">
      <alignment horizontal="left" vertical="center"/>
    </xf>
    <xf numFmtId="0" fontId="31" fillId="2" borderId="103" xfId="12" applyFont="1" applyFill="1" applyBorder="1" applyAlignment="1">
      <alignment horizontal="left" vertical="center"/>
    </xf>
    <xf numFmtId="180" fontId="31" fillId="2" borderId="102" xfId="12" applyNumberFormat="1" applyFont="1" applyFill="1" applyBorder="1" applyAlignment="1">
      <alignment horizontal="left" vertical="center"/>
    </xf>
    <xf numFmtId="10" fontId="31" fillId="2" borderId="39" xfId="12" applyNumberFormat="1" applyFont="1" applyFill="1" applyBorder="1" applyAlignment="1">
      <alignment horizontal="left" vertical="center"/>
    </xf>
    <xf numFmtId="180" fontId="31" fillId="2" borderId="111" xfId="12" applyNumberFormat="1" applyFont="1" applyFill="1" applyBorder="1" applyAlignment="1">
      <alignment horizontal="left" vertical="center"/>
    </xf>
    <xf numFmtId="180" fontId="31" fillId="0" borderId="0" xfId="12" applyNumberFormat="1" applyFont="1" applyFill="1" applyBorder="1" applyAlignment="1" applyProtection="1">
      <alignment horizontal="left" vertical="center"/>
      <protection locked="0"/>
    </xf>
    <xf numFmtId="0" fontId="31" fillId="2" borderId="6" xfId="12"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180" fontId="31" fillId="2" borderId="7" xfId="12" applyNumberFormat="1" applyFont="1" applyFill="1" applyBorder="1" applyAlignment="1">
      <alignment horizontal="left" vertical="center"/>
    </xf>
    <xf numFmtId="0" fontId="31" fillId="2" borderId="7" xfId="12" applyFont="1" applyFill="1" applyBorder="1" applyAlignment="1">
      <alignment horizontal="left" vertical="center"/>
    </xf>
    <xf numFmtId="0" fontId="31" fillId="2" borderId="8" xfId="12" applyFont="1" applyFill="1" applyBorder="1" applyAlignment="1">
      <alignment horizontal="left" vertical="center"/>
    </xf>
    <xf numFmtId="0" fontId="31" fillId="0" borderId="0" xfId="12" applyFont="1" applyFill="1" applyBorder="1" applyAlignment="1" applyProtection="1">
      <alignment horizontal="left" vertical="center"/>
      <protection locked="0"/>
    </xf>
    <xf numFmtId="9" fontId="31" fillId="0" borderId="7" xfId="12" applyNumberFormat="1" applyFont="1" applyFill="1" applyBorder="1" applyAlignment="1" applyProtection="1">
      <alignment horizontal="left" vertical="center"/>
      <protection locked="0"/>
    </xf>
    <xf numFmtId="0" fontId="31" fillId="2" borderId="8" xfId="12" applyFont="1" applyFill="1" applyBorder="1" applyAlignment="1">
      <alignment vertical="center"/>
    </xf>
    <xf numFmtId="181" fontId="31" fillId="2" borderId="7" xfId="12" applyNumberFormat="1" applyFont="1" applyFill="1" applyBorder="1" applyAlignment="1">
      <alignment horizontal="left" vertical="center"/>
    </xf>
    <xf numFmtId="49" fontId="27" fillId="2" borderId="6" xfId="12" applyNumberFormat="1" applyFont="1" applyFill="1" applyBorder="1" applyAlignment="1">
      <alignment horizontal="left" vertical="center"/>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180" fontId="27" fillId="2" borderId="7" xfId="12" applyNumberFormat="1" applyFont="1" applyFill="1" applyBorder="1" applyAlignment="1">
      <alignment horizontal="left" vertical="center"/>
    </xf>
    <xf numFmtId="181" fontId="27" fillId="2" borderId="7" xfId="12" applyNumberFormat="1" applyFont="1" applyFill="1" applyBorder="1" applyAlignment="1">
      <alignment horizontal="left" vertical="center"/>
    </xf>
    <xf numFmtId="0" fontId="4" fillId="2" borderId="14" xfId="12" applyFont="1" applyFill="1" applyBorder="1" applyAlignment="1">
      <alignment horizontal="right" vertical="center"/>
    </xf>
    <xf numFmtId="185" fontId="27" fillId="0" borderId="7" xfId="12" applyNumberFormat="1" applyFont="1" applyFill="1" applyBorder="1" applyAlignment="1" applyProtection="1">
      <alignment horizontal="left" vertical="center"/>
      <protection locked="0"/>
    </xf>
    <xf numFmtId="181" fontId="27" fillId="2" borderId="14" xfId="12" applyNumberFormat="1" applyFont="1" applyFill="1" applyBorder="1" applyAlignment="1">
      <alignment horizontal="right" vertical="center"/>
    </xf>
    <xf numFmtId="178" fontId="27" fillId="0" borderId="7" xfId="12" applyNumberFormat="1" applyFont="1" applyFill="1" applyBorder="1" applyAlignment="1" applyProtection="1">
      <alignment horizontal="left" vertical="center"/>
      <protection locked="0"/>
    </xf>
    <xf numFmtId="180" fontId="27" fillId="0" borderId="7" xfId="12" applyNumberFormat="1" applyFont="1" applyFill="1" applyBorder="1" applyAlignment="1" applyProtection="1">
      <alignment horizontal="left" vertical="center"/>
      <protection locked="0"/>
    </xf>
    <xf numFmtId="181" fontId="27" fillId="0" borderId="7" xfId="12" applyNumberFormat="1" applyFont="1" applyFill="1" applyBorder="1" applyAlignment="1" applyProtection="1">
      <alignment horizontal="left" vertical="center"/>
      <protection locked="0"/>
    </xf>
    <xf numFmtId="0" fontId="31" fillId="2" borderId="9" xfId="12" applyFont="1" applyFill="1" applyBorder="1" applyAlignment="1">
      <alignment horizontal="left" vertical="center"/>
    </xf>
    <xf numFmtId="180" fontId="31" fillId="2" borderId="10" xfId="12" applyNumberFormat="1" applyFont="1" applyFill="1" applyBorder="1" applyAlignment="1">
      <alignment horizontal="left" vertical="center"/>
    </xf>
    <xf numFmtId="181" fontId="31" fillId="0" borderId="10" xfId="12" applyNumberFormat="1" applyFont="1" applyFill="1" applyBorder="1" applyAlignment="1" applyProtection="1">
      <alignment horizontal="left" vertical="center"/>
      <protection locked="0"/>
    </xf>
    <xf numFmtId="0" fontId="31" fillId="2" borderId="11" xfId="12" applyFont="1" applyFill="1" applyBorder="1" applyAlignment="1">
      <alignment vertical="center"/>
    </xf>
    <xf numFmtId="180" fontId="31" fillId="2" borderId="39" xfId="12" applyNumberFormat="1" applyFont="1" applyFill="1" applyBorder="1" applyAlignment="1">
      <alignment horizontal="left" vertical="center"/>
    </xf>
    <xf numFmtId="181" fontId="31" fillId="0" borderId="39" xfId="12" applyNumberFormat="1" applyFont="1" applyFill="1" applyBorder="1" applyAlignment="1" applyProtection="1">
      <alignment horizontal="left" vertical="center"/>
      <protection locked="0"/>
    </xf>
    <xf numFmtId="0" fontId="31" fillId="2" borderId="71" xfId="12" applyFont="1" applyFill="1" applyBorder="1" applyAlignment="1">
      <alignment vertical="center"/>
    </xf>
    <xf numFmtId="0" fontId="31" fillId="2" borderId="132" xfId="12" applyFont="1" applyFill="1" applyBorder="1" applyAlignment="1">
      <alignment vertical="center"/>
    </xf>
    <xf numFmtId="0" fontId="31" fillId="2" borderId="111" xfId="12" applyFont="1" applyFill="1" applyBorder="1" applyAlignment="1">
      <alignment horizontal="left" vertical="center"/>
    </xf>
    <xf numFmtId="0" fontId="31" fillId="2" borderId="155" xfId="12" applyFont="1" applyFill="1" applyBorder="1" applyAlignment="1">
      <alignment horizontal="left" vertical="center"/>
    </xf>
    <xf numFmtId="0" fontId="29" fillId="0" borderId="13" xfId="12" applyFont="1" applyFill="1" applyBorder="1" applyAlignment="1" applyProtection="1">
      <alignment horizontal="left" vertical="center"/>
      <protection locked="0"/>
    </xf>
    <xf numFmtId="0" fontId="29" fillId="0" borderId="155" xfId="12" applyFont="1" applyFill="1" applyBorder="1" applyAlignment="1" applyProtection="1">
      <alignment horizontal="left" vertical="center"/>
      <protection locked="0"/>
    </xf>
    <xf numFmtId="0" fontId="29" fillId="0" borderId="14" xfId="12" applyFont="1" applyFill="1" applyBorder="1" applyAlignment="1" applyProtection="1">
      <alignment horizontal="left" vertical="center"/>
      <protection locked="0"/>
    </xf>
    <xf numFmtId="0" fontId="27" fillId="0" borderId="0" xfId="12" applyFont="1" applyFill="1" applyBorder="1" applyAlignment="1" applyProtection="1">
      <alignment horizontal="left" vertical="center"/>
      <protection locked="0"/>
    </xf>
    <xf numFmtId="0" fontId="27" fillId="2" borderId="86" xfId="12" applyFont="1" applyFill="1" applyBorder="1" applyAlignment="1">
      <alignment horizontal="left" vertical="center"/>
    </xf>
    <xf numFmtId="0" fontId="27" fillId="2" borderId="7" xfId="12" applyFont="1" applyFill="1" applyBorder="1" applyAlignment="1">
      <alignment horizontal="left" vertical="center"/>
    </xf>
    <xf numFmtId="180" fontId="27" fillId="2" borderId="13" xfId="12" applyNumberFormat="1" applyFont="1" applyFill="1" applyBorder="1" applyAlignment="1">
      <alignment horizontal="left" vertical="center"/>
    </xf>
    <xf numFmtId="180" fontId="27" fillId="2" borderId="155" xfId="12" applyNumberFormat="1" applyFont="1" applyFill="1" applyBorder="1" applyAlignment="1">
      <alignment horizontal="left" vertical="center"/>
    </xf>
    <xf numFmtId="180" fontId="27" fillId="2" borderId="14" xfId="12" applyNumberFormat="1" applyFont="1" applyFill="1" applyBorder="1" applyAlignment="1">
      <alignment horizontal="left" vertical="center"/>
    </xf>
    <xf numFmtId="0" fontId="27" fillId="2" borderId="8" xfId="12" applyFont="1" applyFill="1" applyBorder="1" applyAlignment="1">
      <alignment horizontal="left" vertical="center"/>
    </xf>
    <xf numFmtId="0" fontId="27" fillId="0" borderId="0" xfId="12" applyFont="1" applyFill="1" applyBorder="1" applyAlignment="1" applyProtection="1">
      <alignment horizontal="right" vertical="center"/>
      <protection locked="0"/>
    </xf>
    <xf numFmtId="0" fontId="27" fillId="2" borderId="86" xfId="12" applyFont="1" applyFill="1" applyBorder="1" applyAlignment="1">
      <alignment horizontal="right" vertical="center"/>
    </xf>
    <xf numFmtId="0" fontId="27" fillId="2" borderId="7" xfId="12" applyFont="1" applyFill="1" applyBorder="1" applyAlignment="1">
      <alignment horizontal="right" vertical="center"/>
    </xf>
    <xf numFmtId="180" fontId="27" fillId="2" borderId="13" xfId="12" applyNumberFormat="1" applyFont="1" applyFill="1" applyBorder="1" applyAlignment="1">
      <alignment horizontal="right" vertical="center"/>
    </xf>
    <xf numFmtId="181" fontId="27" fillId="0" borderId="155" xfId="12" applyNumberFormat="1" applyFont="1" applyFill="1" applyBorder="1" applyAlignment="1" applyProtection="1">
      <alignment horizontal="right" vertical="center"/>
      <protection locked="0"/>
    </xf>
    <xf numFmtId="181" fontId="27" fillId="0" borderId="14" xfId="12" applyNumberFormat="1" applyFont="1" applyFill="1" applyBorder="1" applyAlignment="1" applyProtection="1">
      <alignment horizontal="right" vertical="center"/>
      <protection locked="0"/>
    </xf>
    <xf numFmtId="0" fontId="27" fillId="2" borderId="8" xfId="12" applyFont="1" applyFill="1" applyBorder="1" applyAlignment="1">
      <alignment horizontal="right" vertical="center"/>
    </xf>
    <xf numFmtId="181" fontId="27" fillId="2" borderId="13" xfId="12" applyNumberFormat="1" applyFont="1" applyFill="1" applyBorder="1" applyAlignment="1">
      <alignment horizontal="right" vertical="center"/>
    </xf>
    <xf numFmtId="0" fontId="4" fillId="0" borderId="0" xfId="12" applyFont="1" applyAlignment="1" applyProtection="1">
      <alignment horizontal="right"/>
      <protection locked="0"/>
    </xf>
    <xf numFmtId="181" fontId="27" fillId="2" borderId="155" xfId="12" applyNumberFormat="1" applyFont="1" applyFill="1" applyBorder="1" applyAlignment="1">
      <alignment horizontal="right" vertical="center"/>
    </xf>
    <xf numFmtId="181" fontId="27" fillId="0" borderId="13" xfId="12" applyNumberFormat="1" applyFont="1" applyFill="1" applyBorder="1" applyAlignment="1" applyProtection="1">
      <alignment horizontal="right" vertical="center"/>
      <protection locked="0"/>
    </xf>
    <xf numFmtId="0" fontId="27" fillId="2" borderId="155" xfId="12" applyFont="1" applyFill="1" applyBorder="1" applyAlignment="1">
      <alignment horizontal="left" vertical="center"/>
    </xf>
    <xf numFmtId="10" fontId="27" fillId="0" borderId="13" xfId="12" applyNumberFormat="1" applyFont="1" applyFill="1" applyBorder="1" applyAlignment="1" applyProtection="1">
      <alignment horizontal="left" vertical="center"/>
      <protection locked="0"/>
    </xf>
    <xf numFmtId="10" fontId="27" fillId="0" borderId="155" xfId="12" applyNumberFormat="1" applyFont="1" applyFill="1" applyBorder="1" applyAlignment="1" applyProtection="1">
      <alignment horizontal="left" vertical="center"/>
      <protection locked="0"/>
    </xf>
    <xf numFmtId="10" fontId="27" fillId="0" borderId="14" xfId="12" applyNumberFormat="1" applyFont="1" applyFill="1" applyBorder="1" applyAlignment="1" applyProtection="1">
      <alignment horizontal="left" vertical="center"/>
      <protection locked="0"/>
    </xf>
    <xf numFmtId="181" fontId="27" fillId="0" borderId="13" xfId="12" applyNumberFormat="1" applyFont="1" applyFill="1" applyBorder="1" applyAlignment="1" applyProtection="1">
      <alignment horizontal="left" vertical="center"/>
      <protection locked="0"/>
    </xf>
    <xf numFmtId="181" fontId="27" fillId="0" borderId="155" xfId="12" applyNumberFormat="1" applyFont="1" applyFill="1" applyBorder="1" applyAlignment="1" applyProtection="1">
      <alignment horizontal="left" vertical="center"/>
      <protection locked="0"/>
    </xf>
    <xf numFmtId="181" fontId="27" fillId="0" borderId="14" xfId="12" applyNumberFormat="1" applyFont="1" applyFill="1" applyBorder="1" applyAlignment="1" applyProtection="1">
      <alignment horizontal="left" vertical="center"/>
      <protection locked="0"/>
    </xf>
    <xf numFmtId="185" fontId="27" fillId="0" borderId="0" xfId="12" applyNumberFormat="1" applyFont="1" applyFill="1" applyBorder="1" applyAlignment="1" applyProtection="1">
      <alignment horizontal="left" vertical="center"/>
      <protection locked="0"/>
    </xf>
    <xf numFmtId="0" fontId="27" fillId="2" borderId="10" xfId="12" applyFont="1" applyFill="1" applyBorder="1" applyAlignment="1">
      <alignment horizontal="left" vertical="center"/>
    </xf>
    <xf numFmtId="185" fontId="27" fillId="0" borderId="75" xfId="12" applyNumberFormat="1" applyFont="1" applyFill="1" applyBorder="1" applyAlignment="1" applyProtection="1">
      <alignment horizontal="left" vertical="center"/>
      <protection locked="0"/>
    </xf>
    <xf numFmtId="185" fontId="27" fillId="0" borderId="156" xfId="12" applyNumberFormat="1" applyFont="1" applyFill="1" applyBorder="1" applyAlignment="1" applyProtection="1">
      <alignment horizontal="left" vertical="center"/>
      <protection locked="0"/>
    </xf>
    <xf numFmtId="185" fontId="27" fillId="0" borderId="96" xfId="12" applyNumberFormat="1" applyFont="1" applyFill="1" applyBorder="1" applyAlignment="1" applyProtection="1">
      <alignment horizontal="left" vertical="center"/>
      <protection locked="0"/>
    </xf>
    <xf numFmtId="185" fontId="27" fillId="2" borderId="8" xfId="12" applyNumberFormat="1" applyFont="1" applyFill="1" applyBorder="1" applyAlignment="1">
      <alignment horizontal="left" vertical="center"/>
    </xf>
    <xf numFmtId="0" fontId="27" fillId="0" borderId="0" xfId="12" applyFont="1" applyFill="1" applyBorder="1" applyAlignment="1" applyProtection="1">
      <alignment horizontal="left"/>
      <protection locked="0"/>
    </xf>
    <xf numFmtId="0" fontId="27" fillId="2" borderId="6" xfId="12" applyFont="1" applyFill="1" applyBorder="1" applyAlignment="1">
      <alignment horizontal="left" vertical="center"/>
    </xf>
    <xf numFmtId="180" fontId="27" fillId="2" borderId="7" xfId="12" applyNumberFormat="1" applyFont="1" applyFill="1" applyBorder="1" applyAlignment="1">
      <alignment horizontal="left"/>
    </xf>
    <xf numFmtId="0" fontId="27" fillId="2" borderId="7" xfId="12" applyFont="1" applyFill="1" applyBorder="1" applyAlignment="1">
      <alignment horizontal="left"/>
    </xf>
    <xf numFmtId="0" fontId="27" fillId="2" borderId="8" xfId="12" applyFont="1" applyFill="1" applyBorder="1" applyAlignment="1">
      <alignment horizontal="left"/>
    </xf>
    <xf numFmtId="0" fontId="27" fillId="2" borderId="9" xfId="12" applyFont="1" applyFill="1" applyBorder="1" applyAlignment="1">
      <alignment horizontal="left" vertical="center"/>
    </xf>
    <xf numFmtId="180" fontId="27" fillId="2" borderId="10" xfId="12" applyNumberFormat="1" applyFont="1" applyFill="1" applyBorder="1" applyAlignment="1">
      <alignment horizontal="left" vertical="center"/>
    </xf>
    <xf numFmtId="0" fontId="27" fillId="2" borderId="10" xfId="12" applyFont="1" applyFill="1" applyBorder="1" applyAlignment="1">
      <alignment horizontal="left"/>
    </xf>
    <xf numFmtId="0" fontId="27" fillId="2" borderId="11" xfId="12" applyFont="1" applyFill="1" applyBorder="1" applyAlignment="1">
      <alignment horizontal="left" vertical="center"/>
    </xf>
    <xf numFmtId="0" fontId="4" fillId="0" borderId="0" xfId="12" applyFont="1" applyFill="1" applyAlignment="1" applyProtection="1">
      <alignment horizontal="left"/>
      <protection locked="0"/>
    </xf>
    <xf numFmtId="0" fontId="31" fillId="3" borderId="112" xfId="12" applyFont="1" applyFill="1" applyBorder="1" applyAlignment="1" applyProtection="1">
      <alignment vertical="center"/>
      <protection locked="0"/>
    </xf>
    <xf numFmtId="0" fontId="31" fillId="3" borderId="73" xfId="12" applyFont="1" applyFill="1" applyBorder="1" applyAlignment="1" applyProtection="1">
      <alignment vertical="center"/>
      <protection locked="0"/>
    </xf>
    <xf numFmtId="0" fontId="27" fillId="0" borderId="0" xfId="12" applyFont="1" applyAlignment="1" applyProtection="1">
      <alignment horizontal="left"/>
      <protection locked="0"/>
    </xf>
    <xf numFmtId="0" fontId="31" fillId="0" borderId="7" xfId="12" applyFont="1" applyFill="1" applyBorder="1" applyAlignment="1" applyProtection="1">
      <alignment horizontal="left" vertical="center"/>
      <protection locked="0"/>
    </xf>
    <xf numFmtId="178" fontId="21" fillId="0" borderId="7" xfId="7" applyNumberFormat="1" applyFont="1" applyBorder="1" applyAlignment="1" applyProtection="1">
      <alignment horizontal="left" vertical="center"/>
      <protection locked="0" hidden="1"/>
    </xf>
    <xf numFmtId="0" fontId="27" fillId="0" borderId="12" xfId="12" applyFont="1" applyFill="1" applyBorder="1" applyAlignment="1" applyProtection="1">
      <alignment horizontal="left" vertical="center"/>
      <protection locked="0"/>
    </xf>
    <xf numFmtId="0" fontId="19" fillId="2" borderId="86" xfId="12" applyFont="1" applyFill="1" applyBorder="1" applyAlignment="1" applyProtection="1">
      <alignment vertical="center"/>
      <protection locked="0"/>
    </xf>
    <xf numFmtId="0" fontId="19" fillId="2" borderId="15" xfId="12" applyFont="1" applyFill="1" applyBorder="1" applyAlignment="1" applyProtection="1">
      <alignment vertical="center"/>
      <protection locked="0"/>
    </xf>
    <xf numFmtId="0" fontId="31" fillId="2" borderId="15" xfId="12" applyFont="1" applyFill="1" applyBorder="1" applyAlignment="1" applyProtection="1">
      <alignment vertical="center"/>
      <protection locked="0"/>
    </xf>
    <xf numFmtId="0" fontId="31" fillId="2" borderId="6" xfId="12" applyFont="1" applyFill="1" applyBorder="1" applyAlignment="1" applyProtection="1">
      <alignment horizontal="left" vertical="center" wrapText="1"/>
      <protection locked="0"/>
    </xf>
    <xf numFmtId="0" fontId="27" fillId="2" borderId="13" xfId="12" applyFont="1" applyFill="1" applyBorder="1" applyAlignment="1" applyProtection="1">
      <alignment vertical="center"/>
      <protection locked="0"/>
    </xf>
    <xf numFmtId="0" fontId="27" fillId="2" borderId="7" xfId="12" applyFont="1" applyFill="1" applyBorder="1" applyAlignment="1" applyProtection="1">
      <alignment horizontal="left" vertical="center"/>
      <protection locked="0"/>
    </xf>
    <xf numFmtId="0" fontId="27" fillId="0" borderId="13" xfId="12" applyFont="1" applyFill="1" applyBorder="1" applyAlignment="1" applyProtection="1">
      <alignment vertical="center"/>
      <protection locked="0"/>
    </xf>
    <xf numFmtId="0" fontId="21" fillId="0" borderId="7" xfId="12" applyFont="1" applyFill="1" applyBorder="1" applyAlignment="1" applyProtection="1">
      <alignment horizontal="left" vertical="center"/>
      <protection locked="0"/>
    </xf>
    <xf numFmtId="9" fontId="27" fillId="0" borderId="7" xfId="12" applyNumberFormat="1" applyFont="1" applyFill="1" applyBorder="1" applyAlignment="1" applyProtection="1">
      <alignment horizontal="left" vertical="center"/>
      <protection locked="0"/>
    </xf>
    <xf numFmtId="0" fontId="31" fillId="2" borderId="13"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31" fillId="2" borderId="7" xfId="12" applyNumberFormat="1" applyFont="1" applyFill="1" applyBorder="1" applyAlignment="1" applyProtection="1">
      <alignment horizontal="left" vertical="center"/>
      <protection locked="0"/>
    </xf>
    <xf numFmtId="178" fontId="27" fillId="3" borderId="7" xfId="12" applyNumberFormat="1" applyFont="1" applyFill="1" applyBorder="1" applyAlignment="1" applyProtection="1">
      <alignment horizontal="left" vertical="center"/>
      <protection locked="0"/>
    </xf>
    <xf numFmtId="0" fontId="21" fillId="0" borderId="7" xfId="12" applyFont="1" applyFill="1" applyBorder="1" applyAlignment="1" applyProtection="1">
      <alignment horizontal="left" vertical="center" wrapText="1"/>
      <protection locked="0"/>
    </xf>
    <xf numFmtId="0" fontId="31" fillId="2" borderId="13" xfId="12" applyFont="1" applyFill="1" applyBorder="1" applyAlignment="1" applyProtection="1">
      <alignment vertical="center" wrapText="1"/>
      <protection locked="0"/>
    </xf>
    <xf numFmtId="0" fontId="31" fillId="2" borderId="15" xfId="12" applyFont="1" applyFill="1" applyBorder="1" applyAlignment="1" applyProtection="1">
      <alignment vertical="center" wrapText="1"/>
      <protection locked="0"/>
    </xf>
    <xf numFmtId="0" fontId="31" fillId="2" borderId="14" xfId="12" applyFont="1" applyFill="1" applyBorder="1" applyAlignment="1" applyProtection="1">
      <alignment vertical="center" wrapText="1"/>
      <protection locked="0"/>
    </xf>
    <xf numFmtId="0" fontId="19" fillId="2" borderId="93" xfId="12" applyFont="1" applyFill="1" applyBorder="1" applyAlignment="1" applyProtection="1">
      <alignment vertical="center"/>
      <protection locked="0"/>
    </xf>
    <xf numFmtId="0" fontId="19" fillId="2" borderId="38" xfId="12" applyFont="1" applyFill="1" applyBorder="1" applyAlignment="1" applyProtection="1">
      <alignment vertical="center"/>
      <protection locked="0"/>
    </xf>
    <xf numFmtId="0" fontId="19" fillId="2" borderId="94"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21" fillId="2" borderId="7" xfId="12" applyNumberFormat="1" applyFont="1" applyFill="1" applyBorder="1" applyAlignment="1" applyProtection="1">
      <alignment horizontal="left" vertical="center"/>
      <protection locked="0"/>
    </xf>
    <xf numFmtId="0" fontId="27" fillId="0" borderId="0" xfId="12" applyFont="1" applyAlignment="1" applyProtection="1">
      <alignment horizontal="right"/>
      <protection locked="0"/>
    </xf>
    <xf numFmtId="0" fontId="19" fillId="2" borderId="102" xfId="12" applyFont="1" applyFill="1" applyBorder="1" applyAlignment="1" applyProtection="1">
      <alignment vertical="center"/>
      <protection locked="0"/>
    </xf>
    <xf numFmtId="0" fontId="19" fillId="2" borderId="39" xfId="12" applyFont="1" applyFill="1" applyBorder="1" applyAlignment="1" applyProtection="1">
      <alignment vertical="center"/>
      <protection locked="0"/>
    </xf>
    <xf numFmtId="0" fontId="19" fillId="2" borderId="10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0" fontId="8" fillId="2" borderId="79" xfId="12" applyFont="1" applyFill="1" applyBorder="1" applyAlignment="1" applyProtection="1">
      <alignment horizontal="left" vertical="center" wrapText="1"/>
      <protection locked="0"/>
    </xf>
    <xf numFmtId="0" fontId="6" fillId="2" borderId="77" xfId="12" applyFont="1" applyFill="1" applyBorder="1" applyAlignment="1" applyProtection="1">
      <alignment vertical="center"/>
      <protection locked="0"/>
    </xf>
    <xf numFmtId="0" fontId="4" fillId="2" borderId="77" xfId="12" applyFont="1" applyFill="1" applyBorder="1" applyAlignment="1" applyProtection="1">
      <alignment vertical="center"/>
      <protection locked="0"/>
    </xf>
    <xf numFmtId="0" fontId="101" fillId="0" borderId="77" xfId="12" applyFill="1" applyBorder="1" applyAlignment="1" applyProtection="1">
      <alignment horizontal="left" vertical="center"/>
      <protection locked="0"/>
    </xf>
    <xf numFmtId="9" fontId="27" fillId="0" borderId="10" xfId="12" applyNumberFormat="1" applyFont="1" applyFill="1" applyBorder="1" applyAlignment="1" applyProtection="1">
      <alignment horizontal="left" vertical="center"/>
      <protection locked="0"/>
    </xf>
    <xf numFmtId="0" fontId="27" fillId="0" borderId="0" xfId="12" applyFont="1" applyFill="1" applyAlignment="1" applyProtection="1">
      <alignment horizontal="left" vertical="center"/>
      <protection locked="0"/>
    </xf>
    <xf numFmtId="0" fontId="8" fillId="2" borderId="77" xfId="12" applyFont="1" applyFill="1" applyBorder="1" applyAlignment="1" applyProtection="1">
      <alignment vertical="center"/>
      <protection locked="0"/>
    </xf>
    <xf numFmtId="0" fontId="31" fillId="3" borderId="109" xfId="12" applyFont="1" applyFill="1" applyBorder="1" applyAlignment="1" applyProtection="1">
      <alignment vertical="center"/>
      <protection locked="0"/>
    </xf>
    <xf numFmtId="0" fontId="27" fillId="0" borderId="0" xfId="12" applyFont="1" applyAlignment="1" applyProtection="1">
      <alignment horizontal="left" vertical="center"/>
      <protection locked="0"/>
    </xf>
    <xf numFmtId="0" fontId="31" fillId="0" borderId="8" xfId="12" applyFont="1" applyFill="1" applyBorder="1" applyAlignment="1" applyProtection="1">
      <alignment horizontal="left" vertical="center"/>
      <protection locked="0"/>
    </xf>
    <xf numFmtId="0" fontId="31" fillId="2" borderId="8" xfId="12" applyFont="1" applyFill="1" applyBorder="1" applyAlignment="1" applyProtection="1">
      <alignment horizontal="left" vertical="center"/>
      <protection locked="0"/>
    </xf>
    <xf numFmtId="178" fontId="21" fillId="0" borderId="8" xfId="7" applyNumberFormat="1" applyFont="1" applyBorder="1" applyAlignment="1" applyProtection="1">
      <alignment horizontal="left" vertical="center"/>
      <protection locked="0" hidden="1"/>
    </xf>
    <xf numFmtId="178" fontId="27" fillId="2" borderId="8" xfId="12" applyNumberFormat="1" applyFont="1" applyFill="1" applyBorder="1" applyAlignment="1" applyProtection="1">
      <alignment horizontal="left" vertical="center"/>
      <protection locked="0"/>
    </xf>
    <xf numFmtId="0" fontId="27" fillId="0" borderId="69" xfId="12" applyFont="1" applyFill="1" applyBorder="1" applyAlignment="1" applyProtection="1">
      <alignment horizontal="left" vertical="center"/>
      <protection locked="0"/>
    </xf>
    <xf numFmtId="0" fontId="27" fillId="2" borderId="69" xfId="12" applyFont="1" applyFill="1" applyBorder="1" applyAlignment="1" applyProtection="1">
      <alignment horizontal="left" vertical="center"/>
      <protection locked="0"/>
    </xf>
    <xf numFmtId="0" fontId="27" fillId="0" borderId="8" xfId="12" applyFont="1" applyFill="1" applyBorder="1" applyAlignment="1" applyProtection="1">
      <alignment horizontal="left" vertical="center"/>
      <protection locked="0"/>
    </xf>
    <xf numFmtId="178" fontId="31" fillId="2" borderId="7" xfId="12" applyNumberFormat="1" applyFont="1" applyFill="1" applyBorder="1" applyAlignment="1" applyProtection="1">
      <alignment horizontal="left" vertical="center"/>
      <protection locked="0"/>
    </xf>
    <xf numFmtId="178" fontId="27" fillId="0" borderId="8" xfId="12" applyNumberFormat="1" applyFont="1" applyFill="1" applyBorder="1" applyAlignment="1" applyProtection="1">
      <alignment horizontal="left" vertical="center"/>
      <protection locked="0"/>
    </xf>
    <xf numFmtId="0" fontId="19" fillId="2" borderId="8" xfId="12" applyFont="1" applyFill="1" applyBorder="1" applyAlignment="1" applyProtection="1">
      <alignment horizontal="left" vertical="center"/>
      <protection locked="0"/>
    </xf>
    <xf numFmtId="0" fontId="21" fillId="0" borderId="8" xfId="12" applyFont="1" applyFill="1" applyBorder="1" applyAlignment="1" applyProtection="1">
      <alignment horizontal="left" vertical="center"/>
      <protection locked="0"/>
    </xf>
    <xf numFmtId="9" fontId="21" fillId="0" borderId="7" xfId="12" applyNumberFormat="1" applyFont="1" applyFill="1" applyBorder="1" applyAlignment="1" applyProtection="1">
      <alignment horizontal="left" vertical="center"/>
      <protection locked="0"/>
    </xf>
    <xf numFmtId="0" fontId="31" fillId="0" borderId="0" xfId="12" applyFont="1" applyFill="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181" fontId="21" fillId="0" borderId="10" xfId="12" applyNumberFormat="1" applyFont="1" applyFill="1" applyBorder="1" applyAlignment="1" applyProtection="1">
      <alignment horizontal="left" vertical="center"/>
      <protection locked="0"/>
    </xf>
    <xf numFmtId="0" fontId="102" fillId="0" borderId="107" xfId="12" applyFont="1" applyFill="1" applyBorder="1" applyAlignment="1" applyProtection="1">
      <alignment horizontal="left" vertical="center"/>
      <protection locked="0"/>
    </xf>
    <xf numFmtId="0" fontId="31" fillId="2" borderId="7" xfId="12" applyFont="1" applyFill="1" applyBorder="1" applyAlignment="1" applyProtection="1">
      <alignment horizontal="left" vertical="center"/>
      <protection locked="0"/>
    </xf>
    <xf numFmtId="178" fontId="27" fillId="2" borderId="7" xfId="12" applyNumberFormat="1" applyFont="1" applyFill="1" applyBorder="1" applyAlignment="1" applyProtection="1">
      <alignment horizontal="left" vertical="center"/>
      <protection locked="0"/>
    </xf>
    <xf numFmtId="0" fontId="27" fillId="2" borderId="12" xfId="12" applyFont="1" applyFill="1" applyBorder="1" applyAlignment="1" applyProtection="1">
      <alignment horizontal="left" vertical="center"/>
      <protection locked="0"/>
    </xf>
    <xf numFmtId="0" fontId="31" fillId="2" borderId="13" xfId="12" applyFont="1" applyFill="1" applyBorder="1" applyAlignment="1" applyProtection="1">
      <alignment horizontal="left" vertical="center"/>
      <protection locked="0"/>
    </xf>
    <xf numFmtId="0" fontId="99" fillId="0" borderId="0" xfId="1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50" fillId="16"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78"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7"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6"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2"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1"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1"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0" fontId="27"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1" fontId="27" fillId="13" borderId="8" xfId="0" applyNumberFormat="1"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pplyAlignment="1" applyProtection="1">
      <alignment vertical="center"/>
    </xf>
    <xf numFmtId="0" fontId="76" fillId="7" borderId="0" xfId="7"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7"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0" fontId="56" fillId="0" borderId="7" xfId="0" applyNumberFormat="1" applyFont="1" applyFill="1" applyBorder="1" applyAlignment="1" applyProtection="1">
      <alignment horizontal="center" vertical="center"/>
      <protection locked="0"/>
    </xf>
    <xf numFmtId="185"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0" fontId="21"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7" applyFont="1" applyFill="1" applyBorder="1" applyAlignment="1" applyProtection="1">
      <alignment horizontal="right" vertical="center"/>
    </xf>
    <xf numFmtId="0" fontId="56" fillId="2" borderId="13" xfId="7" applyFont="1" applyFill="1" applyBorder="1" applyAlignment="1" applyProtection="1">
      <alignment vertical="center"/>
    </xf>
    <xf numFmtId="178" fontId="56" fillId="2" borderId="7" xfId="0" applyNumberFormat="1" applyFont="1" applyFill="1" applyBorder="1" applyAlignment="1" applyProtection="1">
      <alignment horizontal="center" vertical="center"/>
    </xf>
    <xf numFmtId="179" fontId="56" fillId="2" borderId="7" xfId="7" applyNumberFormat="1" applyFont="1" applyFill="1" applyBorder="1" applyAlignment="1" applyProtection="1">
      <alignment horizontal="center" vertical="center"/>
    </xf>
    <xf numFmtId="10" fontId="56" fillId="2" borderId="7" xfId="7" applyNumberFormat="1" applyFont="1" applyFill="1" applyBorder="1" applyAlignment="1" applyProtection="1">
      <alignment horizontal="center" vertical="center"/>
    </xf>
    <xf numFmtId="0" fontId="56" fillId="2" borderId="7" xfId="7" applyNumberFormat="1" applyFont="1" applyFill="1" applyBorder="1" applyAlignment="1" applyProtection="1">
      <alignment horizontal="center" vertical="center"/>
    </xf>
    <xf numFmtId="9" fontId="56" fillId="2" borderId="7" xfId="7" applyNumberFormat="1" applyFont="1" applyFill="1" applyBorder="1" applyAlignment="1" applyProtection="1">
      <alignment horizontal="center" vertical="center"/>
    </xf>
    <xf numFmtId="178" fontId="56" fillId="2" borderId="7" xfId="7" applyNumberFormat="1" applyFont="1" applyFill="1" applyBorder="1" applyAlignment="1" applyProtection="1">
      <alignment horizontal="center" vertical="center"/>
    </xf>
    <xf numFmtId="178" fontId="56" fillId="2" borderId="7" xfId="7"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7"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7" applyFont="1" applyFill="1" applyBorder="1" applyAlignment="1" applyProtection="1">
      <alignment vertical="center"/>
    </xf>
    <xf numFmtId="178" fontId="85" fillId="2" borderId="7" xfId="7" applyNumberFormat="1" applyFont="1" applyFill="1" applyBorder="1" applyAlignment="1" applyProtection="1">
      <alignment horizontal="center" vertical="center"/>
    </xf>
    <xf numFmtId="0" fontId="85" fillId="2" borderId="7" xfId="7" applyFont="1" applyFill="1" applyBorder="1" applyAlignment="1" applyProtection="1">
      <alignment vertical="center"/>
    </xf>
    <xf numFmtId="178" fontId="85" fillId="2" borderId="7" xfId="7" applyNumberFormat="1" applyFont="1" applyFill="1" applyBorder="1" applyAlignment="1" applyProtection="1">
      <alignment vertical="center"/>
    </xf>
    <xf numFmtId="10" fontId="85" fillId="2" borderId="7" xfId="7"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7"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7" applyFont="1" applyFill="1" applyBorder="1" applyAlignment="1" applyProtection="1">
      <alignment horizontal="left" vertical="center"/>
    </xf>
    <xf numFmtId="186" fontId="56" fillId="2" borderId="14" xfId="0"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vertical="center"/>
    </xf>
    <xf numFmtId="178" fontId="56" fillId="2" borderId="15" xfId="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8" fontId="56" fillId="2" borderId="0" xfId="0" applyNumberFormat="1" applyFont="1" applyFill="1" applyBorder="1" applyAlignment="1" applyProtection="1">
      <alignment horizontal="center" vertical="center"/>
    </xf>
    <xf numFmtId="0" fontId="85" fillId="2" borderId="7" xfId="7"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7"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7"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7"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5" fontId="21" fillId="2" borderId="8" xfId="0" applyNumberFormat="1" applyFont="1" applyFill="1" applyBorder="1" applyAlignment="1" applyProtection="1">
      <alignment horizontal="center" vertical="center"/>
    </xf>
    <xf numFmtId="180"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5" fillId="2" borderId="73" xfId="7" applyFont="1" applyFill="1" applyBorder="1" applyAlignment="1" applyProtection="1">
      <alignment vertical="center"/>
    </xf>
    <xf numFmtId="49" fontId="50" fillId="2" borderId="0" xfId="7" applyNumberFormat="1" applyFont="1" applyFill="1" applyBorder="1" applyAlignment="1" applyProtection="1">
      <alignment horizontal="right" vertical="center"/>
    </xf>
    <xf numFmtId="186" fontId="50" fillId="2" borderId="7" xfId="7" applyNumberFormat="1" applyFont="1" applyFill="1" applyBorder="1" applyAlignment="1" applyProtection="1">
      <alignment horizontal="right" vertical="center"/>
    </xf>
    <xf numFmtId="0" fontId="31" fillId="3" borderId="13" xfId="7" applyFont="1" applyFill="1" applyBorder="1" applyAlignment="1" applyProtection="1">
      <alignment vertical="center"/>
      <protection locked="0"/>
    </xf>
    <xf numFmtId="0" fontId="50" fillId="2" borderId="13" xfId="7" applyFont="1" applyFill="1" applyBorder="1" applyAlignment="1" applyProtection="1">
      <alignment horizontal="right" vertical="center"/>
    </xf>
    <xf numFmtId="0" fontId="50" fillId="2" borderId="14" xfId="7" applyFont="1" applyFill="1" applyBorder="1" applyAlignment="1" applyProtection="1">
      <alignment vertical="center"/>
    </xf>
    <xf numFmtId="0" fontId="50" fillId="3" borderId="7" xfId="7" applyFont="1" applyFill="1" applyBorder="1" applyAlignment="1" applyProtection="1">
      <alignment vertical="center"/>
      <protection locked="0"/>
    </xf>
    <xf numFmtId="0" fontId="31" fillId="3" borderId="8" xfId="7"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7"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6"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8"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8"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78"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8"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8"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0" applyFont="1" applyFill="1" applyBorder="1" applyAlignment="1" applyProtection="1">
      <alignment horizontal="left" vertical="center" wrapText="1"/>
    </xf>
    <xf numFmtId="0" fontId="72" fillId="2" borderId="87" xfId="1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2" fillId="2" borderId="7" xfId="10" applyFont="1" applyFill="1" applyBorder="1" applyAlignment="1" applyProtection="1">
      <alignment horizontal="left" vertical="center" wrapText="1"/>
    </xf>
    <xf numFmtId="0" fontId="72" fillId="16" borderId="7" xfId="10" applyFont="1" applyFill="1" applyBorder="1" applyAlignment="1" applyProtection="1">
      <alignment horizontal="left" vertical="center" wrapText="1"/>
      <protection locked="0"/>
    </xf>
    <xf numFmtId="178"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4" fontId="27"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0" applyFont="1" applyFill="1" applyAlignment="1" applyProtection="1">
      <alignment horizontal="left"/>
    </xf>
    <xf numFmtId="0" fontId="56" fillId="2" borderId="84" xfId="10" applyFont="1" applyFill="1" applyBorder="1" applyAlignment="1" applyProtection="1">
      <alignment horizontal="left" vertical="center" wrapText="1"/>
    </xf>
    <xf numFmtId="0" fontId="56" fillId="2" borderId="87" xfId="1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6" fillId="2" borderId="0" xfId="0" applyNumberFormat="1" applyFont="1" applyFill="1" applyAlignment="1" applyProtection="1">
      <alignment horizontal="left" vertical="center"/>
    </xf>
    <xf numFmtId="0" fontId="56" fillId="2" borderId="0" xfId="1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0" applyFont="1" applyFill="1" applyAlignment="1" applyProtection="1">
      <alignment vertical="center" wrapText="1"/>
      <protection locked="0"/>
    </xf>
    <xf numFmtId="0" fontId="26" fillId="2" borderId="0" xfId="1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2" fillId="13" borderId="0" xfId="0" applyFont="1" applyFill="1" applyProtection="1">
      <alignment vertical="center"/>
    </xf>
    <xf numFmtId="0" fontId="26"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7" fillId="0" borderId="0" xfId="20" applyAlignment="1" applyProtection="1">
      <alignment horizontal="left"/>
      <protection locked="0"/>
    </xf>
    <xf numFmtId="0" fontId="118" fillId="2" borderId="7" xfId="20" applyFont="1" applyFill="1" applyBorder="1" applyAlignment="1" applyProtection="1">
      <alignment horizontal="left" vertical="center" wrapText="1"/>
    </xf>
    <xf numFmtId="0" fontId="118" fillId="7" borderId="0" xfId="20" applyFont="1" applyFill="1" applyBorder="1" applyAlignment="1" applyProtection="1">
      <alignment horizontal="left" vertical="center" wrapText="1"/>
      <protection locked="0"/>
    </xf>
    <xf numFmtId="0" fontId="117" fillId="7" borderId="0" xfId="20" applyFill="1" applyBorder="1" applyAlignment="1" applyProtection="1">
      <alignment horizontal="left"/>
      <protection locked="0"/>
    </xf>
    <xf numFmtId="0" fontId="117" fillId="7" borderId="0" xfId="20" applyFill="1" applyAlignment="1" applyProtection="1">
      <alignment horizontal="left"/>
      <protection locked="0"/>
    </xf>
    <xf numFmtId="14" fontId="118" fillId="2" borderId="7" xfId="20" applyNumberFormat="1" applyFont="1" applyFill="1" applyBorder="1" applyAlignment="1" applyProtection="1">
      <alignment horizontal="left" vertical="center" wrapText="1"/>
    </xf>
    <xf numFmtId="0" fontId="118" fillId="0" borderId="7" xfId="20" applyFont="1" applyFill="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117" fillId="2" borderId="7" xfId="20" applyFill="1" applyBorder="1" applyAlignment="1" applyProtection="1">
      <alignment horizontal="left"/>
    </xf>
    <xf numFmtId="9" fontId="117" fillId="7" borderId="7" xfId="20" applyNumberFormat="1" applyFill="1" applyBorder="1" applyAlignment="1" applyProtection="1">
      <alignment horizontal="left"/>
      <protection locked="0"/>
    </xf>
    <xf numFmtId="0" fontId="117" fillId="2" borderId="7" xfId="20" applyFill="1" applyBorder="1" applyAlignment="1" applyProtection="1">
      <alignment horizontal="left" vertical="center"/>
    </xf>
    <xf numFmtId="0" fontId="118" fillId="2" borderId="12" xfId="20" applyFont="1" applyFill="1" applyBorder="1" applyAlignment="1" applyProtection="1">
      <alignment horizontal="left" vertical="center" wrapText="1"/>
    </xf>
    <xf numFmtId="0" fontId="3" fillId="0" borderId="7" xfId="20" applyFont="1" applyFill="1" applyBorder="1" applyAlignment="1" applyProtection="1">
      <alignment horizontal="left"/>
      <protection locked="0"/>
    </xf>
    <xf numFmtId="0" fontId="118" fillId="0" borderId="12" xfId="20" applyFont="1" applyFill="1" applyBorder="1" applyAlignment="1" applyProtection="1">
      <alignment horizontal="left" vertical="center" wrapText="1"/>
      <protection locked="0"/>
    </xf>
    <xf numFmtId="0" fontId="117" fillId="0" borderId="7" xfId="20" applyBorder="1" applyAlignment="1" applyProtection="1">
      <alignment horizontal="left"/>
      <protection locked="0"/>
    </xf>
    <xf numFmtId="0" fontId="118" fillId="0" borderId="7" xfId="20" applyFont="1" applyBorder="1" applyAlignment="1" applyProtection="1">
      <alignment horizontal="left" vertical="center" wrapText="1"/>
      <protection locked="0"/>
    </xf>
    <xf numFmtId="49" fontId="117" fillId="7" borderId="0" xfId="20" applyNumberFormat="1" applyFill="1" applyBorder="1" applyAlignment="1" applyProtection="1">
      <alignment horizontal="left"/>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7" applyFont="1" applyFill="1" applyBorder="1" applyAlignment="1" applyProtection="1">
      <alignment vertical="center" wrapText="1"/>
    </xf>
    <xf numFmtId="0" fontId="72" fillId="2" borderId="4" xfId="7" applyFont="1" applyFill="1" applyBorder="1" applyAlignment="1" applyProtection="1">
      <alignment vertical="center" wrapText="1"/>
    </xf>
    <xf numFmtId="0" fontId="72" fillId="2" borderId="74" xfId="7" applyFont="1" applyFill="1" applyBorder="1" applyAlignment="1" applyProtection="1">
      <alignment vertical="center" wrapText="1"/>
    </xf>
    <xf numFmtId="182" fontId="64" fillId="2" borderId="3" xfId="7"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6" fillId="2" borderId="6" xfId="7" applyNumberFormat="1" applyFont="1" applyFill="1" applyBorder="1" applyAlignment="1" applyProtection="1">
      <alignment horizontal="left" vertical="center"/>
    </xf>
    <xf numFmtId="178" fontId="72" fillId="2" borderId="7" xfId="7" applyNumberFormat="1" applyFont="1" applyFill="1" applyBorder="1" applyAlignment="1" applyProtection="1">
      <alignment vertical="center"/>
    </xf>
    <xf numFmtId="178" fontId="72" fillId="16" borderId="13" xfId="7" applyNumberFormat="1" applyFont="1" applyFill="1" applyBorder="1" applyAlignment="1" applyProtection="1">
      <alignment vertical="center"/>
      <protection locked="0"/>
    </xf>
    <xf numFmtId="178" fontId="56" fillId="2" borderId="6" xfId="7"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center" vertical="center"/>
    </xf>
    <xf numFmtId="179" fontId="64" fillId="2" borderId="7" xfId="7" applyNumberFormat="1" applyFont="1" applyFill="1" applyBorder="1" applyAlignment="1" applyProtection="1">
      <alignment horizontal="center" vertical="center"/>
    </xf>
    <xf numFmtId="182" fontId="64" fillId="2" borderId="7" xfId="7"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pplyProtection="1">
      <alignment vertical="center" wrapText="1"/>
    </xf>
    <xf numFmtId="0" fontId="85" fillId="2" borderId="10" xfId="7" applyFont="1" applyFill="1" applyBorder="1" applyAlignment="1" applyProtection="1">
      <alignment vertical="center"/>
    </xf>
    <xf numFmtId="0" fontId="85" fillId="2" borderId="9" xfId="7" applyFont="1" applyFill="1" applyBorder="1" applyAlignment="1" applyProtection="1">
      <alignment vertical="center"/>
    </xf>
    <xf numFmtId="0" fontId="85" fillId="2" borderId="10" xfId="7" applyFont="1" applyFill="1" applyBorder="1" applyAlignment="1" applyProtection="1">
      <alignment horizontal="center" vertical="center"/>
    </xf>
    <xf numFmtId="181" fontId="85" fillId="2" borderId="10" xfId="7"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7" applyNumberFormat="1" applyFont="1" applyFill="1" applyBorder="1" applyAlignment="1" applyProtection="1">
      <alignment vertical="center" wrapText="1"/>
    </xf>
    <xf numFmtId="185" fontId="64" fillId="0" borderId="5" xfId="7"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7" applyNumberFormat="1" applyFont="1" applyFill="1" applyBorder="1" applyAlignment="1" applyProtection="1">
      <alignment vertical="center" wrapText="1"/>
    </xf>
    <xf numFmtId="185" fontId="72" fillId="0" borderId="8" xfId="7"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7" applyNumberFormat="1" applyFont="1" applyFill="1" applyBorder="1" applyAlignment="1" applyProtection="1">
      <alignment vertical="center" wrapText="1"/>
    </xf>
    <xf numFmtId="185" fontId="64" fillId="2" borderId="8" xfId="7" applyNumberFormat="1" applyFont="1" applyFill="1" applyBorder="1" applyAlignment="1" applyProtection="1">
      <alignment horizontal="center" vertical="center"/>
    </xf>
    <xf numFmtId="185" fontId="64" fillId="2" borderId="9" xfId="7" applyNumberFormat="1" applyFont="1" applyFill="1" applyBorder="1" applyAlignment="1" applyProtection="1">
      <alignment vertical="center" wrapText="1"/>
    </xf>
    <xf numFmtId="185" fontId="64" fillId="2" borderId="11" xfId="7"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7" fillId="0" borderId="5" xfId="7"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7" fillId="0" borderId="8" xfId="7"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7"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7" applyNumberFormat="1" applyFont="1" applyFill="1" applyBorder="1" applyAlignment="1" applyProtection="1">
      <alignment horizontal="center" vertical="center"/>
      <protection locked="0"/>
    </xf>
    <xf numFmtId="0" fontId="64" fillId="2" borderId="8" xfId="7"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7"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2" fillId="14"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6"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78" fontId="72" fillId="2" borderId="3" xfId="7" applyNumberFormat="1" applyFont="1" applyFill="1" applyBorder="1" applyAlignment="1" applyProtection="1">
      <alignment horizontal="center" vertical="center" wrapText="1"/>
    </xf>
    <xf numFmtId="0" fontId="72" fillId="2" borderId="4" xfId="7" applyFont="1" applyFill="1" applyBorder="1" applyAlignment="1" applyProtection="1">
      <alignment horizontal="center" vertical="center" wrapText="1"/>
    </xf>
    <xf numFmtId="179" fontId="72" fillId="2" borderId="4" xfId="7" applyNumberFormat="1" applyFont="1" applyFill="1" applyBorder="1" applyAlignment="1" applyProtection="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74" xfId="7" applyFont="1" applyFill="1" applyBorder="1" applyAlignment="1" applyProtection="1">
      <alignment horizontal="center" vertical="center" wrapText="1"/>
    </xf>
    <xf numFmtId="179" fontId="56" fillId="2" borderId="6" xfId="7" applyNumberFormat="1" applyFont="1" applyFill="1" applyBorder="1" applyAlignment="1" applyProtection="1">
      <alignment horizontal="center" vertical="center"/>
    </xf>
    <xf numFmtId="178" fontId="56" fillId="0" borderId="7" xfId="7" applyNumberFormat="1" applyFont="1" applyFill="1" applyBorder="1" applyAlignment="1" applyProtection="1">
      <alignment horizontal="center" vertical="center"/>
      <protection locked="0"/>
    </xf>
    <xf numFmtId="0" fontId="72" fillId="2" borderId="7" xfId="7" applyNumberFormat="1" applyFont="1" applyFill="1" applyBorder="1" applyAlignment="1" applyProtection="1">
      <alignment horizontal="center" vertical="center"/>
    </xf>
    <xf numFmtId="10" fontId="56" fillId="0" borderId="7" xfId="7"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7" applyNumberFormat="1" applyFont="1" applyFill="1" applyBorder="1" applyAlignment="1" applyProtection="1">
      <alignment horizontal="center" vertical="center"/>
      <protection locked="0"/>
    </xf>
    <xf numFmtId="10" fontId="72" fillId="0" borderId="7" xfId="7" applyNumberFormat="1" applyFont="1" applyFill="1" applyBorder="1" applyAlignment="1" applyProtection="1">
      <alignment horizontal="center" vertical="center"/>
      <protection locked="0"/>
    </xf>
    <xf numFmtId="178" fontId="72" fillId="2" borderId="7" xfId="7" applyNumberFormat="1" applyFont="1" applyFill="1" applyBorder="1" applyAlignment="1" applyProtection="1">
      <alignment horizontal="center" vertical="center"/>
    </xf>
    <xf numFmtId="10" fontId="72" fillId="2" borderId="7" xfId="7" applyNumberFormat="1" applyFont="1" applyFill="1" applyBorder="1" applyAlignment="1" applyProtection="1">
      <alignment horizontal="center" vertical="center"/>
    </xf>
    <xf numFmtId="0" fontId="85" fillId="2" borderId="11" xfId="7"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7" applyNumberFormat="1" applyFont="1" applyFill="1" applyBorder="1" applyAlignment="1" applyProtection="1">
      <alignment horizontal="center" vertical="center"/>
    </xf>
    <xf numFmtId="10" fontId="72" fillId="2" borderId="10" xfId="7"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1" fontId="56" fillId="7" borderId="0" xfId="0" applyNumberFormat="1"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7" applyFont="1" applyFill="1" applyBorder="1" applyAlignment="1" applyProtection="1">
      <alignment horizontal="center" vertical="center" wrapText="1"/>
    </xf>
    <xf numFmtId="0" fontId="72" fillId="2" borderId="73" xfId="7" applyFont="1" applyFill="1" applyBorder="1" applyAlignment="1" applyProtection="1">
      <alignment horizontal="center" vertical="center" wrapText="1"/>
    </xf>
    <xf numFmtId="0" fontId="72" fillId="2" borderId="81" xfId="7"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2" fillId="2" borderId="6" xfId="7"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7"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7" applyNumberFormat="1" applyFont="1" applyFill="1" applyBorder="1" applyAlignment="1" applyProtection="1">
      <alignment horizontal="center" vertical="center"/>
    </xf>
    <xf numFmtId="179" fontId="72" fillId="2" borderId="96" xfId="7" applyNumberFormat="1" applyFont="1" applyFill="1" applyBorder="1" applyAlignment="1" applyProtection="1">
      <alignment horizontal="center" vertical="center"/>
    </xf>
    <xf numFmtId="0" fontId="72" fillId="2" borderId="91" xfId="7"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7"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7"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7"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7"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7" applyNumberFormat="1" applyFont="1" applyFill="1" applyBorder="1" applyAlignment="1" applyProtection="1">
      <alignment horizontal="center" vertical="center"/>
    </xf>
    <xf numFmtId="185" fontId="65" fillId="2" borderId="83" xfId="7" applyNumberFormat="1" applyFont="1" applyFill="1" applyBorder="1" applyAlignment="1" applyProtection="1">
      <alignment horizontal="center" vertical="center"/>
    </xf>
    <xf numFmtId="185" fontId="65" fillId="2" borderId="84" xfId="7"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7"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7"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4" fillId="0" borderId="7" xfId="7"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7"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6"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5"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6" fillId="2" borderId="7" xfId="0" applyNumberFormat="1" applyFont="1" applyFill="1" applyBorder="1" applyAlignment="1" applyProtection="1">
      <alignment horizontal="center" vertical="center" wrapText="1"/>
    </xf>
    <xf numFmtId="185" fontId="56" fillId="2" borderId="15" xfId="0" applyNumberFormat="1" applyFont="1" applyFill="1" applyBorder="1" applyAlignment="1" applyProtection="1">
      <alignment horizontal="center" vertical="center" wrapText="1"/>
    </xf>
    <xf numFmtId="185" fontId="56" fillId="2" borderId="14" xfId="0" applyNumberFormat="1" applyFont="1" applyFill="1" applyBorder="1" applyAlignment="1" applyProtection="1">
      <alignment horizontal="center" vertical="center" wrapText="1"/>
    </xf>
    <xf numFmtId="185"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85" fontId="56" fillId="0" borderId="16" xfId="0" applyNumberFormat="1" applyFont="1" applyFill="1" applyBorder="1" applyAlignment="1" applyProtection="1">
      <alignment horizontal="center" vertical="center" wrapText="1"/>
      <protection locked="0"/>
    </xf>
    <xf numFmtId="185"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6"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5" fontId="56"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5"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5"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5" fontId="56" fillId="0" borderId="7" xfId="0" applyNumberFormat="1" applyFont="1" applyFill="1" applyBorder="1" applyAlignment="1" applyProtection="1">
      <alignment horizontal="center" vertical="center" wrapText="1"/>
      <protection locked="0"/>
    </xf>
    <xf numFmtId="185"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5" fontId="56" fillId="2" borderId="4" xfId="0" applyNumberFormat="1" applyFont="1" applyFill="1" applyBorder="1" applyAlignment="1" applyProtection="1">
      <alignment horizontal="center" vertical="center" wrapText="1"/>
    </xf>
    <xf numFmtId="185"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5" fontId="56" fillId="2" borderId="5" xfId="0" applyNumberFormat="1" applyFont="1" applyFill="1" applyBorder="1" applyAlignment="1" applyProtection="1">
      <alignment horizontal="center" vertical="center" wrapText="1"/>
    </xf>
    <xf numFmtId="185"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 fillId="0" borderId="0" xfId="0" applyFont="1">
      <alignment vertical="center"/>
    </xf>
    <xf numFmtId="0" fontId="122" fillId="0" borderId="0" xfId="0" applyFont="1">
      <alignment vertical="center"/>
    </xf>
    <xf numFmtId="0" fontId="0" fillId="0" borderId="0" xfId="0" applyFill="1">
      <alignment vertical="center"/>
    </xf>
    <xf numFmtId="0" fontId="123" fillId="13" borderId="7" xfId="3" applyFont="1" applyFill="1" applyBorder="1" applyAlignment="1">
      <alignment horizontal="center" vertical="center" wrapText="1"/>
    </xf>
    <xf numFmtId="0" fontId="124" fillId="13" borderId="7" xfId="0" applyFont="1" applyFill="1" applyBorder="1" applyAlignment="1">
      <alignment horizontal="center" vertical="center" wrapText="1"/>
    </xf>
    <xf numFmtId="0" fontId="124" fillId="13" borderId="7" xfId="0" applyFont="1" applyFill="1" applyBorder="1" applyAlignment="1">
      <alignment horizontal="left" vertical="center" wrapText="1"/>
    </xf>
    <xf numFmtId="0" fontId="124" fillId="13" borderId="7" xfId="3" applyFont="1" applyFill="1" applyBorder="1" applyAlignment="1">
      <alignment horizontal="center" vertical="center" wrapText="1"/>
    </xf>
    <xf numFmtId="0" fontId="125" fillId="13" borderId="7" xfId="3" applyFont="1" applyFill="1" applyBorder="1" applyAlignment="1">
      <alignment horizontal="center" vertical="center" wrapText="1"/>
    </xf>
    <xf numFmtId="195" fontId="125" fillId="13" borderId="12" xfId="3" applyNumberFormat="1" applyFont="1" applyFill="1" applyBorder="1" applyAlignment="1">
      <alignment horizontal="center" vertical="center" wrapText="1"/>
    </xf>
    <xf numFmtId="195" fontId="125" fillId="13" borderId="7" xfId="3" applyNumberFormat="1" applyFont="1" applyFill="1" applyBorder="1" applyAlignment="1">
      <alignment horizontal="center" vertical="center" wrapText="1"/>
    </xf>
    <xf numFmtId="195" fontId="125" fillId="13" borderId="7" xfId="3" applyNumberFormat="1" applyFont="1" applyFill="1" applyBorder="1" applyAlignment="1">
      <alignment horizontal="left" vertical="center" wrapText="1"/>
    </xf>
    <xf numFmtId="0" fontId="126" fillId="13" borderId="14" xfId="3" applyFont="1" applyFill="1" applyBorder="1" applyAlignment="1">
      <alignment horizontal="left" vertical="center" wrapText="1"/>
    </xf>
    <xf numFmtId="195" fontId="126" fillId="13" borderId="7" xfId="3" applyNumberFormat="1" applyFont="1" applyFill="1" applyBorder="1" applyAlignment="1">
      <alignment horizontal="center" vertical="center" wrapText="1"/>
    </xf>
    <xf numFmtId="0" fontId="126" fillId="13" borderId="7" xfId="3" applyFont="1" applyFill="1" applyBorder="1" applyAlignment="1">
      <alignment horizontal="left" vertical="center" wrapText="1"/>
    </xf>
    <xf numFmtId="195" fontId="126" fillId="13" borderId="7" xfId="3" applyNumberFormat="1" applyFont="1" applyFill="1" applyBorder="1" applyAlignment="1">
      <alignment horizontal="left" vertical="center" wrapText="1"/>
    </xf>
    <xf numFmtId="195" fontId="125" fillId="3" borderId="7" xfId="3" applyNumberFormat="1" applyFont="1" applyFill="1" applyBorder="1" applyAlignment="1">
      <alignment horizontal="center" vertical="center" wrapText="1"/>
    </xf>
    <xf numFmtId="195" fontId="126" fillId="13" borderId="0" xfId="3" applyNumberFormat="1" applyFont="1" applyFill="1" applyBorder="1" applyAlignment="1">
      <alignment horizontal="left" vertical="center" wrapText="1"/>
    </xf>
    <xf numFmtId="195" fontId="126" fillId="13" borderId="0" xfId="3" applyNumberFormat="1" applyFont="1" applyFill="1" applyBorder="1" applyAlignment="1">
      <alignment horizontal="center" vertical="center" wrapText="1"/>
    </xf>
    <xf numFmtId="0" fontId="127" fillId="13" borderId="0" xfId="0" applyFont="1" applyFill="1" applyAlignment="1">
      <alignment horizontal="center" vertical="center" wrapText="1"/>
    </xf>
    <xf numFmtId="195" fontId="125" fillId="18" borderId="7" xfId="3" applyNumberFormat="1" applyFont="1" applyFill="1" applyBorder="1" applyAlignment="1">
      <alignment horizontal="center" vertical="center" wrapText="1"/>
    </xf>
    <xf numFmtId="195" fontId="125" fillId="0" borderId="7" xfId="3" applyNumberFormat="1" applyFont="1" applyFill="1" applyBorder="1" applyAlignment="1">
      <alignment horizontal="left" vertical="center" wrapText="1"/>
    </xf>
    <xf numFmtId="0" fontId="123" fillId="10" borderId="0" xfId="3" applyFont="1" applyFill="1" applyBorder="1" applyAlignment="1">
      <alignment horizontal="center" vertical="center" wrapText="1"/>
    </xf>
    <xf numFmtId="195" fontId="125" fillId="13" borderId="0" xfId="3" applyNumberFormat="1" applyFont="1" applyFill="1" applyBorder="1" applyAlignment="1">
      <alignment horizontal="center" vertical="center" wrapText="1"/>
    </xf>
    <xf numFmtId="14" fontId="3" fillId="0" borderId="0" xfId="0" applyNumberFormat="1" applyFont="1">
      <alignment vertical="center"/>
    </xf>
    <xf numFmtId="14" fontId="0" fillId="0" borderId="0" xfId="0" applyNumberFormat="1">
      <alignment vertical="center"/>
    </xf>
    <xf numFmtId="195" fontId="0" fillId="0" borderId="0" xfId="0" applyNumberFormat="1">
      <alignment vertical="center"/>
    </xf>
    <xf numFmtId="195" fontId="126" fillId="10" borderId="0" xfId="3" applyNumberFormat="1" applyFont="1" applyFill="1" applyBorder="1" applyAlignment="1">
      <alignment horizontal="center" vertical="center" wrapText="1"/>
    </xf>
    <xf numFmtId="43" fontId="0" fillId="0" borderId="0" xfId="1" applyFont="1">
      <alignment vertical="center"/>
    </xf>
    <xf numFmtId="0" fontId="3" fillId="0" borderId="0" xfId="0" applyFont="1">
      <alignment vertical="center"/>
    </xf>
    <xf numFmtId="0" fontId="125" fillId="13" borderId="12" xfId="3" applyFont="1" applyFill="1" applyBorder="1" applyAlignment="1">
      <alignment horizontal="center" vertical="center" wrapText="1"/>
    </xf>
    <xf numFmtId="195" fontId="125" fillId="13" borderId="78" xfId="3" applyNumberFormat="1" applyFont="1" applyFill="1" applyBorder="1" applyAlignment="1">
      <alignment horizontal="center" vertical="center" wrapText="1"/>
    </xf>
    <xf numFmtId="195" fontId="125" fillId="13" borderId="16" xfId="3" applyNumberFormat="1" applyFont="1" applyFill="1" applyBorder="1" applyAlignment="1">
      <alignment horizontal="center" vertical="center" wrapText="1"/>
    </xf>
    <xf numFmtId="195" fontId="125" fillId="13" borderId="16" xfId="3" applyNumberFormat="1" applyFont="1" applyFill="1" applyBorder="1" applyAlignment="1">
      <alignment horizontal="left" vertical="center" wrapText="1"/>
    </xf>
    <xf numFmtId="195" fontId="125" fillId="18" borderId="0" xfId="3" applyNumberFormat="1" applyFont="1" applyFill="1" applyBorder="1" applyAlignment="1">
      <alignment horizontal="center" vertical="center" wrapText="1"/>
    </xf>
    <xf numFmtId="195" fontId="126" fillId="13" borderId="14" xfId="3" applyNumberFormat="1" applyFont="1" applyFill="1" applyBorder="1" applyAlignment="1">
      <alignment horizontal="center" vertical="center" wrapText="1"/>
    </xf>
    <xf numFmtId="195" fontId="126" fillId="13" borderId="14" xfId="3" applyNumberFormat="1" applyFont="1" applyFill="1" applyBorder="1" applyAlignment="1">
      <alignment horizontal="left" vertical="center" wrapText="1"/>
    </xf>
    <xf numFmtId="0" fontId="127" fillId="13" borderId="0" xfId="0" applyFont="1" applyFill="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25" fillId="0" borderId="12" xfId="3" applyFont="1" applyFill="1" applyBorder="1" applyAlignment="1">
      <alignment horizontal="center" vertical="center" wrapText="1"/>
    </xf>
    <xf numFmtId="195" fontId="125" fillId="0" borderId="12" xfId="3" applyNumberFormat="1" applyFont="1" applyFill="1" applyBorder="1" applyAlignment="1">
      <alignment horizontal="center" vertical="center" wrapText="1"/>
    </xf>
    <xf numFmtId="195" fontId="125" fillId="0" borderId="12" xfId="3" applyNumberFormat="1" applyFont="1" applyFill="1" applyBorder="1" applyAlignment="1">
      <alignment horizontal="left" vertical="center" wrapText="1"/>
    </xf>
    <xf numFmtId="195" fontId="126" fillId="0" borderId="7" xfId="3" applyNumberFormat="1" applyFont="1" applyFill="1" applyBorder="1" applyAlignment="1">
      <alignment horizontal="left" vertical="center" wrapText="1"/>
    </xf>
    <xf numFmtId="195" fontId="126" fillId="0" borderId="7" xfId="3" applyNumberFormat="1" applyFont="1" applyFill="1" applyBorder="1" applyAlignment="1">
      <alignment horizontal="center" vertical="center" wrapText="1"/>
    </xf>
    <xf numFmtId="0" fontId="125" fillId="0" borderId="7" xfId="3" applyFont="1" applyFill="1" applyBorder="1" applyAlignment="1">
      <alignment horizontal="center" vertical="center" wrapText="1"/>
    </xf>
    <xf numFmtId="195" fontId="125" fillId="0" borderId="7" xfId="3" applyNumberFormat="1" applyFont="1" applyFill="1" applyBorder="1" applyAlignment="1">
      <alignment horizontal="center" vertical="center" wrapText="1"/>
    </xf>
    <xf numFmtId="0" fontId="125" fillId="0" borderId="16" xfId="3" applyFont="1" applyFill="1" applyBorder="1" applyAlignment="1">
      <alignment horizontal="center" vertical="center" wrapText="1"/>
    </xf>
    <xf numFmtId="195" fontId="125" fillId="0" borderId="16" xfId="3" applyNumberFormat="1" applyFont="1" applyFill="1" applyBorder="1" applyAlignment="1">
      <alignment horizontal="center" vertical="center" wrapText="1"/>
    </xf>
    <xf numFmtId="195" fontId="125" fillId="0" borderId="16" xfId="3" applyNumberFormat="1" applyFont="1" applyFill="1" applyBorder="1" applyAlignment="1">
      <alignment horizontal="left" vertical="center" wrapText="1"/>
    </xf>
    <xf numFmtId="0" fontId="126" fillId="0" borderId="12" xfId="3" applyFont="1" applyFill="1" applyBorder="1" applyAlignment="1">
      <alignment horizontal="left" vertical="center" wrapText="1"/>
    </xf>
    <xf numFmtId="195" fontId="126" fillId="0" borderId="12" xfId="3" applyNumberFormat="1" applyFont="1" applyFill="1" applyBorder="1" applyAlignment="1">
      <alignment horizontal="center" vertical="center" wrapText="1"/>
    </xf>
    <xf numFmtId="195" fontId="126" fillId="0" borderId="16" xfId="3" applyNumberFormat="1" applyFont="1" applyFill="1" applyBorder="1" applyAlignment="1">
      <alignment horizontal="left" vertical="center" wrapText="1"/>
    </xf>
    <xf numFmtId="195" fontId="126" fillId="0" borderId="16" xfId="3" applyNumberFormat="1" applyFont="1" applyFill="1" applyBorder="1" applyAlignment="1">
      <alignment horizontal="center" vertical="center" wrapText="1"/>
    </xf>
    <xf numFmtId="195" fontId="126" fillId="0" borderId="12" xfId="3" applyNumberFormat="1" applyFont="1" applyFill="1" applyBorder="1" applyAlignment="1">
      <alignment horizontal="left" vertical="center" wrapText="1"/>
    </xf>
    <xf numFmtId="195" fontId="126" fillId="13" borderId="16" xfId="3" applyNumberFormat="1" applyFont="1" applyFill="1" applyBorder="1" applyAlignment="1">
      <alignment horizontal="left" vertical="center" wrapText="1"/>
    </xf>
    <xf numFmtId="195" fontId="126" fillId="13" borderId="16" xfId="3" applyNumberFormat="1" applyFont="1" applyFill="1" applyBorder="1" applyAlignment="1">
      <alignment horizontal="center" vertical="center" wrapText="1"/>
    </xf>
    <xf numFmtId="195" fontId="126" fillId="13" borderId="102" xfId="3" applyNumberFormat="1" applyFont="1" applyFill="1" applyBorder="1" applyAlignment="1">
      <alignment horizontal="center" vertical="center" wrapText="1"/>
    </xf>
    <xf numFmtId="195" fontId="126" fillId="13" borderId="12" xfId="3" applyNumberFormat="1" applyFont="1" applyFill="1" applyBorder="1" applyAlignment="1">
      <alignment horizontal="center" vertical="center" wrapText="1"/>
    </xf>
    <xf numFmtId="195" fontId="126" fillId="13" borderId="103" xfId="3" applyNumberFormat="1" applyFont="1" applyFill="1" applyBorder="1" applyAlignment="1">
      <alignment horizontal="center" vertical="center" wrapText="1"/>
    </xf>
    <xf numFmtId="0" fontId="127" fillId="13" borderId="103" xfId="0" applyFont="1" applyFill="1" applyBorder="1" applyAlignment="1">
      <alignment horizontal="center" vertical="center" wrapText="1"/>
    </xf>
    <xf numFmtId="0" fontId="127" fillId="13" borderId="16" xfId="0" applyFont="1" applyFill="1" applyBorder="1" applyAlignment="1">
      <alignment horizontal="center" vertical="center" wrapText="1"/>
    </xf>
    <xf numFmtId="195" fontId="128" fillId="13" borderId="0" xfId="3" applyNumberFormat="1" applyFont="1" applyFill="1" applyBorder="1" applyAlignment="1">
      <alignment horizontal="center" vertical="center" wrapText="1"/>
    </xf>
    <xf numFmtId="195" fontId="125" fillId="13" borderId="12" xfId="3" applyNumberFormat="1" applyFont="1" applyFill="1" applyBorder="1" applyAlignment="1">
      <alignment horizontal="left" vertical="center" wrapText="1"/>
    </xf>
    <xf numFmtId="195" fontId="125" fillId="3" borderId="16" xfId="3" applyNumberFormat="1" applyFont="1" applyFill="1" applyBorder="1" applyAlignment="1">
      <alignment horizontal="center" vertical="center" wrapText="1"/>
    </xf>
    <xf numFmtId="195" fontId="126" fillId="13" borderId="12" xfId="3" applyNumberFormat="1" applyFont="1" applyFill="1" applyBorder="1" applyAlignment="1">
      <alignment horizontal="left" vertical="center" wrapText="1"/>
    </xf>
    <xf numFmtId="0" fontId="127" fillId="0" borderId="12" xfId="0" applyFont="1" applyFill="1" applyBorder="1" applyAlignment="1">
      <alignment horizontal="center" vertical="center" wrapText="1"/>
    </xf>
    <xf numFmtId="195" fontId="125" fillId="0" borderId="0" xfId="3" applyNumberFormat="1" applyFont="1" applyFill="1" applyBorder="1" applyAlignment="1">
      <alignment horizontal="center" vertical="center" wrapText="1"/>
    </xf>
    <xf numFmtId="2" fontId="0" fillId="0" borderId="0" xfId="0" applyNumberFormat="1">
      <alignment vertical="center"/>
    </xf>
    <xf numFmtId="14" fontId="0" fillId="0" borderId="0" xfId="0" applyNumberFormat="1" applyFill="1">
      <alignment vertical="center"/>
    </xf>
    <xf numFmtId="195" fontId="126" fillId="0" borderId="0" xfId="3" applyNumberFormat="1" applyFont="1" applyFill="1" applyBorder="1" applyAlignment="1">
      <alignment horizontal="center" vertical="center" wrapText="1"/>
    </xf>
    <xf numFmtId="0" fontId="1" fillId="0" borderId="0" xfId="0" applyFont="1">
      <alignment vertical="center"/>
    </xf>
    <xf numFmtId="0" fontId="1" fillId="19" borderId="0" xfId="0" applyFont="1" applyFill="1">
      <alignment vertical="center"/>
    </xf>
    <xf numFmtId="0" fontId="1" fillId="0" borderId="0" xfId="0" applyFont="1" applyAlignment="1">
      <alignment vertical="center" wrapText="1"/>
    </xf>
    <xf numFmtId="49" fontId="1" fillId="0" borderId="0" xfId="0" applyNumberFormat="1" applyFont="1" applyAlignment="1">
      <alignment vertical="center" wrapText="1"/>
    </xf>
    <xf numFmtId="0" fontId="63" fillId="0" borderId="0" xfId="0" applyFont="1" applyAlignment="1">
      <alignment horizontal="left" vertical="center"/>
    </xf>
    <xf numFmtId="0" fontId="63" fillId="19" borderId="0" xfId="0" applyFont="1" applyFill="1">
      <alignment vertical="center"/>
    </xf>
    <xf numFmtId="0" fontId="63" fillId="19" borderId="0" xfId="0" applyFont="1" applyFill="1" applyAlignment="1">
      <alignment horizontal="left" vertical="center"/>
    </xf>
    <xf numFmtId="0" fontId="1" fillId="3" borderId="0" xfId="0" applyFont="1" applyFill="1">
      <alignment vertical="center"/>
    </xf>
    <xf numFmtId="0" fontId="1" fillId="0" borderId="167" xfId="0" applyFont="1" applyFill="1" applyBorder="1" applyAlignment="1">
      <alignment horizontal="left" vertical="center" wrapText="1"/>
    </xf>
    <xf numFmtId="0" fontId="1" fillId="0" borderId="167" xfId="0" applyFont="1" applyFill="1" applyBorder="1" applyAlignment="1">
      <alignment horizontal="left" vertical="top" wrapText="1"/>
    </xf>
    <xf numFmtId="0" fontId="1" fillId="0" borderId="7" xfId="0" applyFont="1" applyBorder="1" applyAlignment="1">
      <alignment horizontal="left" vertical="center" wrapText="1"/>
    </xf>
    <xf numFmtId="0" fontId="1" fillId="0" borderId="7" xfId="0" applyFont="1" applyBorder="1" applyAlignment="1">
      <alignment horizontal="left" vertical="center"/>
    </xf>
    <xf numFmtId="0" fontId="1" fillId="0" borderId="13" xfId="0" applyFont="1" applyFill="1" applyBorder="1" applyAlignment="1">
      <alignment horizontal="left" vertical="center" wrapText="1"/>
    </xf>
    <xf numFmtId="185" fontId="1" fillId="0" borderId="7" xfId="0" applyNumberFormat="1" applyFont="1" applyBorder="1" applyAlignment="1">
      <alignment horizontal="left" vertical="center"/>
    </xf>
    <xf numFmtId="185" fontId="1" fillId="0" borderId="7" xfId="0" applyNumberFormat="1" applyFont="1" applyBorder="1" applyAlignment="1">
      <alignment horizontal="left" vertical="center" wrapText="1"/>
    </xf>
    <xf numFmtId="0" fontId="1" fillId="0" borderId="13" xfId="0" applyFont="1" applyBorder="1" applyAlignment="1">
      <alignment horizontal="left" vertical="center"/>
    </xf>
    <xf numFmtId="1" fontId="130" fillId="0" borderId="167" xfId="0" applyNumberFormat="1" applyFont="1" applyFill="1" applyBorder="1" applyAlignment="1">
      <alignment horizontal="left" vertical="center" wrapText="1"/>
    </xf>
    <xf numFmtId="1" fontId="130" fillId="0" borderId="167" xfId="0" applyNumberFormat="1" applyFont="1" applyFill="1" applyBorder="1" applyAlignment="1">
      <alignment horizontal="left" wrapText="1"/>
    </xf>
    <xf numFmtId="0" fontId="75"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9"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31"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88" fontId="56" fillId="0" borderId="7" xfId="0" applyNumberFormat="1" applyFont="1" applyFill="1" applyBorder="1" applyAlignment="1" applyProtection="1">
      <alignment horizontal="center" vertical="center" shrinkToFit="1"/>
      <protection locked="0"/>
    </xf>
    <xf numFmtId="178" fontId="56" fillId="3" borderId="7" xfId="7"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78"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8"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1"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2"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2" fillId="2" borderId="0" xfId="0" applyNumberFormat="1" applyFont="1" applyFill="1" applyBorder="1" applyAlignment="1" applyProtection="1">
      <alignment horizontal="center" vertical="center" wrapText="1"/>
    </xf>
    <xf numFmtId="0" fontId="133" fillId="0" borderId="0" xfId="13" applyFont="1" applyFill="1" applyAlignment="1">
      <alignment horizontal="left" vertical="center"/>
    </xf>
    <xf numFmtId="0" fontId="134" fillId="0" borderId="0" xfId="13" applyFont="1" applyAlignment="1">
      <alignment horizontal="left" vertical="center"/>
    </xf>
    <xf numFmtId="0" fontId="133"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4" xfId="13" applyFont="1" applyFill="1" applyBorder="1" applyAlignment="1">
      <alignment horizontal="left" vertical="center"/>
    </xf>
    <xf numFmtId="0" fontId="139" fillId="0" borderId="7" xfId="13" applyFont="1" applyFill="1" applyBorder="1" applyAlignment="1">
      <alignment horizontal="left" vertical="center"/>
    </xf>
    <xf numFmtId="193" fontId="139" fillId="0" borderId="7" xfId="13" applyNumberFormat="1" applyFont="1" applyFill="1" applyBorder="1" applyAlignment="1">
      <alignment horizontal="left" vertical="center"/>
    </xf>
    <xf numFmtId="193" fontId="140" fillId="0" borderId="13" xfId="13" applyNumberFormat="1" applyFont="1" applyFill="1" applyBorder="1" applyAlignment="1">
      <alignment horizontal="left" vertical="center"/>
    </xf>
    <xf numFmtId="0" fontId="139" fillId="0" borderId="175" xfId="13" applyFont="1" applyFill="1" applyBorder="1" applyAlignment="1">
      <alignment horizontal="left" vertical="center"/>
    </xf>
    <xf numFmtId="188" fontId="139" fillId="0" borderId="7" xfId="13" applyNumberFormat="1" applyFont="1" applyFill="1" applyBorder="1" applyAlignment="1">
      <alignment horizontal="left" vertical="center"/>
    </xf>
    <xf numFmtId="0" fontId="140" fillId="0" borderId="7" xfId="13" applyFont="1" applyFill="1" applyBorder="1" applyAlignment="1">
      <alignment horizontal="left" vertical="center"/>
    </xf>
    <xf numFmtId="193" fontId="139" fillId="0" borderId="13" xfId="13" applyNumberFormat="1" applyFont="1" applyFill="1" applyBorder="1" applyAlignment="1">
      <alignment horizontal="left" vertical="center"/>
    </xf>
    <xf numFmtId="0" fontId="140" fillId="0" borderId="0" xfId="13" applyFont="1" applyFill="1" applyAlignment="1">
      <alignment horizontal="left" vertical="center"/>
    </xf>
    <xf numFmtId="0" fontId="138" fillId="0" borderId="7" xfId="13" applyFont="1" applyFill="1" applyBorder="1" applyAlignment="1">
      <alignment horizontal="left" vertical="center"/>
    </xf>
    <xf numFmtId="0" fontId="136" fillId="0" borderId="7" xfId="13" applyFont="1" applyBorder="1" applyAlignment="1">
      <alignment horizontal="left" vertical="center"/>
    </xf>
    <xf numFmtId="188" fontId="139" fillId="0" borderId="13" xfId="13" applyNumberFormat="1" applyFont="1" applyFill="1" applyBorder="1" applyAlignment="1">
      <alignment horizontal="left" vertical="center"/>
    </xf>
    <xf numFmtId="0" fontId="136" fillId="0" borderId="175" xfId="13" applyFont="1" applyBorder="1" applyAlignment="1">
      <alignment horizontal="left" vertical="center"/>
    </xf>
    <xf numFmtId="0" fontId="141" fillId="0" borderId="7" xfId="13" applyFont="1" applyBorder="1" applyAlignment="1">
      <alignment horizontal="left" vertical="center"/>
    </xf>
    <xf numFmtId="188" fontId="141" fillId="0" borderId="7" xfId="0" applyNumberFormat="1" applyFont="1" applyFill="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3" fillId="0" borderId="0" xfId="13" applyNumberFormat="1" applyFont="1" applyAlignment="1">
      <alignment horizontal="left" vertical="center"/>
    </xf>
    <xf numFmtId="14" fontId="133" fillId="0" borderId="176" xfId="13" applyNumberFormat="1" applyFont="1" applyBorder="1" applyAlignment="1">
      <alignment horizontal="left" vertical="center"/>
    </xf>
    <xf numFmtId="0" fontId="133" fillId="0" borderId="0" xfId="13" applyFont="1" applyBorder="1" applyAlignment="1">
      <alignment horizontal="left" vertical="center"/>
    </xf>
    <xf numFmtId="0" fontId="142" fillId="0" borderId="0" xfId="13"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4" fillId="16" borderId="7" xfId="0" applyFont="1" applyFill="1" applyBorder="1" applyAlignment="1" applyProtection="1">
      <alignment horizontal="center" vertical="center" wrapText="1"/>
    </xf>
    <xf numFmtId="0" fontId="144" fillId="2" borderId="7" xfId="0" applyFont="1" applyFill="1" applyBorder="1" applyAlignment="1" applyProtection="1">
      <alignment horizontal="center" vertical="center" wrapText="1"/>
    </xf>
    <xf numFmtId="0" fontId="145" fillId="22" borderId="7" xfId="0" applyFont="1" applyFill="1" applyBorder="1" applyAlignment="1" applyProtection="1">
      <alignment horizontal="center" vertical="center"/>
    </xf>
    <xf numFmtId="0" fontId="146" fillId="0" borderId="7" xfId="0" applyFont="1" applyFill="1" applyBorder="1" applyAlignment="1" applyProtection="1">
      <alignment horizontal="center" vertical="center"/>
    </xf>
    <xf numFmtId="0" fontId="132" fillId="0" borderId="0" xfId="0" applyFont="1" applyProtection="1">
      <alignment vertical="center"/>
    </xf>
    <xf numFmtId="0" fontId="134"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18"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32" fillId="0" borderId="0" xfId="0" applyFont="1" applyAlignment="1" applyProtection="1">
      <alignment horizontal="left" vertical="center"/>
    </xf>
    <xf numFmtId="185" fontId="132" fillId="0" borderId="0" xfId="0" applyNumberFormat="1" applyFont="1" applyAlignment="1" applyProtection="1">
      <alignment horizontal="left" vertical="center"/>
    </xf>
    <xf numFmtId="0" fontId="3" fillId="0" borderId="0" xfId="0" applyFont="1" applyProtection="1">
      <alignment vertical="center"/>
      <protection locked="0"/>
    </xf>
    <xf numFmtId="0" fontId="147" fillId="0" borderId="0" xfId="0" applyFont="1" applyBorder="1" applyAlignment="1" applyProtection="1">
      <alignment horizontal="left" vertical="center"/>
    </xf>
    <xf numFmtId="0" fontId="3"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15"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50" fillId="0" borderId="0" xfId="0" applyFont="1" applyProtection="1">
      <alignment vertical="center"/>
      <protection locked="0"/>
    </xf>
    <xf numFmtId="0" fontId="26" fillId="0" borderId="0" xfId="18" applyFont="1">
      <alignment vertical="center"/>
    </xf>
    <xf numFmtId="0" fontId="148" fillId="0" borderId="0" xfId="18" applyFont="1" applyProtection="1">
      <alignment vertical="center"/>
    </xf>
    <xf numFmtId="0" fontId="26" fillId="0" borderId="0" xfId="18" applyFont="1" applyProtection="1">
      <alignment vertical="center"/>
    </xf>
    <xf numFmtId="0" fontId="148" fillId="0" borderId="0" xfId="18" applyFont="1" applyAlignment="1" applyProtection="1">
      <alignment horizontal="center" vertical="center"/>
    </xf>
    <xf numFmtId="0" fontId="74" fillId="0" borderId="16" xfId="18" applyFont="1" applyFill="1" applyBorder="1" applyAlignment="1" applyProtection="1">
      <alignment horizontal="left" vertical="center" wrapText="1"/>
    </xf>
    <xf numFmtId="0" fontId="76" fillId="0" borderId="16" xfId="18" applyFont="1" applyFill="1" applyBorder="1" applyAlignment="1" applyProtection="1">
      <alignment horizontal="center" vertical="center" wrapText="1"/>
    </xf>
    <xf numFmtId="0" fontId="115" fillId="0" borderId="7" xfId="18" applyFont="1" applyFill="1" applyBorder="1" applyAlignment="1" applyProtection="1">
      <alignment horizontal="left" vertical="center" wrapText="1"/>
    </xf>
    <xf numFmtId="0" fontId="76" fillId="0" borderId="7" xfId="18" applyFont="1" applyFill="1" applyBorder="1" applyAlignment="1" applyProtection="1">
      <alignment horizontal="center" vertical="center" wrapText="1"/>
    </xf>
    <xf numFmtId="0" fontId="154" fillId="0" borderId="7" xfId="18" applyFont="1" applyFill="1" applyBorder="1" applyAlignment="1" applyProtection="1">
      <alignment horizontal="left" vertical="center" wrapText="1"/>
    </xf>
    <xf numFmtId="0" fontId="90" fillId="0" borderId="13" xfId="18" applyFont="1" applyFill="1" applyBorder="1" applyAlignment="1" applyProtection="1">
      <alignment vertical="center" wrapText="1"/>
    </xf>
    <xf numFmtId="0" fontId="114" fillId="0" borderId="7" xfId="18" applyFont="1" applyFill="1" applyBorder="1" applyAlignment="1" applyProtection="1">
      <alignment horizontal="left" vertical="center" wrapText="1"/>
    </xf>
    <xf numFmtId="0" fontId="90" fillId="0" borderId="7" xfId="18" applyFont="1" applyFill="1" applyBorder="1" applyAlignment="1" applyProtection="1">
      <alignment horizontal="center" vertical="center" wrapText="1"/>
    </xf>
    <xf numFmtId="0" fontId="74" fillId="0" borderId="7" xfId="18" applyFont="1" applyFill="1" applyBorder="1" applyAlignment="1" applyProtection="1">
      <alignment horizontal="left" vertical="center" wrapText="1"/>
    </xf>
    <xf numFmtId="0" fontId="76" fillId="0" borderId="14" xfId="18" applyFont="1" applyFill="1" applyBorder="1" applyAlignment="1" applyProtection="1">
      <alignment horizontal="center" vertical="center" wrapText="1"/>
    </xf>
    <xf numFmtId="0" fontId="90" fillId="0" borderId="14" xfId="18" applyFont="1" applyFill="1" applyBorder="1" applyAlignment="1" applyProtection="1">
      <alignment horizontal="center" vertical="center" wrapText="1"/>
    </xf>
    <xf numFmtId="0" fontId="71" fillId="0" borderId="7" xfId="18" applyFont="1" applyBorder="1" applyAlignment="1">
      <alignment horizontal="center" vertical="center"/>
    </xf>
    <xf numFmtId="0" fontId="115" fillId="0" borderId="2" xfId="18" applyFont="1" applyFill="1" applyBorder="1" applyAlignment="1" applyProtection="1">
      <alignment horizontal="left" vertical="center" wrapText="1"/>
    </xf>
    <xf numFmtId="0" fontId="90" fillId="0" borderId="2" xfId="18" applyFont="1" applyFill="1" applyBorder="1" applyAlignment="1" applyProtection="1">
      <alignment horizontal="center" vertical="center" wrapText="1"/>
    </xf>
    <xf numFmtId="0" fontId="21" fillId="0" borderId="0" xfId="18" applyFont="1" applyProtection="1">
      <alignment vertical="center"/>
    </xf>
    <xf numFmtId="0" fontId="26"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Border="1" applyAlignment="1">
      <alignment horizontal="center" vertical="center"/>
    </xf>
    <xf numFmtId="0" fontId="2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88"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3" fillId="0" borderId="0" xfId="13">
      <alignment vertical="center"/>
    </xf>
    <xf numFmtId="0" fontId="159" fillId="0" borderId="0" xfId="13" applyFont="1" applyAlignment="1">
      <alignment vertical="top" wrapText="1"/>
    </xf>
    <xf numFmtId="0" fontId="160" fillId="0" borderId="0" xfId="13" applyFont="1">
      <alignment vertical="center"/>
    </xf>
    <xf numFmtId="0" fontId="133" fillId="0" borderId="1" xfId="0" applyFont="1" applyBorder="1" applyProtection="1">
      <alignment vertical="center"/>
    </xf>
    <xf numFmtId="0" fontId="133" fillId="0" borderId="147" xfId="0" applyFont="1" applyBorder="1" applyProtection="1">
      <alignment vertical="center"/>
    </xf>
    <xf numFmtId="0" fontId="133" fillId="0" borderId="0" xfId="0" applyFont="1" applyBorder="1" applyProtection="1">
      <alignment vertical="center"/>
    </xf>
    <xf numFmtId="0" fontId="133" fillId="0" borderId="0" xfId="19"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2" xfId="19" applyFont="1" applyBorder="1" applyAlignment="1" applyProtection="1">
      <alignment horizontal="left" vertical="center" wrapText="1"/>
    </xf>
    <xf numFmtId="0" fontId="74" fillId="0" borderId="2" xfId="0" applyFont="1" applyBorder="1" applyAlignment="1" applyProtection="1">
      <alignment horizontal="left" vertical="center"/>
    </xf>
    <xf numFmtId="0" fontId="133" fillId="0" borderId="136" xfId="19" applyFont="1" applyBorder="1" applyAlignment="1" applyProtection="1">
      <alignment vertical="center" wrapText="1"/>
    </xf>
    <xf numFmtId="0" fontId="133" fillId="0" borderId="136" xfId="0" applyFont="1" applyBorder="1" applyAlignment="1" applyProtection="1">
      <alignment horizontal="left" vertical="center"/>
    </xf>
    <xf numFmtId="0" fontId="133" fillId="0" borderId="7" xfId="19" applyFont="1" applyBorder="1" applyAlignment="1" applyProtection="1">
      <alignment vertical="center" wrapText="1"/>
    </xf>
    <xf numFmtId="0" fontId="133" fillId="0" borderId="7" xfId="0" applyFont="1" applyBorder="1" applyAlignment="1" applyProtection="1">
      <alignment horizontal="left" vertical="center"/>
    </xf>
    <xf numFmtId="0" fontId="133" fillId="0" borderId="2" xfId="19" applyFont="1" applyBorder="1" applyAlignment="1" applyProtection="1">
      <alignment vertical="center" wrapText="1"/>
    </xf>
    <xf numFmtId="0" fontId="133" fillId="0" borderId="2" xfId="0" applyFont="1" applyBorder="1" applyAlignment="1" applyProtection="1">
      <alignment horizontal="left" vertical="center"/>
    </xf>
    <xf numFmtId="176" fontId="133" fillId="0" borderId="2" xfId="0" applyNumberFormat="1" applyFont="1" applyBorder="1" applyAlignment="1" applyProtection="1">
      <alignment horizontal="left" vertical="center"/>
    </xf>
    <xf numFmtId="0" fontId="133" fillId="0" borderId="16" xfId="19" applyFont="1" applyBorder="1" applyAlignment="1" applyProtection="1">
      <alignment vertical="center" wrapText="1"/>
    </xf>
    <xf numFmtId="14" fontId="133" fillId="0" borderId="16" xfId="0" applyNumberFormat="1" applyFont="1" applyBorder="1" applyAlignment="1" applyProtection="1">
      <alignment horizontal="left" vertical="center"/>
    </xf>
    <xf numFmtId="14" fontId="133" fillId="0" borderId="7" xfId="0" applyNumberFormat="1" applyFont="1" applyBorder="1" applyAlignment="1" applyProtection="1">
      <alignment horizontal="left" vertical="center"/>
    </xf>
    <xf numFmtId="0" fontId="236" fillId="0" borderId="0" xfId="0" applyFont="1" applyAlignment="1">
      <alignment horizontal="left" vertical="center"/>
    </xf>
    <xf numFmtId="185" fontId="1" fillId="0" borderId="167" xfId="0" applyNumberFormat="1" applyFont="1" applyFill="1" applyBorder="1" applyAlignment="1">
      <alignment horizontal="left" vertical="center" wrapText="1"/>
    </xf>
    <xf numFmtId="0" fontId="235" fillId="0" borderId="0" xfId="0" applyFont="1" applyAlignment="1">
      <alignment horizontal="left" vertical="center"/>
    </xf>
    <xf numFmtId="0" fontId="1" fillId="0" borderId="167" xfId="0" applyFont="1" applyFill="1" applyBorder="1" applyAlignment="1">
      <alignment horizontal="left" wrapText="1"/>
    </xf>
    <xf numFmtId="185" fontId="130" fillId="0" borderId="167" xfId="0" applyNumberFormat="1" applyFont="1" applyFill="1" applyBorder="1" applyAlignment="1">
      <alignment horizontal="left" vertical="center" wrapText="1"/>
    </xf>
    <xf numFmtId="0" fontId="129" fillId="0" borderId="167" xfId="0" applyFont="1" applyFill="1" applyBorder="1" applyAlignment="1">
      <alignment horizontal="left" vertical="center" wrapText="1"/>
    </xf>
    <xf numFmtId="31" fontId="1" fillId="0" borderId="0" xfId="0" applyNumberFormat="1" applyFont="1" applyAlignment="1">
      <alignment horizontal="left" vertical="center"/>
    </xf>
    <xf numFmtId="49" fontId="1" fillId="0" borderId="167" xfId="0" applyNumberFormat="1" applyFont="1" applyFill="1" applyBorder="1" applyAlignment="1">
      <alignment horizontal="left" vertical="center" wrapText="1"/>
    </xf>
    <xf numFmtId="185" fontId="130" fillId="0" borderId="167" xfId="0" applyNumberFormat="1" applyFont="1" applyFill="1" applyBorder="1" applyAlignment="1">
      <alignment horizontal="left" wrapText="1"/>
    </xf>
    <xf numFmtId="0" fontId="129" fillId="0" borderId="167" xfId="0" applyFont="1" applyFill="1" applyBorder="1" applyAlignment="1">
      <alignment horizontal="left" wrapText="1"/>
    </xf>
    <xf numFmtId="1" fontId="130" fillId="13" borderId="167" xfId="0" applyNumberFormat="1" applyFont="1" applyFill="1" applyBorder="1" applyAlignment="1">
      <alignment horizontal="left" wrapText="1"/>
    </xf>
    <xf numFmtId="185" fontId="1" fillId="13" borderId="167" xfId="0" applyNumberFormat="1" applyFont="1" applyFill="1" applyBorder="1" applyAlignment="1">
      <alignment horizontal="left" wrapText="1"/>
    </xf>
    <xf numFmtId="14" fontId="1" fillId="0" borderId="0" xfId="0" applyNumberFormat="1" applyFont="1" applyAlignment="1">
      <alignment horizontal="left" vertical="center"/>
    </xf>
    <xf numFmtId="1" fontId="130" fillId="13" borderId="167" xfId="0" applyNumberFormat="1" applyFont="1" applyFill="1" applyBorder="1" applyAlignment="1">
      <alignment horizontal="left" vertical="center" wrapText="1"/>
    </xf>
    <xf numFmtId="185" fontId="130" fillId="13" borderId="167" xfId="0" applyNumberFormat="1" applyFont="1" applyFill="1" applyBorder="1" applyAlignment="1">
      <alignment horizontal="left" vertical="center" wrapText="1"/>
    </xf>
    <xf numFmtId="185" fontId="130" fillId="13" borderId="167" xfId="0" applyNumberFormat="1" applyFont="1" applyFill="1" applyBorder="1" applyAlignment="1">
      <alignment horizontal="left" wrapText="1"/>
    </xf>
    <xf numFmtId="57" fontId="1" fillId="0" borderId="0" xfId="0" applyNumberFormat="1" applyFont="1" applyAlignment="1">
      <alignment horizontal="left" vertical="center"/>
    </xf>
    <xf numFmtId="185" fontId="1" fillId="0" borderId="0" xfId="0" applyNumberFormat="1" applyFont="1" applyAlignment="1">
      <alignment horizontal="left" vertical="center"/>
    </xf>
    <xf numFmtId="49" fontId="1" fillId="0" borderId="0" xfId="0" applyNumberFormat="1" applyFont="1" applyAlignment="1">
      <alignment horizontal="left" vertical="center"/>
    </xf>
    <xf numFmtId="0" fontId="235" fillId="0" borderId="0" xfId="0" applyFont="1" applyAlignment="1">
      <alignment horizontal="left" vertical="center" wrapText="1"/>
    </xf>
    <xf numFmtId="0" fontId="176" fillId="1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56" fillId="2" borderId="65" xfId="0" applyFont="1" applyFill="1" applyBorder="1" applyAlignment="1" applyProtection="1">
      <alignment horizontal="left" vertical="center"/>
    </xf>
    <xf numFmtId="0" fontId="72" fillId="2" borderId="7"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31" fillId="2" borderId="4"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5" fillId="0" borderId="136"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protection locked="0"/>
    </xf>
    <xf numFmtId="58" fontId="72" fillId="0" borderId="136" xfId="0" applyNumberFormat="1" applyFont="1" applyFill="1" applyBorder="1" applyAlignment="1" applyProtection="1">
      <alignment horizontal="center" vertical="center" wrapText="1"/>
      <protection locked="0"/>
    </xf>
    <xf numFmtId="0" fontId="85" fillId="24" borderId="8" xfId="0" applyFont="1" applyFill="1" applyBorder="1" applyAlignment="1" applyProtection="1">
      <alignment horizontal="left" vertical="center"/>
    </xf>
    <xf numFmtId="0" fontId="0" fillId="0" borderId="0" xfId="0" applyProtection="1">
      <alignment vertical="center"/>
      <protection locked="0"/>
    </xf>
    <xf numFmtId="0" fontId="56"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0" fontId="180" fillId="7" borderId="7" xfId="0"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185" fontId="56" fillId="7" borderId="7" xfId="0" applyNumberFormat="1" applyFont="1" applyFill="1" applyBorder="1" applyAlignment="1" applyProtection="1">
      <alignment horizontal="left" vertical="center"/>
      <protection locked="0"/>
    </xf>
    <xf numFmtId="0" fontId="160" fillId="0" borderId="0" xfId="13" applyFont="1" applyAlignment="1" applyProtection="1">
      <alignment horizontal="left" vertical="top" wrapText="1"/>
    </xf>
    <xf numFmtId="0" fontId="76" fillId="0" borderId="12" xfId="18" applyFont="1" applyFill="1" applyBorder="1" applyAlignment="1" applyProtection="1">
      <alignment horizontal="left" vertical="center" wrapText="1"/>
    </xf>
    <xf numFmtId="0" fontId="76" fillId="0" borderId="78" xfId="18" applyFont="1" applyFill="1" applyBorder="1" applyAlignment="1" applyProtection="1">
      <alignment horizontal="left" vertical="center" wrapText="1"/>
    </xf>
    <xf numFmtId="0" fontId="76" fillId="0" borderId="16" xfId="18" applyFont="1" applyFill="1" applyBorder="1" applyAlignment="1" applyProtection="1">
      <alignment horizontal="left" vertical="center" wrapText="1"/>
    </xf>
    <xf numFmtId="0" fontId="76" fillId="0" borderId="12" xfId="18" applyFont="1" applyFill="1" applyBorder="1" applyAlignment="1" applyProtection="1">
      <alignment vertical="center" wrapText="1"/>
    </xf>
    <xf numFmtId="0" fontId="76" fillId="0" borderId="78" xfId="18" applyFont="1" applyFill="1" applyBorder="1" applyAlignment="1" applyProtection="1">
      <alignment vertical="center" wrapText="1"/>
    </xf>
    <xf numFmtId="0" fontId="76" fillId="0" borderId="16" xfId="18" applyFont="1" applyFill="1" applyBorder="1" applyAlignment="1" applyProtection="1">
      <alignment vertical="center" wrapText="1"/>
    </xf>
    <xf numFmtId="0" fontId="76" fillId="0" borderId="134" xfId="18" applyFont="1" applyFill="1" applyBorder="1" applyAlignment="1" applyProtection="1">
      <alignment horizontal="left" vertical="center" wrapText="1"/>
    </xf>
    <xf numFmtId="0" fontId="150" fillId="0" borderId="0" xfId="18" applyFont="1" applyAlignment="1" applyProtection="1">
      <alignment horizontal="left" vertical="center" wrapText="1"/>
    </xf>
    <xf numFmtId="0" fontId="148" fillId="0" borderId="0" xfId="18" applyFont="1" applyAlignment="1" applyProtection="1">
      <alignment horizontal="center" vertical="center"/>
    </xf>
    <xf numFmtId="0" fontId="148" fillId="0" borderId="1" xfId="18"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5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3"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2" fillId="0" borderId="13" xfId="0" applyFont="1" applyBorder="1" applyAlignment="1" applyProtection="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5" xfId="13"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0" borderId="12" xfId="0" applyFont="1" applyFill="1" applyBorder="1" applyAlignment="1" applyProtection="1">
      <alignment horizontal="center" vertical="center" wrapText="1"/>
    </xf>
    <xf numFmtId="0" fontId="56" fillId="20" borderId="146" xfId="0" applyFont="1" applyFill="1" applyBorder="1" applyAlignment="1" applyProtection="1">
      <alignment horizontal="center" vertical="center" wrapText="1"/>
    </xf>
    <xf numFmtId="0" fontId="1" fillId="0" borderId="167" xfId="0" applyFont="1" applyFill="1" applyBorder="1" applyAlignment="1">
      <alignment horizontal="left" vertical="center" wrapText="1"/>
    </xf>
    <xf numFmtId="0" fontId="129" fillId="0" borderId="167" xfId="0" applyFont="1" applyFill="1" applyBorder="1" applyAlignment="1">
      <alignment horizontal="left" vertical="center" wrapText="1"/>
    </xf>
    <xf numFmtId="0" fontId="126" fillId="0" borderId="93" xfId="3" applyFont="1" applyFill="1" applyBorder="1" applyAlignment="1">
      <alignment horizontal="center" vertical="center" wrapText="1"/>
    </xf>
    <xf numFmtId="0" fontId="126" fillId="0" borderId="38" xfId="3" applyFont="1" applyFill="1" applyBorder="1" applyAlignment="1">
      <alignment horizontal="center" vertical="center" wrapText="1"/>
    </xf>
    <xf numFmtId="0" fontId="126" fillId="0" borderId="94" xfId="3" applyFont="1" applyFill="1" applyBorder="1" applyAlignment="1">
      <alignment horizontal="center" vertical="center" wrapText="1"/>
    </xf>
    <xf numFmtId="195" fontId="126" fillId="0" borderId="13" xfId="3" applyNumberFormat="1" applyFont="1" applyFill="1" applyBorder="1" applyAlignment="1">
      <alignment horizontal="center" vertical="center" wrapText="1"/>
    </xf>
    <xf numFmtId="195" fontId="126" fillId="0" borderId="15" xfId="3" applyNumberFormat="1" applyFont="1" applyFill="1" applyBorder="1" applyAlignment="1">
      <alignment horizontal="center" vertical="center" wrapText="1"/>
    </xf>
    <xf numFmtId="195" fontId="126" fillId="0" borderId="14" xfId="3" applyNumberFormat="1" applyFont="1" applyFill="1" applyBorder="1" applyAlignment="1">
      <alignment horizontal="center" vertical="center" wrapText="1"/>
    </xf>
    <xf numFmtId="0" fontId="126" fillId="0" borderId="13" xfId="3" applyFont="1" applyFill="1" applyBorder="1" applyAlignment="1">
      <alignment horizontal="center" vertical="center" wrapText="1"/>
    </xf>
    <xf numFmtId="0" fontId="126" fillId="0" borderId="15" xfId="3" applyFont="1" applyFill="1" applyBorder="1" applyAlignment="1">
      <alignment horizontal="center" vertical="center" wrapText="1"/>
    </xf>
    <xf numFmtId="0" fontId="126" fillId="0" borderId="14" xfId="3" applyFont="1" applyFill="1" applyBorder="1" applyAlignment="1">
      <alignment horizontal="center" vertical="center" wrapText="1"/>
    </xf>
    <xf numFmtId="0" fontId="126" fillId="0" borderId="12" xfId="3" applyFont="1" applyFill="1" applyBorder="1" applyAlignment="1">
      <alignment horizontal="center" vertical="center" wrapText="1"/>
    </xf>
    <xf numFmtId="0" fontId="126" fillId="0" borderId="102" xfId="3" applyFont="1" applyFill="1" applyBorder="1" applyAlignment="1">
      <alignment horizontal="center" vertical="center" wrapText="1"/>
    </xf>
    <xf numFmtId="0" fontId="126" fillId="0" borderId="39" xfId="3" applyFont="1" applyFill="1" applyBorder="1" applyAlignment="1">
      <alignment horizontal="center" vertical="center" wrapText="1"/>
    </xf>
    <xf numFmtId="0" fontId="126" fillId="0" borderId="103" xfId="3" applyFont="1" applyFill="1" applyBorder="1" applyAlignment="1">
      <alignment horizontal="center" vertical="center" wrapText="1"/>
    </xf>
    <xf numFmtId="0" fontId="126" fillId="13" borderId="13" xfId="3" applyFont="1" applyFill="1" applyBorder="1" applyAlignment="1">
      <alignment horizontal="center" vertical="center" wrapText="1"/>
    </xf>
    <xf numFmtId="0" fontId="126" fillId="13" borderId="15" xfId="3" applyFont="1" applyFill="1" applyBorder="1" applyAlignment="1">
      <alignment horizontal="center" vertical="center" wrapText="1"/>
    </xf>
    <xf numFmtId="0" fontId="126" fillId="13" borderId="14" xfId="3" applyFont="1" applyFill="1" applyBorder="1" applyAlignment="1">
      <alignment horizontal="center" vertical="center" wrapText="1"/>
    </xf>
    <xf numFmtId="0" fontId="126" fillId="13" borderId="7" xfId="3" applyFont="1" applyFill="1" applyBorder="1" applyAlignment="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0" borderId="12"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2" fillId="0" borderId="78" xfId="0" applyFont="1" applyBorder="1" applyAlignment="1" applyProtection="1">
      <alignment horizontal="center" vertical="center"/>
      <protection locked="0"/>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56" fillId="2" borderId="15"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193" fontId="111"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104" fillId="2" borderId="7" xfId="0" applyFont="1" applyFill="1" applyBorder="1" applyAlignment="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115" fillId="2" borderId="9"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8" applyFont="1" applyFill="1" applyBorder="1" applyAlignment="1" applyProtection="1">
      <alignment horizontal="right" vertical="center" wrapText="1"/>
      <protection locked="0"/>
    </xf>
    <xf numFmtId="0" fontId="27" fillId="2" borderId="14" xfId="8"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8"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31" fillId="2" borderId="6" xfId="12" applyFont="1" applyFill="1" applyBorder="1" applyAlignment="1" applyProtection="1">
      <alignment horizontal="left" vertical="center" wrapText="1"/>
      <protection locked="0"/>
    </xf>
    <xf numFmtId="0" fontId="19" fillId="2" borderId="68" xfId="12" applyFont="1" applyFill="1" applyBorder="1" applyAlignment="1" applyProtection="1">
      <alignment horizontal="left" vertical="center"/>
      <protection locked="0"/>
    </xf>
    <xf numFmtId="0" fontId="19" fillId="2" borderId="119" xfId="12" applyFont="1" applyFill="1" applyBorder="1" applyAlignment="1" applyProtection="1">
      <alignment horizontal="left" vertical="center"/>
      <protection locked="0"/>
    </xf>
    <xf numFmtId="0" fontId="31" fillId="2" borderId="12" xfId="12" applyFont="1" applyFill="1" applyBorder="1" applyAlignment="1" applyProtection="1">
      <alignment horizontal="left" vertical="center" wrapText="1"/>
      <protection locked="0"/>
    </xf>
    <xf numFmtId="0" fontId="31" fillId="2" borderId="78" xfId="12" applyFont="1" applyFill="1" applyBorder="1" applyAlignment="1" applyProtection="1">
      <alignment horizontal="left" vertical="center" wrapText="1"/>
      <protection locked="0"/>
    </xf>
    <xf numFmtId="0" fontId="31" fillId="2" borderId="16" xfId="12" applyFont="1" applyFill="1" applyBorder="1" applyAlignment="1" applyProtection="1">
      <alignment horizontal="left" vertical="center" wrapText="1"/>
      <protection locked="0"/>
    </xf>
    <xf numFmtId="0" fontId="31" fillId="2" borderId="86" xfId="12" applyFont="1" applyFill="1" applyBorder="1" applyAlignment="1" applyProtection="1">
      <alignment horizontal="left" vertical="center"/>
      <protection locked="0"/>
    </xf>
    <xf numFmtId="0" fontId="31" fillId="2" borderId="14" xfId="12" applyFont="1" applyFill="1" applyBorder="1" applyAlignment="1" applyProtection="1">
      <alignment horizontal="left" vertical="center"/>
      <protection locked="0"/>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0" fontId="31" fillId="2" borderId="75" xfId="12" applyFont="1" applyFill="1" applyBorder="1" applyAlignment="1">
      <alignment horizontal="left" vertical="center"/>
    </xf>
    <xf numFmtId="0" fontId="31" fillId="2" borderId="96" xfId="12" applyFont="1" applyFill="1" applyBorder="1" applyAlignment="1">
      <alignment horizontal="left" vertical="center"/>
    </xf>
    <xf numFmtId="0" fontId="31" fillId="17" borderId="133" xfId="12" applyFont="1" applyFill="1" applyBorder="1" applyAlignment="1" applyProtection="1">
      <alignment vertical="center"/>
      <protection locked="0"/>
    </xf>
    <xf numFmtId="0" fontId="31" fillId="17" borderId="103" xfId="12" applyFont="1" applyFill="1" applyBorder="1" applyAlignment="1" applyProtection="1">
      <alignment vertical="center"/>
      <protection locked="0"/>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0" fontId="19" fillId="2" borderId="132" xfId="12" applyFont="1" applyFill="1" applyBorder="1" applyAlignment="1">
      <alignment horizontal="left" vertical="center"/>
    </xf>
    <xf numFmtId="0" fontId="19" fillId="2" borderId="104" xfId="12" applyFont="1" applyFill="1" applyBorder="1" applyAlignment="1">
      <alignment horizontal="left" vertical="center"/>
    </xf>
    <xf numFmtId="0" fontId="19" fillId="2" borderId="100" xfId="12"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49" fontId="84" fillId="0" borderId="6"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1" fillId="2" borderId="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3"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15" applyNumberFormat="1" applyFont="1" applyAlignment="1" applyProtection="1">
      <alignment horizontal="left" vertical="center"/>
    </xf>
    <xf numFmtId="0" fontId="19" fillId="0" borderId="0" xfId="15" applyNumberFormat="1" applyFont="1" applyAlignment="1" applyProtection="1">
      <alignment horizontal="left" vertical="center"/>
    </xf>
    <xf numFmtId="0" fontId="28" fillId="6" borderId="28" xfId="15" applyFont="1" applyFill="1" applyBorder="1" applyAlignment="1" applyProtection="1">
      <alignment horizontal="left" vertical="center" wrapText="1"/>
    </xf>
    <xf numFmtId="0" fontId="28" fillId="6" borderId="21" xfId="15" applyFont="1" applyFill="1" applyBorder="1" applyAlignment="1" applyProtection="1">
      <alignment horizontal="left" vertical="center" wrapText="1"/>
    </xf>
    <xf numFmtId="0" fontId="28" fillId="6" borderId="27" xfId="15" applyFont="1" applyFill="1" applyBorder="1" applyAlignment="1" applyProtection="1">
      <alignment horizontal="left" vertical="center" wrapText="1"/>
    </xf>
    <xf numFmtId="0" fontId="21" fillId="6" borderId="28" xfId="15" applyFont="1" applyFill="1" applyBorder="1" applyAlignment="1" applyProtection="1">
      <alignment horizontal="left" vertical="center" wrapText="1"/>
    </xf>
    <xf numFmtId="0" fontId="21" fillId="6" borderId="21" xfId="15" applyFont="1" applyFill="1" applyBorder="1" applyAlignment="1" applyProtection="1">
      <alignment horizontal="left" vertical="center" wrapText="1"/>
    </xf>
    <xf numFmtId="0" fontId="21" fillId="6" borderId="27" xfId="15" applyFont="1" applyFill="1" applyBorder="1" applyAlignment="1" applyProtection="1">
      <alignment horizontal="left" vertical="center" wrapText="1"/>
    </xf>
    <xf numFmtId="0" fontId="6" fillId="0" borderId="0" xfId="15" applyFont="1" applyAlignment="1">
      <alignment horizontal="left" vertical="center"/>
    </xf>
    <xf numFmtId="0" fontId="19" fillId="0" borderId="0" xfId="15" applyFont="1" applyAlignment="1">
      <alignment horizontal="left" vertical="center"/>
    </xf>
    <xf numFmtId="0" fontId="28" fillId="6" borderId="25" xfId="15" applyFont="1" applyFill="1" applyBorder="1" applyAlignment="1" applyProtection="1">
      <alignment horizontal="left" vertical="center" wrapText="1"/>
    </xf>
    <xf numFmtId="0" fontId="28" fillId="6" borderId="26" xfId="15" applyFont="1" applyFill="1" applyBorder="1" applyAlignment="1" applyProtection="1">
      <alignment horizontal="left" vertical="center" wrapText="1"/>
    </xf>
    <xf numFmtId="0" fontId="23" fillId="0" borderId="0" xfId="15" applyFont="1" applyAlignment="1">
      <alignment horizontal="left" vertical="center"/>
    </xf>
  </cellXfs>
  <cellStyles count="21">
    <cellStyle name="Normal 2" xfId="3"/>
    <cellStyle name="百分比" xfId="2"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千位分隔" xfId="1" builtinId="3"/>
  </cellStyles>
  <dxfs count="27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cuments/WeChat%20Files/vickycc0312/FileStorage/File/2024-01/&#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5">
          <cell r="AU35"/>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0" customWidth="1"/>
    <col min="2" max="2" width="81" style="3511" customWidth="1"/>
    <col min="3" max="16384" width="9" style="3512"/>
  </cols>
  <sheetData>
    <row r="1" spans="1:2" s="3507" customFormat="1" ht="15.75">
      <c r="A1" s="3513" t="s">
        <v>0</v>
      </c>
      <c r="B1" s="3514" t="s">
        <v>1</v>
      </c>
    </row>
    <row r="2" spans="1:2" s="3508" customFormat="1">
      <c r="A2" s="3515" t="s">
        <v>2</v>
      </c>
      <c r="B2" s="3516" t="str">
        <f>'预评函-封皮'!B37:I37</f>
        <v>北京市兴盛国际房地产抵押价值预评估</v>
      </c>
    </row>
    <row r="3" spans="1:2" s="3509" customFormat="1">
      <c r="A3" s="3517" t="s">
        <v>3</v>
      </c>
      <c r="B3" s="3518">
        <f>'预评函-封皮'!B40</f>
        <v>0</v>
      </c>
    </row>
    <row r="4" spans="1:2" s="3509" customFormat="1">
      <c r="A4" s="3517" t="s">
        <v>4</v>
      </c>
      <c r="B4" s="3518" t="str">
        <f>'预评函-封皮'!B46</f>
        <v>（注册号：0)、（注册号：0)</v>
      </c>
    </row>
    <row r="5" spans="1:2" s="3507" customFormat="1">
      <c r="A5" s="3519" t="s">
        <v>5</v>
      </c>
      <c r="B5" s="3520" t="str">
        <f>'预评函-封皮'!B49</f>
        <v>康正预评字号</v>
      </c>
    </row>
    <row r="6" spans="1:2" s="3508" customFormat="1">
      <c r="A6" s="3515" t="s">
        <v>6</v>
      </c>
      <c r="B6" s="3516" t="str">
        <f>'预评函-1'!A4</f>
        <v>受贵公司委托，我公司对北京市兴盛国际房地产抵押价值进行了预评估。</v>
      </c>
    </row>
    <row r="7" spans="1:2" s="3509" customFormat="1">
      <c r="A7" s="3517" t="s">
        <v>7</v>
      </c>
      <c r="B7" s="3518" t="str">
        <f>'预评函-1'!A7</f>
        <v>估价对象为北京市兴盛国际房地产，为所有。根据《国有土地使用证》[]，估价对象（分摊）出让国有建设用地使用权面积为0平方米，建筑面积为38.93平方米。</v>
      </c>
    </row>
    <row r="8" spans="1:2" s="3509" customFormat="1">
      <c r="A8" s="3517" t="s">
        <v>8</v>
      </c>
      <c r="B8" s="3518" t="str">
        <f>'预评函-1'!A8</f>
        <v>估价对象简述。项目推广名，项目类型（用途），估价对象分布，各用途面积明细情况：XX用途建筑面积XX平方米，XX用途建筑面积XX平方米，……。复杂面积清单需设‘附表’列示：抵押物清单详见附表</v>
      </c>
    </row>
    <row r="9" spans="1:2" s="3509" customFormat="1">
      <c r="A9" s="3517" t="s">
        <v>9</v>
      </c>
      <c r="B9" s="3518" t="str">
        <f>'预评函-1'!A10</f>
        <v>估价对象为北京市兴盛国际房地产,属开发建设的，该项目尚在开发建设中。根据《国有土地使用证》[]，估价对象（分摊）出让国有建设用地使用权面积为0平方米，规划建筑面积为38.93平方米。</v>
      </c>
    </row>
    <row r="10" spans="1:2" s="3509" customFormat="1">
      <c r="A10" s="3517" t="s">
        <v>10</v>
      </c>
      <c r="B10" s="35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9" customFormat="1">
      <c r="A11" s="3517" t="s">
        <v>11</v>
      </c>
      <c r="B11" s="3518" t="str">
        <f>'预评函-1'!A13</f>
        <v>拟使用北京市兴盛国际房地产作为抵押担保物，向办理贷款手续。特委托北京康正宏基房地产评估有限公司对上述抵押物进行评估。本次评估为确定房地产抵押贷款额度提供参考依据而评估房地产抵押价值。</v>
      </c>
    </row>
    <row r="12" spans="1:2" s="3509" customFormat="1">
      <c r="A12" s="3517" t="s">
        <v>12</v>
      </c>
      <c r="B12" s="3518" t="str">
        <f>'预评函-1'!A15</f>
        <v>2024年1月9日</v>
      </c>
    </row>
    <row r="13" spans="1:2" s="3509" customFormat="1">
      <c r="A13" s="3517" t="s">
        <v>13</v>
      </c>
      <c r="B13" s="3518" t="str">
        <f>'预评函-1'!A18</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4" spans="1:2" s="3509" customFormat="1">
      <c r="A14" s="3517" t="s">
        <v>14</v>
      </c>
      <c r="B14" s="35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9" customFormat="1">
      <c r="A15" s="3517" t="s">
        <v>15</v>
      </c>
      <c r="B15" s="3518" t="str">
        <f>'预评函-1'!A20</f>
        <v>本次估价的“房地产抵押价值”是指估价对象在价值时点的“房地产价值”扣减估价师于价值时点所知悉的法定优先受偿款后的余额。</v>
      </c>
    </row>
    <row r="16" spans="1:2" s="3509" customFormat="1">
      <c r="A16" s="3517" t="s">
        <v>16</v>
      </c>
      <c r="B16" s="35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9" customFormat="1">
      <c r="A17" s="3517" t="s">
        <v>17</v>
      </c>
      <c r="B17" s="35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7" customFormat="1">
      <c r="A18" s="3519" t="s">
        <v>18</v>
      </c>
      <c r="B18" s="3520" t="str">
        <f>'预评函-1'!A24</f>
        <v>本次评估采用的主估价方法为比较法和收益法。</v>
      </c>
    </row>
    <row r="19" spans="1:2" s="3508" customFormat="1">
      <c r="A19" s="3515" t="s">
        <v>19</v>
      </c>
      <c r="B19" s="35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9" customFormat="1">
      <c r="A20" s="3517" t="s">
        <v>20</v>
      </c>
      <c r="B20" s="3518">
        <f ca="1">'预评函-2'!D5</f>
        <v>6665</v>
      </c>
    </row>
    <row r="21" spans="1:2" s="3509" customFormat="1">
      <c r="A21" s="3517" t="s">
        <v>21</v>
      </c>
      <c r="B21" s="3518">
        <f ca="1">'预评函-2'!D7</f>
        <v>13946</v>
      </c>
    </row>
    <row r="22" spans="1:2" s="3509" customFormat="1">
      <c r="A22" s="3517" t="s">
        <v>22</v>
      </c>
      <c r="B22" s="3518" t="str">
        <f ca="1">'预评函-2'!D6</f>
        <v>陆仟陆佰陆拾伍万元整</v>
      </c>
    </row>
    <row r="23" spans="1:2" s="3509" customFormat="1">
      <c r="A23" s="3517" t="s">
        <v>23</v>
      </c>
      <c r="B23" s="3518" t="str">
        <f>'预评函-2'!B8</f>
        <v>2.估价师知悉的法定优先受偿款</v>
      </c>
    </row>
    <row r="24" spans="1:2" s="3509" customFormat="1">
      <c r="A24" s="3517" t="s">
        <v>24</v>
      </c>
      <c r="B24" s="3518">
        <f>'预评函-2'!D8</f>
        <v>0</v>
      </c>
    </row>
    <row r="25" spans="1:2" s="3509" customFormat="1">
      <c r="A25" s="3517" t="s">
        <v>25</v>
      </c>
      <c r="B25" s="3518" t="str">
        <f>'预评函-2'!D9</f>
        <v>零元整</v>
      </c>
    </row>
    <row r="26" spans="1:2" s="3509" customFormat="1">
      <c r="A26" s="3517" t="s">
        <v>26</v>
      </c>
      <c r="B26" s="3518">
        <f>'预评函-2'!D10</f>
        <v>0</v>
      </c>
    </row>
    <row r="27" spans="1:2" s="3509" customFormat="1">
      <c r="A27" s="3517" t="s">
        <v>27</v>
      </c>
      <c r="B27" s="3518">
        <f>'预评函-2'!D11</f>
        <v>0</v>
      </c>
    </row>
    <row r="28" spans="1:2" s="3509" customFormat="1">
      <c r="A28" s="3517" t="s">
        <v>28</v>
      </c>
      <c r="B28" s="3518">
        <f>'预评函-2'!D12</f>
        <v>0</v>
      </c>
    </row>
    <row r="29" spans="1:2" s="3509" customFormat="1">
      <c r="A29" s="3517" t="s">
        <v>29</v>
      </c>
      <c r="B29" s="3518" t="str">
        <f>'预评函-2'!B13</f>
        <v>3.房地产抵押价值</v>
      </c>
    </row>
    <row r="30" spans="1:2" s="3509" customFormat="1">
      <c r="A30" s="3517" t="s">
        <v>30</v>
      </c>
      <c r="B30" s="3518">
        <f ca="1">'预评函-2'!D13</f>
        <v>6665</v>
      </c>
    </row>
    <row r="31" spans="1:2" s="3509" customFormat="1">
      <c r="A31" s="3517" t="s">
        <v>31</v>
      </c>
      <c r="B31" s="3518">
        <f ca="1">'预评函-2'!D15</f>
        <v>13946</v>
      </c>
    </row>
    <row r="32" spans="1:2" s="3509" customFormat="1">
      <c r="A32" s="3517" t="s">
        <v>32</v>
      </c>
      <c r="B32" s="3518" t="str">
        <f ca="1">'预评函-2'!D14</f>
        <v>陆仟陆佰陆拾伍万元整</v>
      </c>
    </row>
    <row r="33" spans="1:2" s="3509" customFormat="1">
      <c r="A33" s="3517" t="s">
        <v>33</v>
      </c>
      <c r="B33" s="3518" t="str">
        <f>'预评函-2'!B16</f>
        <v>——</v>
      </c>
    </row>
    <row r="34" spans="1:2" s="3509" customFormat="1">
      <c r="A34" s="3517" t="s">
        <v>34</v>
      </c>
      <c r="B34" s="3518" t="str">
        <f>'预评函-2'!D16</f>
        <v>——</v>
      </c>
    </row>
    <row r="35" spans="1:2" s="3509" customFormat="1">
      <c r="A35" s="3517" t="s">
        <v>35</v>
      </c>
      <c r="B35" s="3518" t="str">
        <f>'预评函-2'!D18</f>
        <v>——</v>
      </c>
    </row>
    <row r="36" spans="1:2" s="3509" customFormat="1">
      <c r="A36" s="3517" t="s">
        <v>36</v>
      </c>
      <c r="B36" s="3518" t="e">
        <f>'预评函-2'!D17</f>
        <v>#VALUE!</v>
      </c>
    </row>
    <row r="37" spans="1:2" s="3509" customFormat="1">
      <c r="A37" s="3517" t="s">
        <v>37</v>
      </c>
      <c r="B37" s="3518" t="str">
        <f>'预评函-2'!B19</f>
        <v>4.抵押净值</v>
      </c>
    </row>
    <row r="38" spans="1:2" s="3509" customFormat="1">
      <c r="A38" s="3517" t="s">
        <v>38</v>
      </c>
      <c r="B38" s="3518">
        <f ca="1">'预评函-2'!D19</f>
        <v>6464</v>
      </c>
    </row>
    <row r="39" spans="1:2" s="3509" customFormat="1">
      <c r="A39" s="3517" t="s">
        <v>39</v>
      </c>
      <c r="B39" s="3518">
        <f ca="1">'预评函-2'!D21</f>
        <v>1660416</v>
      </c>
    </row>
    <row r="40" spans="1:2" s="3509" customFormat="1">
      <c r="A40" s="3517" t="s">
        <v>40</v>
      </c>
      <c r="B40" s="3518" t="str">
        <f ca="1">'预评函-2'!D20</f>
        <v>陆仟肆佰陆拾肆万元整</v>
      </c>
    </row>
    <row r="41" spans="1:2" s="3509" customFormat="1">
      <c r="A41" s="3517" t="s">
        <v>41</v>
      </c>
      <c r="B41" s="3518" t="str">
        <f>'预评函-3'!A4</f>
        <v>北京市兴盛国际房地产</v>
      </c>
    </row>
    <row r="42" spans="1:2" s="3509" customFormat="1">
      <c r="A42" s="3517" t="s">
        <v>42</v>
      </c>
      <c r="B42" s="3518" t="str">
        <f>'预评函-3'!B2</f>
        <v>建筑面积</v>
      </c>
    </row>
    <row r="43" spans="1:2" s="3509" customFormat="1">
      <c r="A43" s="3517" t="s">
        <v>43</v>
      </c>
      <c r="B43" s="3518">
        <f>'预评函-3'!B4</f>
        <v>38.93</v>
      </c>
    </row>
    <row r="44" spans="1:2" s="3509" customFormat="1">
      <c r="A44" s="3517" t="s">
        <v>44</v>
      </c>
      <c r="B44" s="3518" t="str">
        <f>'预评函-3'!C2</f>
        <v>(分摊)土地面积</v>
      </c>
    </row>
    <row r="45" spans="1:2" s="3509" customFormat="1">
      <c r="A45" s="3517" t="s">
        <v>45</v>
      </c>
      <c r="B45" s="3518">
        <f>'预评函-3'!C4</f>
        <v>0</v>
      </c>
    </row>
    <row r="46" spans="1:2" s="3509" customFormat="1">
      <c r="A46" s="3517" t="s">
        <v>46</v>
      </c>
      <c r="B46" s="3518" t="str">
        <f>'预评函-3'!D2</f>
        <v>出让国有建设用地使用权价值</v>
      </c>
    </row>
    <row r="47" spans="1:2" s="3509" customFormat="1">
      <c r="A47" s="3517" t="s">
        <v>47</v>
      </c>
      <c r="B47" s="3518">
        <f>'预评函-3'!D4</f>
        <v>0</v>
      </c>
    </row>
    <row r="48" spans="1:2" s="3509" customFormat="1">
      <c r="A48" s="3517" t="s">
        <v>48</v>
      </c>
      <c r="B48" s="3518">
        <f>'预评函-3'!E4</f>
        <v>0</v>
      </c>
    </row>
    <row r="49" spans="1:2" s="3509" customFormat="1">
      <c r="A49" s="3517" t="s">
        <v>49</v>
      </c>
      <c r="B49" s="3518" t="str">
        <f>'预评函-3'!D5</f>
        <v>零元整</v>
      </c>
    </row>
    <row r="50" spans="1:2" s="3509" customFormat="1">
      <c r="A50" s="3517" t="s">
        <v>50</v>
      </c>
      <c r="B50" s="3518" t="str">
        <f>'预评函-3'!F2</f>
        <v>在建建筑物价值</v>
      </c>
    </row>
    <row r="51" spans="1:2" s="3509" customFormat="1">
      <c r="A51" s="3517" t="s">
        <v>51</v>
      </c>
      <c r="B51" s="3518">
        <f>'预评函-3'!F4</f>
        <v>0</v>
      </c>
    </row>
    <row r="52" spans="1:2" s="3509" customFormat="1">
      <c r="A52" s="3517" t="s">
        <v>52</v>
      </c>
      <c r="B52" s="3518">
        <f>'预评函-3'!G4</f>
        <v>0</v>
      </c>
    </row>
    <row r="53" spans="1:2" s="3509" customFormat="1">
      <c r="A53" s="3517" t="s">
        <v>53</v>
      </c>
      <c r="B53" s="3518" t="str">
        <f>'预评函-3'!F5</f>
        <v>零元整</v>
      </c>
    </row>
    <row r="54" spans="1:2" s="3509" customFormat="1">
      <c r="A54" s="3517" t="s">
        <v>54</v>
      </c>
      <c r="B54" s="3518" t="str">
        <f>'预评函-3'!A8</f>
        <v>房地产抵押价值</v>
      </c>
    </row>
    <row r="55" spans="1:2" s="3509" customFormat="1">
      <c r="A55" s="3517" t="s">
        <v>55</v>
      </c>
      <c r="B55" s="3518" t="str">
        <f>'预评函-3'!A10</f>
        <v/>
      </c>
    </row>
    <row r="56" spans="1:2" s="3509" customFormat="1">
      <c r="A56" s="3517" t="s">
        <v>56</v>
      </c>
      <c r="B56" s="3518" t="str">
        <f>'预评函-3'!A12</f>
        <v>抵押净值</v>
      </c>
    </row>
    <row r="57" spans="1:2" s="3507" customFormat="1">
      <c r="A57" s="3519" t="s">
        <v>57</v>
      </c>
      <c r="B57" s="3520" t="str">
        <f>'预评函-3'!A6</f>
        <v>估价师知悉的法定优先受偿款</v>
      </c>
    </row>
    <row r="58" spans="1:2" s="3508" customFormat="1">
      <c r="A58" s="3515" t="s">
        <v>58</v>
      </c>
      <c r="B58" s="3516" t="str">
        <f>'预评函-4'!A12</f>
        <v>2.本《评估意见函》仅供金融机构进行内部审核使用，不做其他目的之用。</v>
      </c>
    </row>
    <row r="59" spans="1:2" s="3509" customFormat="1">
      <c r="A59" s="3517" t="s">
        <v>59</v>
      </c>
      <c r="B59" s="3518" t="str">
        <f>'预评函-4'!A13</f>
        <v>3.抵押双方在办理抵押登记手续时，应使用本公司出具的正式《房地产评估报告》，特提醒报告使用者注意。</v>
      </c>
    </row>
    <row r="60" spans="1:2" s="3509" customFormat="1">
      <c r="A60" s="3517" t="s">
        <v>60</v>
      </c>
      <c r="B60" s="3518" t="str">
        <f>'预评函-4'!A14</f>
        <v>4.本次评估估价师所知悉的法定优先受偿款情况说明如下：</v>
      </c>
    </row>
    <row r="61" spans="1:2" s="3509" customFormat="1">
      <c r="A61" s="3517" t="s">
        <v>61</v>
      </c>
      <c r="B61" s="35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9" customFormat="1">
      <c r="A62" s="3517" t="s">
        <v>62</v>
      </c>
      <c r="B62" s="3518" t="str">
        <f>'预评函-4'!A16</f>
        <v>（2）根据《工程款支付情况说明》，截至价值时点，估价对象不存在应付未付工程款项。（只要没有施工方盖章的，均“设定”进行表述）</v>
      </c>
    </row>
    <row r="63" spans="1:2" s="3509" customFormat="1">
      <c r="A63" s="3517" t="s">
        <v>63</v>
      </c>
      <c r="B63" s="35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9" customFormat="1">
      <c r="A64" s="3517" t="s">
        <v>64</v>
      </c>
      <c r="B64" s="3518" t="str">
        <f>'预评函-4'!A18</f>
        <v>故，本次评估不存在估价师知悉的法定优先受偿款</v>
      </c>
    </row>
    <row r="65" spans="1:2" s="3509" customFormat="1">
      <c r="A65" s="3517" t="s">
        <v>65</v>
      </c>
      <c r="B65" s="35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9" customFormat="1">
      <c r="A66" s="3517" t="s">
        <v>66</v>
      </c>
      <c r="B66" s="35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9" customFormat="1">
      <c r="A67" s="3517" t="s">
        <v>67</v>
      </c>
      <c r="B67" s="35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9" customFormat="1">
      <c r="A68" s="3517" t="s">
        <v>68</v>
      </c>
      <c r="B68" s="3518" t="str">
        <f>'预评函-4'!A22</f>
        <v>8.其他需特殊说明事项：无（注意调整序号）</v>
      </c>
    </row>
    <row r="69" spans="1:2" s="3507" customFormat="1">
      <c r="A69" s="3519" t="s">
        <v>69</v>
      </c>
      <c r="B69" s="3521">
        <f>'预评函-4'!C31</f>
        <v>42551</v>
      </c>
    </row>
    <row r="70" spans="1:2">
      <c r="A70" s="3522" t="s">
        <v>70</v>
      </c>
      <c r="B70" s="3523">
        <f>'预评函-4'!A4</f>
        <v>0</v>
      </c>
    </row>
    <row r="71" spans="1:2">
      <c r="A71" s="3517" t="s">
        <v>71</v>
      </c>
      <c r="B71" s="3518">
        <f>'预评函-4'!B4</f>
        <v>0</v>
      </c>
    </row>
    <row r="72" spans="1:2">
      <c r="A72" s="3517" t="s">
        <v>72</v>
      </c>
      <c r="B72" s="3524">
        <f>'预评函-4'!A5</f>
        <v>0</v>
      </c>
    </row>
    <row r="73" spans="1:2" s="3507" customFormat="1">
      <c r="A73" s="3519" t="s">
        <v>73</v>
      </c>
      <c r="B73" s="3520">
        <f>'预评函-4'!B5</f>
        <v>0</v>
      </c>
    </row>
    <row r="74" spans="1:2">
      <c r="A74" s="3510" t="s">
        <v>74</v>
      </c>
      <c r="B74" s="3511"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2" sqref="I32"/>
    </sheetView>
  </sheetViews>
  <sheetFormatPr defaultColWidth="9" defaultRowHeight="13.5"/>
  <cols>
    <col min="1" max="1" width="13.5" style="3385" customWidth="1"/>
    <col min="2" max="2" width="23.25" style="3386" customWidth="1"/>
    <col min="3" max="3" width="13" style="3387" customWidth="1"/>
    <col min="4" max="4" width="5.75" style="3388" customWidth="1"/>
    <col min="5" max="5" width="7.125" style="3388" customWidth="1"/>
    <col min="6" max="6" width="10.625" style="3388" customWidth="1"/>
    <col min="7" max="7" width="7.5" style="3388" customWidth="1"/>
    <col min="8" max="8" width="11.875" style="3387" customWidth="1"/>
    <col min="9" max="9" width="11.625" style="3387" customWidth="1"/>
    <col min="10" max="10" width="9" style="3387" customWidth="1"/>
    <col min="11" max="19" width="9" style="3388" customWidth="1"/>
    <col min="20" max="23" width="9" style="3387" customWidth="1"/>
    <col min="24" max="24" width="21.125" style="3386" customWidth="1"/>
    <col min="25" max="16384" width="9" style="3386"/>
  </cols>
  <sheetData>
    <row r="1" spans="1:23" s="3384" customFormat="1" ht="40.5">
      <c r="A1" s="3389" t="s">
        <v>206</v>
      </c>
      <c r="B1" s="3390" t="s">
        <v>207</v>
      </c>
      <c r="C1" s="3391" t="s">
        <v>208</v>
      </c>
      <c r="D1" s="3392" t="s">
        <v>209</v>
      </c>
      <c r="E1" s="3393" t="s">
        <v>210</v>
      </c>
      <c r="F1" s="3393" t="s">
        <v>211</v>
      </c>
      <c r="G1" s="3393" t="s">
        <v>212</v>
      </c>
      <c r="H1" s="3393" t="s">
        <v>213</v>
      </c>
      <c r="I1" s="3393" t="s">
        <v>214</v>
      </c>
      <c r="J1" s="3393" t="s">
        <v>215</v>
      </c>
      <c r="K1" s="3393" t="s">
        <v>216</v>
      </c>
      <c r="L1" s="3393" t="s">
        <v>217</v>
      </c>
      <c r="M1" s="3393" t="s">
        <v>218</v>
      </c>
      <c r="N1" s="3393" t="s">
        <v>219</v>
      </c>
      <c r="O1" s="3393" t="s">
        <v>220</v>
      </c>
      <c r="P1" s="3392" t="s">
        <v>221</v>
      </c>
      <c r="Q1" s="3392" t="s">
        <v>222</v>
      </c>
      <c r="R1" s="3393" t="s">
        <v>223</v>
      </c>
      <c r="S1" s="3393" t="s">
        <v>224</v>
      </c>
      <c r="T1" s="3402" t="s">
        <v>225</v>
      </c>
      <c r="U1" s="3393" t="s">
        <v>226</v>
      </c>
      <c r="V1" s="3393" t="s">
        <v>227</v>
      </c>
      <c r="W1" s="3393" t="s">
        <v>228</v>
      </c>
    </row>
    <row r="2" spans="1:23">
      <c r="A2" s="3394" t="s">
        <v>124</v>
      </c>
      <c r="B2" s="3394" t="s">
        <v>229</v>
      </c>
      <c r="C2" s="3395" t="s">
        <v>230</v>
      </c>
      <c r="D2" s="3388" t="s">
        <v>231</v>
      </c>
      <c r="E2" s="3388" t="s">
        <v>232</v>
      </c>
      <c r="F2" s="3388" t="s">
        <v>159</v>
      </c>
      <c r="G2" s="3388">
        <v>20</v>
      </c>
      <c r="H2" s="3388" t="s">
        <v>159</v>
      </c>
      <c r="I2" s="3388" t="s">
        <v>233</v>
      </c>
      <c r="J2" s="3388" t="s">
        <v>234</v>
      </c>
      <c r="K2" s="3388" t="s">
        <v>235</v>
      </c>
      <c r="L2" s="3388" t="s">
        <v>235</v>
      </c>
      <c r="M2" s="3388" t="s">
        <v>235</v>
      </c>
      <c r="N2" s="3388" t="s">
        <v>235</v>
      </c>
      <c r="O2" s="3388" t="s">
        <v>235</v>
      </c>
      <c r="P2" s="3388" t="s">
        <v>235</v>
      </c>
      <c r="Q2" s="3388" t="s">
        <v>235</v>
      </c>
      <c r="R2" s="3388" t="s">
        <v>236</v>
      </c>
      <c r="S2" s="3388" t="s">
        <v>235</v>
      </c>
      <c r="T2" s="3388" t="s">
        <v>237</v>
      </c>
      <c r="U2" s="3388" t="s">
        <v>235</v>
      </c>
      <c r="V2" s="3388" t="s">
        <v>238</v>
      </c>
      <c r="W2" s="3388" t="s">
        <v>235</v>
      </c>
    </row>
    <row r="3" spans="1:23">
      <c r="A3" s="3394" t="s">
        <v>239</v>
      </c>
      <c r="B3" s="3396" t="s">
        <v>240</v>
      </c>
      <c r="C3" s="3397" t="s">
        <v>241</v>
      </c>
      <c r="D3" s="3388" t="s">
        <v>242</v>
      </c>
      <c r="E3" s="3388" t="s">
        <v>124</v>
      </c>
      <c r="F3" s="3388" t="s">
        <v>160</v>
      </c>
      <c r="G3" s="3388">
        <v>40</v>
      </c>
      <c r="H3" s="3388" t="s">
        <v>160</v>
      </c>
      <c r="I3" s="3388" t="s">
        <v>243</v>
      </c>
      <c r="J3" s="3388" t="s">
        <v>244</v>
      </c>
      <c r="K3" s="3388" t="s">
        <v>245</v>
      </c>
      <c r="L3" s="3388" t="s">
        <v>245</v>
      </c>
      <c r="M3" s="3388" t="s">
        <v>245</v>
      </c>
      <c r="N3" s="3388" t="s">
        <v>245</v>
      </c>
      <c r="O3" s="3388" t="s">
        <v>245</v>
      </c>
      <c r="P3" s="3388" t="s">
        <v>245</v>
      </c>
      <c r="Q3" s="3388" t="s">
        <v>245</v>
      </c>
      <c r="R3" s="3388" t="s">
        <v>246</v>
      </c>
      <c r="S3" s="3388" t="s">
        <v>245</v>
      </c>
      <c r="T3" s="3388" t="s">
        <v>247</v>
      </c>
      <c r="U3" s="3388" t="s">
        <v>245</v>
      </c>
      <c r="V3" s="3388" t="s">
        <v>248</v>
      </c>
      <c r="W3" s="3388" t="s">
        <v>245</v>
      </c>
    </row>
    <row r="4" spans="1:23">
      <c r="A4" s="3394" t="s">
        <v>249</v>
      </c>
      <c r="B4" s="3394" t="s">
        <v>250</v>
      </c>
      <c r="C4" s="3395" t="s">
        <v>251</v>
      </c>
      <c r="D4" s="3388" t="s">
        <v>124</v>
      </c>
      <c r="E4" s="3388" t="s">
        <v>252</v>
      </c>
      <c r="F4" s="3388" t="s">
        <v>161</v>
      </c>
      <c r="G4" s="3388">
        <v>50</v>
      </c>
      <c r="H4" s="3388" t="s">
        <v>161</v>
      </c>
      <c r="I4" s="3388" t="s">
        <v>253</v>
      </c>
      <c r="K4" s="3388" t="s">
        <v>254</v>
      </c>
      <c r="L4" s="3388" t="s">
        <v>254</v>
      </c>
      <c r="M4" s="3388" t="s">
        <v>254</v>
      </c>
      <c r="N4" s="3388" t="s">
        <v>254</v>
      </c>
      <c r="O4" s="3388" t="s">
        <v>254</v>
      </c>
      <c r="P4" s="3388" t="s">
        <v>254</v>
      </c>
      <c r="Q4" s="3388" t="s">
        <v>254</v>
      </c>
      <c r="R4" s="3388" t="s">
        <v>255</v>
      </c>
      <c r="S4" s="3388" t="s">
        <v>254</v>
      </c>
      <c r="T4" s="3388" t="s">
        <v>256</v>
      </c>
      <c r="U4" s="3388" t="s">
        <v>254</v>
      </c>
      <c r="W4" s="3388" t="s">
        <v>254</v>
      </c>
    </row>
    <row r="5" spans="1:23">
      <c r="A5" s="3394" t="s">
        <v>257</v>
      </c>
      <c r="B5" s="3396" t="s">
        <v>258</v>
      </c>
      <c r="C5" s="3395" t="s">
        <v>259</v>
      </c>
      <c r="F5" s="3388" t="s">
        <v>162</v>
      </c>
      <c r="G5" s="3388">
        <v>70</v>
      </c>
      <c r="H5" s="3388" t="s">
        <v>260</v>
      </c>
      <c r="I5" s="3388" t="s">
        <v>261</v>
      </c>
      <c r="K5" s="3388" t="s">
        <v>262</v>
      </c>
      <c r="L5" s="3388" t="s">
        <v>262</v>
      </c>
      <c r="M5" s="3388" t="s">
        <v>262</v>
      </c>
      <c r="N5" s="3388" t="s">
        <v>262</v>
      </c>
      <c r="O5" s="3388" t="s">
        <v>262</v>
      </c>
      <c r="P5" s="3388" t="s">
        <v>262</v>
      </c>
      <c r="Q5" s="3388" t="s">
        <v>262</v>
      </c>
      <c r="R5" s="3388" t="s">
        <v>263</v>
      </c>
      <c r="S5" s="3388" t="s">
        <v>262</v>
      </c>
      <c r="T5" s="3388" t="s">
        <v>264</v>
      </c>
      <c r="U5" s="3388" t="s">
        <v>262</v>
      </c>
      <c r="W5" s="3388" t="s">
        <v>262</v>
      </c>
    </row>
    <row r="6" spans="1:23">
      <c r="A6" s="3394" t="s">
        <v>265</v>
      </c>
      <c r="B6" s="3396" t="s">
        <v>3390</v>
      </c>
      <c r="C6" s="3398" t="s">
        <v>266</v>
      </c>
      <c r="F6" s="3388" t="s">
        <v>260</v>
      </c>
      <c r="H6" s="3388" t="s">
        <v>164</v>
      </c>
      <c r="I6" s="3388" t="s">
        <v>267</v>
      </c>
      <c r="K6" s="3388" t="s">
        <v>268</v>
      </c>
      <c r="L6" s="3388" t="s">
        <v>268</v>
      </c>
      <c r="M6" s="3388" t="s">
        <v>268</v>
      </c>
      <c r="N6" s="3388" t="s">
        <v>268</v>
      </c>
      <c r="O6" s="3388" t="s">
        <v>268</v>
      </c>
      <c r="P6" s="3388" t="s">
        <v>268</v>
      </c>
      <c r="Q6" s="3388" t="s">
        <v>268</v>
      </c>
      <c r="R6" s="3388" t="s">
        <v>269</v>
      </c>
      <c r="S6" s="3388" t="s">
        <v>268</v>
      </c>
      <c r="T6" s="3388"/>
      <c r="U6" s="3388" t="s">
        <v>268</v>
      </c>
      <c r="W6" s="3388" t="s">
        <v>268</v>
      </c>
    </row>
    <row r="7" spans="1:23">
      <c r="A7" s="3394" t="s">
        <v>270</v>
      </c>
      <c r="B7" s="3396" t="s">
        <v>271</v>
      </c>
      <c r="C7" s="3395" t="s">
        <v>272</v>
      </c>
      <c r="F7" s="3388" t="s">
        <v>273</v>
      </c>
      <c r="H7" s="3388" t="s">
        <v>162</v>
      </c>
      <c r="I7" s="3388" t="s">
        <v>274</v>
      </c>
    </row>
    <row r="8" spans="1:23">
      <c r="A8" s="3394" t="s">
        <v>275</v>
      </c>
      <c r="B8" s="3394" t="s">
        <v>276</v>
      </c>
      <c r="C8" s="3395" t="s">
        <v>277</v>
      </c>
      <c r="F8" s="3388" t="s">
        <v>278</v>
      </c>
      <c r="H8" s="3388" t="s">
        <v>279</v>
      </c>
      <c r="I8" s="3388" t="s">
        <v>280</v>
      </c>
    </row>
    <row r="9" spans="1:23">
      <c r="A9" s="3394" t="s">
        <v>281</v>
      </c>
      <c r="B9" s="3394" t="s">
        <v>282</v>
      </c>
      <c r="C9" s="3395" t="s">
        <v>283</v>
      </c>
      <c r="F9" s="3388" t="s">
        <v>164</v>
      </c>
      <c r="H9" s="3388"/>
      <c r="I9" s="3387" t="s">
        <v>284</v>
      </c>
    </row>
    <row r="10" spans="1:23">
      <c r="A10" s="3394" t="s">
        <v>285</v>
      </c>
      <c r="B10" s="3394" t="s">
        <v>286</v>
      </c>
      <c r="C10" s="3395" t="s">
        <v>287</v>
      </c>
      <c r="F10" s="3388" t="s">
        <v>279</v>
      </c>
      <c r="I10" s="3387" t="s">
        <v>288</v>
      </c>
    </row>
    <row r="11" spans="1:23">
      <c r="A11" s="3394" t="s">
        <v>289</v>
      </c>
      <c r="B11" s="3394" t="s">
        <v>290</v>
      </c>
      <c r="C11" s="3395" t="s">
        <v>291</v>
      </c>
      <c r="F11" s="3388" t="s">
        <v>124</v>
      </c>
      <c r="I11" s="3387" t="s">
        <v>292</v>
      </c>
    </row>
    <row r="12" spans="1:23">
      <c r="A12" s="3394" t="s">
        <v>293</v>
      </c>
      <c r="B12" s="3394" t="s">
        <v>294</v>
      </c>
      <c r="C12" s="3395" t="s">
        <v>295</v>
      </c>
      <c r="I12" s="3387" t="s">
        <v>296</v>
      </c>
    </row>
    <row r="13" spans="1:23">
      <c r="A13" s="3394" t="s">
        <v>297</v>
      </c>
      <c r="B13" s="3394" t="s">
        <v>298</v>
      </c>
      <c r="C13" s="3395" t="s">
        <v>299</v>
      </c>
      <c r="I13" s="3387" t="s">
        <v>300</v>
      </c>
    </row>
    <row r="14" spans="1:23">
      <c r="A14" s="3394" t="s">
        <v>301</v>
      </c>
      <c r="B14" s="3394" t="s">
        <v>302</v>
      </c>
      <c r="C14" s="3388" t="s">
        <v>124</v>
      </c>
      <c r="I14" s="3387" t="s">
        <v>303</v>
      </c>
    </row>
    <row r="15" spans="1:23">
      <c r="A15" s="3394" t="s">
        <v>304</v>
      </c>
      <c r="B15" s="3394" t="s">
        <v>305</v>
      </c>
      <c r="C15" s="3395"/>
      <c r="I15" s="3387" t="s">
        <v>306</v>
      </c>
    </row>
    <row r="16" spans="1:23">
      <c r="A16" s="3394" t="s">
        <v>307</v>
      </c>
      <c r="B16" s="3394" t="s">
        <v>308</v>
      </c>
      <c r="C16" s="3395"/>
    </row>
    <row r="17" spans="1:3">
      <c r="A17" s="3394" t="s">
        <v>309</v>
      </c>
      <c r="B17" s="3394" t="s">
        <v>310</v>
      </c>
      <c r="C17" s="3395"/>
    </row>
    <row r="18" spans="1:3">
      <c r="A18" s="3394" t="s">
        <v>311</v>
      </c>
      <c r="B18" s="3394" t="s">
        <v>312</v>
      </c>
      <c r="C18" s="3395"/>
    </row>
    <row r="19" spans="1:3">
      <c r="A19" s="3394" t="s">
        <v>313</v>
      </c>
      <c r="B19" s="3394" t="s">
        <v>314</v>
      </c>
      <c r="C19" s="3395"/>
    </row>
    <row r="20" spans="1:3">
      <c r="A20" s="3394" t="s">
        <v>315</v>
      </c>
      <c r="B20" s="3396" t="s">
        <v>316</v>
      </c>
      <c r="C20" s="3395"/>
    </row>
    <row r="21" spans="1:3">
      <c r="A21" s="3394" t="s">
        <v>260</v>
      </c>
      <c r="B21" s="3396" t="s">
        <v>3384</v>
      </c>
      <c r="C21" s="3395"/>
    </row>
    <row r="22" spans="1:3">
      <c r="A22" s="3394" t="s">
        <v>318</v>
      </c>
      <c r="B22" s="3394" t="s">
        <v>317</v>
      </c>
      <c r="C22" s="3395"/>
    </row>
    <row r="23" spans="1:3">
      <c r="A23" s="3394" t="s">
        <v>319</v>
      </c>
      <c r="B23" s="3394" t="s">
        <v>317</v>
      </c>
      <c r="C23" s="3395"/>
    </row>
    <row r="24" spans="1:3">
      <c r="A24" s="3394" t="s">
        <v>320</v>
      </c>
      <c r="B24" s="3394" t="s">
        <v>317</v>
      </c>
      <c r="C24" s="3395"/>
    </row>
    <row r="25" spans="1:3">
      <c r="A25" s="3394" t="s">
        <v>321</v>
      </c>
      <c r="B25" s="3394" t="s">
        <v>317</v>
      </c>
      <c r="C25" s="3395"/>
    </row>
    <row r="26" spans="1:3">
      <c r="A26" s="3394" t="s">
        <v>322</v>
      </c>
      <c r="B26" s="3394" t="s">
        <v>317</v>
      </c>
      <c r="C26" s="3395"/>
    </row>
    <row r="27" spans="1:3">
      <c r="A27" s="3394" t="s">
        <v>317</v>
      </c>
      <c r="B27" s="3394" t="s">
        <v>317</v>
      </c>
      <c r="C27" s="3395"/>
    </row>
    <row r="28" spans="1:3">
      <c r="A28" s="3394" t="s">
        <v>317</v>
      </c>
      <c r="B28" s="3394" t="s">
        <v>317</v>
      </c>
      <c r="C28" s="3395"/>
    </row>
    <row r="29" spans="1:3">
      <c r="A29" s="3394" t="s">
        <v>317</v>
      </c>
      <c r="B29" s="3394" t="s">
        <v>317</v>
      </c>
      <c r="C29" s="3395"/>
    </row>
    <row r="30" spans="1:3">
      <c r="A30" s="3394" t="s">
        <v>317</v>
      </c>
      <c r="B30" s="3394" t="s">
        <v>317</v>
      </c>
      <c r="C30" s="3395"/>
    </row>
    <row r="31" spans="1:3">
      <c r="A31" s="3394" t="s">
        <v>317</v>
      </c>
      <c r="B31" s="3394" t="s">
        <v>317</v>
      </c>
      <c r="C31" s="3395"/>
    </row>
    <row r="32" spans="1:3">
      <c r="A32" s="3394" t="s">
        <v>317</v>
      </c>
      <c r="B32" s="3394" t="s">
        <v>317</v>
      </c>
      <c r="C32" s="3395"/>
    </row>
    <row r="33" spans="1:3">
      <c r="A33" s="3394" t="s">
        <v>317</v>
      </c>
      <c r="B33" s="3394" t="s">
        <v>317</v>
      </c>
      <c r="C33" s="3395"/>
    </row>
    <row r="34" spans="1:3">
      <c r="A34" s="3394" t="s">
        <v>317</v>
      </c>
      <c r="B34" s="3394" t="s">
        <v>317</v>
      </c>
      <c r="C34" s="3395"/>
    </row>
    <row r="35" spans="1:3">
      <c r="A35" s="3394" t="s">
        <v>317</v>
      </c>
      <c r="B35" s="3394" t="s">
        <v>317</v>
      </c>
      <c r="C35" s="3395"/>
    </row>
    <row r="36" spans="1:3">
      <c r="A36" s="3394" t="s">
        <v>317</v>
      </c>
      <c r="B36" s="3394" t="s">
        <v>317</v>
      </c>
      <c r="C36" s="3395"/>
    </row>
    <row r="37" spans="1:3">
      <c r="A37" s="3394" t="s">
        <v>317</v>
      </c>
      <c r="B37" s="3394" t="s">
        <v>317</v>
      </c>
      <c r="C37" s="3395"/>
    </row>
    <row r="38" spans="1:3">
      <c r="A38" s="3394" t="s">
        <v>317</v>
      </c>
      <c r="B38" s="3394" t="s">
        <v>317</v>
      </c>
      <c r="C38" s="3395"/>
    </row>
    <row r="39" spans="1:3">
      <c r="A39" s="3394" t="s">
        <v>317</v>
      </c>
      <c r="B39" s="3394" t="s">
        <v>317</v>
      </c>
      <c r="C39" s="3395"/>
    </row>
    <row r="40" spans="1:3">
      <c r="A40" s="3394" t="s">
        <v>317</v>
      </c>
      <c r="B40" s="3394" t="s">
        <v>317</v>
      </c>
      <c r="C40" s="3395"/>
    </row>
    <row r="41" spans="1:3">
      <c r="A41" s="3394" t="s">
        <v>317</v>
      </c>
      <c r="B41" s="3394" t="s">
        <v>317</v>
      </c>
      <c r="C41" s="3395"/>
    </row>
    <row r="42" spans="1:3">
      <c r="A42" s="3394" t="s">
        <v>317</v>
      </c>
      <c r="B42" s="3394" t="s">
        <v>317</v>
      </c>
      <c r="C42" s="3395"/>
    </row>
    <row r="43" spans="1:3">
      <c r="A43" s="3394" t="s">
        <v>317</v>
      </c>
      <c r="B43" s="3394" t="s">
        <v>317</v>
      </c>
      <c r="C43" s="3395"/>
    </row>
    <row r="44" spans="1:3">
      <c r="A44" s="3394" t="s">
        <v>317</v>
      </c>
      <c r="B44" s="3394" t="s">
        <v>317</v>
      </c>
      <c r="C44" s="3395"/>
    </row>
    <row r="45" spans="1:3">
      <c r="A45" s="3394" t="s">
        <v>317</v>
      </c>
      <c r="B45" s="3394" t="s">
        <v>317</v>
      </c>
      <c r="C45" s="3395"/>
    </row>
    <row r="46" spans="1:3">
      <c r="A46" s="3394" t="s">
        <v>317</v>
      </c>
      <c r="B46" s="3394" t="s">
        <v>317</v>
      </c>
      <c r="C46" s="3395"/>
    </row>
    <row r="47" spans="1:3">
      <c r="A47" s="3394" t="s">
        <v>317</v>
      </c>
      <c r="B47" s="3394" t="s">
        <v>317</v>
      </c>
      <c r="C47" s="3395"/>
    </row>
    <row r="48" spans="1:3">
      <c r="A48" s="3394" t="s">
        <v>317</v>
      </c>
      <c r="B48" s="3394" t="s">
        <v>317</v>
      </c>
      <c r="C48" s="3395"/>
    </row>
    <row r="49" spans="1:4">
      <c r="A49" s="3394" t="s">
        <v>317</v>
      </c>
      <c r="B49" s="3394" t="s">
        <v>317</v>
      </c>
      <c r="C49" s="3395"/>
    </row>
    <row r="50" spans="1:4">
      <c r="A50" s="3394" t="s">
        <v>317</v>
      </c>
      <c r="B50" s="3394" t="s">
        <v>317</v>
      </c>
      <c r="C50" s="3395"/>
    </row>
    <row r="51" spans="1:4">
      <c r="A51" s="3399" t="s">
        <v>323</v>
      </c>
      <c r="B51" s="34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拟使用北京市兴盛国际房地产作为抵押担保物，向办理贷款手续。特委托北京康正宏基房地产评估有限公司对上述抵押物进行评估。本次评估为确定房地产抵押贷款额度提供参考依据而评估房地产抵押价值。</v>
      </c>
      <c r="D51" s="3400" t="s">
        <v>324</v>
      </c>
    </row>
    <row r="52" spans="1:4">
      <c r="A52" s="3399" t="s">
        <v>325</v>
      </c>
      <c r="B52" s="3399" t="s">
        <v>326</v>
      </c>
      <c r="C52" s="3387" t="s">
        <v>327</v>
      </c>
      <c r="D52" s="3387" t="s">
        <v>328</v>
      </c>
    </row>
    <row r="53" spans="1:4">
      <c r="A53" s="3621" t="s">
        <v>329</v>
      </c>
      <c r="B53" s="3400" t="s">
        <v>330</v>
      </c>
      <c r="C53" s="33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1"/>
      <c r="B54" s="3400" t="s">
        <v>331</v>
      </c>
      <c r="C54" s="3387" t="s">
        <v>332</v>
      </c>
    </row>
    <row r="55" spans="1:4">
      <c r="A55" s="3621"/>
      <c r="B55" s="3400" t="s">
        <v>333</v>
      </c>
      <c r="C55" s="3387" t="s">
        <v>334</v>
      </c>
    </row>
    <row r="56" spans="1:4">
      <c r="A56" s="3621"/>
      <c r="B56" s="3400" t="s">
        <v>335</v>
      </c>
      <c r="C56" s="3387" t="s">
        <v>336</v>
      </c>
    </row>
    <row r="57" spans="1:4">
      <c r="A57" s="3621"/>
      <c r="B57" s="3400" t="s">
        <v>337</v>
      </c>
      <c r="C57" s="3387" t="s">
        <v>338</v>
      </c>
    </row>
    <row r="58" spans="1:4">
      <c r="A58" s="3401"/>
      <c r="B58" s="3387"/>
    </row>
    <row r="59" spans="1:4">
      <c r="A59" s="3401"/>
      <c r="B59" s="3387"/>
    </row>
    <row r="60" spans="1:4">
      <c r="A60" s="3401"/>
      <c r="B60" s="3387"/>
    </row>
    <row r="61" spans="1:4">
      <c r="A61" s="3401"/>
      <c r="B61" s="3387"/>
    </row>
    <row r="62" spans="1:4">
      <c r="A62" s="3401"/>
      <c r="B62" s="3387"/>
    </row>
    <row r="63" spans="1:4">
      <c r="A63" s="3401"/>
      <c r="B63" s="3387"/>
    </row>
    <row r="64" spans="1:4">
      <c r="A64" s="3401"/>
      <c r="B64" s="3387"/>
    </row>
    <row r="65" spans="1:2">
      <c r="A65" s="3401"/>
      <c r="B65" s="3387"/>
    </row>
    <row r="66" spans="1:2">
      <c r="A66" s="3401"/>
      <c r="B66" s="3387"/>
    </row>
    <row r="67" spans="1:2">
      <c r="A67" s="3401"/>
      <c r="B67" s="3387"/>
    </row>
    <row r="68" spans="1:2">
      <c r="A68" s="3401"/>
      <c r="B68" s="3387"/>
    </row>
    <row r="69" spans="1:2">
      <c r="A69" s="3401"/>
      <c r="B69" s="3387"/>
    </row>
    <row r="70" spans="1:2">
      <c r="A70" s="3401"/>
      <c r="B70" s="3387"/>
    </row>
    <row r="71" spans="1:2">
      <c r="A71" s="3401"/>
      <c r="B71" s="3387"/>
    </row>
    <row r="72" spans="1:2">
      <c r="A72" s="3401"/>
      <c r="B72" s="3387"/>
    </row>
    <row r="73" spans="1:2">
      <c r="A73" s="3401"/>
      <c r="B73" s="3387"/>
    </row>
    <row r="74" spans="1:2">
      <c r="A74" s="3401"/>
      <c r="B74" s="3387"/>
    </row>
    <row r="75" spans="1:2">
      <c r="A75" s="3401"/>
      <c r="B75" s="3387"/>
    </row>
    <row r="76" spans="1:2">
      <c r="A76" s="3401"/>
      <c r="B76" s="3387"/>
    </row>
    <row r="77" spans="1:2">
      <c r="A77" s="3401"/>
      <c r="B77" s="3387"/>
    </row>
    <row r="78" spans="1:2">
      <c r="A78" s="3401"/>
      <c r="B78" s="3387"/>
    </row>
    <row r="79" spans="1:2">
      <c r="A79" s="3401"/>
      <c r="B79" s="3387"/>
    </row>
    <row r="80" spans="1:2">
      <c r="A80" s="3401"/>
      <c r="B80" s="3387"/>
    </row>
    <row r="81" spans="1:2">
      <c r="A81" s="3401"/>
      <c r="B81" s="3387"/>
    </row>
    <row r="82" spans="1:2">
      <c r="A82" s="3401"/>
      <c r="B82" s="3387"/>
    </row>
    <row r="83" spans="1:2">
      <c r="A83" s="3401"/>
      <c r="B83" s="3387"/>
    </row>
    <row r="84" spans="1:2">
      <c r="A84" s="3401"/>
      <c r="B84" s="3387"/>
    </row>
    <row r="85" spans="1:2">
      <c r="A85" s="3401"/>
      <c r="B85" s="3387"/>
    </row>
    <row r="86" spans="1:2">
      <c r="A86" s="3401"/>
      <c r="B86" s="3387"/>
    </row>
    <row r="87" spans="1:2">
      <c r="A87" s="3401"/>
      <c r="B87" s="3387"/>
    </row>
    <row r="88" spans="1:2">
      <c r="A88" s="3401"/>
      <c r="B88" s="3387"/>
    </row>
    <row r="89" spans="1:2">
      <c r="A89" s="3401"/>
      <c r="B89" s="3387"/>
    </row>
    <row r="90" spans="1:2">
      <c r="A90" s="3401"/>
      <c r="B90" s="3387"/>
    </row>
    <row r="91" spans="1:2">
      <c r="A91" s="3401"/>
      <c r="B91" s="3387"/>
    </row>
    <row r="92" spans="1:2">
      <c r="A92" s="3401"/>
      <c r="B92" s="3387"/>
    </row>
    <row r="93" spans="1:2">
      <c r="A93" s="3401"/>
      <c r="B93" s="3387"/>
    </row>
    <row r="94" spans="1:2">
      <c r="A94" s="3401"/>
      <c r="B94" s="3387"/>
    </row>
    <row r="95" spans="1:2">
      <c r="A95" s="3401"/>
      <c r="B95" s="3387"/>
    </row>
    <row r="96" spans="1:2">
      <c r="A96" s="3401"/>
      <c r="B96" s="3387"/>
    </row>
    <row r="97" spans="1:2">
      <c r="A97" s="3401"/>
      <c r="B97" s="3387"/>
    </row>
    <row r="98" spans="1:2">
      <c r="A98" s="3401"/>
      <c r="B98" s="3387"/>
    </row>
    <row r="99" spans="1:2">
      <c r="A99" s="3401"/>
      <c r="B99" s="3387"/>
    </row>
    <row r="100" spans="1:2">
      <c r="A100" s="3401"/>
      <c r="B100" s="3387"/>
    </row>
    <row r="101" spans="1:2">
      <c r="A101" s="3401"/>
      <c r="B101" s="3387"/>
    </row>
    <row r="102" spans="1:2">
      <c r="A102" s="3401"/>
      <c r="B102" s="3387"/>
    </row>
    <row r="103" spans="1:2">
      <c r="A103" s="3401"/>
      <c r="B103" s="3387"/>
    </row>
    <row r="104" spans="1:2">
      <c r="A104" s="3401"/>
      <c r="B104" s="3387"/>
    </row>
    <row r="105" spans="1:2">
      <c r="A105" s="3401"/>
      <c r="B105" s="3387"/>
    </row>
    <row r="106" spans="1:2">
      <c r="A106" s="3401"/>
      <c r="B106" s="3387"/>
    </row>
    <row r="107" spans="1:2">
      <c r="A107" s="3401"/>
      <c r="B107" s="3387"/>
    </row>
    <row r="108" spans="1:2">
      <c r="A108" s="3401"/>
      <c r="B108" s="3387"/>
    </row>
    <row r="109" spans="1:2">
      <c r="A109" s="3401"/>
      <c r="B109" s="3387"/>
    </row>
    <row r="110" spans="1:2">
      <c r="A110" s="3401"/>
      <c r="B110" s="3387"/>
    </row>
    <row r="111" spans="1:2">
      <c r="A111" s="3401"/>
      <c r="B111" s="3387"/>
    </row>
    <row r="112" spans="1:2">
      <c r="A112" s="3401"/>
      <c r="B112" s="3387"/>
    </row>
    <row r="113" spans="1:2">
      <c r="A113" s="3401"/>
      <c r="B113" s="3387"/>
    </row>
    <row r="114" spans="1:2">
      <c r="A114" s="3401"/>
      <c r="B114" s="3387"/>
    </row>
    <row r="115" spans="1:2">
      <c r="A115" s="3401"/>
      <c r="B115" s="3387"/>
    </row>
    <row r="116" spans="1:2">
      <c r="A116" s="3401"/>
      <c r="B116" s="3387"/>
    </row>
    <row r="117" spans="1:2">
      <c r="A117" s="3401"/>
      <c r="B117" s="3387"/>
    </row>
    <row r="118" spans="1:2">
      <c r="A118" s="3401"/>
      <c r="B118" s="3387"/>
    </row>
    <row r="119" spans="1:2">
      <c r="A119" s="3401"/>
      <c r="B119" s="3387"/>
    </row>
    <row r="120" spans="1:2">
      <c r="A120" s="3401"/>
      <c r="B120" s="3387"/>
    </row>
    <row r="121" spans="1:2">
      <c r="A121" s="3401"/>
      <c r="B121" s="3387"/>
    </row>
    <row r="122" spans="1:2">
      <c r="A122" s="3401"/>
      <c r="B122" s="3387"/>
    </row>
    <row r="123" spans="1:2">
      <c r="A123" s="3401"/>
      <c r="B123" s="3387"/>
    </row>
    <row r="124" spans="1:2">
      <c r="A124" s="3401"/>
      <c r="B124" s="3387"/>
    </row>
    <row r="125" spans="1:2">
      <c r="A125" s="3401"/>
      <c r="B125" s="3387"/>
    </row>
    <row r="126" spans="1:2">
      <c r="A126" s="3401"/>
      <c r="B126" s="3387"/>
    </row>
    <row r="127" spans="1:2">
      <c r="A127" s="3401"/>
      <c r="B127" s="3387"/>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38" sqref="P38"/>
    </sheetView>
  </sheetViews>
  <sheetFormatPr defaultColWidth="15.25" defaultRowHeight="13.5"/>
  <cols>
    <col min="1" max="7" width="15.25" style="3334"/>
    <col min="8" max="8" width="5.5" style="3334" customWidth="1"/>
    <col min="9" max="13" width="9.5" style="3335" customWidth="1"/>
    <col min="14" max="18" width="9.5" style="3334" customWidth="1"/>
    <col min="19" max="16384" width="15.25" style="3334"/>
  </cols>
  <sheetData>
    <row r="1" spans="1:18">
      <c r="A1" s="3336" t="s">
        <v>339</v>
      </c>
      <c r="B1" s="3337"/>
      <c r="C1" s="3337"/>
      <c r="D1" s="3337"/>
      <c r="E1" s="3337"/>
      <c r="F1" s="3338"/>
      <c r="I1" s="3379" t="s">
        <v>340</v>
      </c>
      <c r="J1" s="337"/>
      <c r="K1" s="337"/>
      <c r="L1" s="337"/>
      <c r="M1" s="337"/>
      <c r="N1" s="3380"/>
      <c r="O1" s="3380"/>
      <c r="P1" s="3380"/>
      <c r="Q1" s="3380"/>
      <c r="R1" s="3380"/>
    </row>
    <row r="2" spans="1:18">
      <c r="A2" s="3339"/>
      <c r="B2" s="3340"/>
      <c r="C2" s="3340"/>
      <c r="D2" s="3340"/>
      <c r="E2" s="3340"/>
      <c r="F2" s="3341"/>
      <c r="I2" s="3622" t="s">
        <v>341</v>
      </c>
      <c r="J2" s="3622"/>
      <c r="K2" s="3622"/>
      <c r="L2" s="3622"/>
      <c r="M2" s="3622"/>
      <c r="N2" s="3622"/>
      <c r="O2" s="3622"/>
      <c r="P2" s="3622"/>
      <c r="Q2" s="3622"/>
      <c r="R2" s="3622"/>
    </row>
    <row r="3" spans="1:18">
      <c r="A3" s="485" t="s">
        <v>342</v>
      </c>
      <c r="B3" s="3342">
        <f>项目基本情况!D3</f>
        <v>45300</v>
      </c>
      <c r="C3" s="486"/>
      <c r="D3" s="486"/>
      <c r="E3" s="486"/>
      <c r="F3" s="3341"/>
      <c r="I3" s="3381"/>
      <c r="J3" s="3381" t="s">
        <v>343</v>
      </c>
      <c r="K3" s="3381" t="s">
        <v>344</v>
      </c>
      <c r="L3" s="3381" t="s">
        <v>345</v>
      </c>
      <c r="M3" s="3381" t="s">
        <v>346</v>
      </c>
      <c r="N3" s="3382" t="s">
        <v>347</v>
      </c>
      <c r="O3" s="3382" t="s">
        <v>348</v>
      </c>
      <c r="P3" s="3382" t="s">
        <v>349</v>
      </c>
      <c r="Q3" s="3382" t="s">
        <v>350</v>
      </c>
      <c r="R3" s="3382" t="s">
        <v>351</v>
      </c>
    </row>
    <row r="4" spans="1:18">
      <c r="A4" s="485" t="s">
        <v>352</v>
      </c>
      <c r="B4" s="486" t="s">
        <v>353</v>
      </c>
      <c r="C4" s="486" t="s">
        <v>354</v>
      </c>
      <c r="D4" s="486" t="s">
        <v>355</v>
      </c>
      <c r="E4" s="486" t="s">
        <v>356</v>
      </c>
      <c r="F4" s="3341"/>
      <c r="I4" s="3381" t="s">
        <v>357</v>
      </c>
      <c r="J4" s="3381">
        <v>80</v>
      </c>
      <c r="K4" s="3381">
        <v>70</v>
      </c>
      <c r="L4" s="3381">
        <v>20</v>
      </c>
      <c r="M4" s="3381">
        <v>30</v>
      </c>
      <c r="N4" s="486">
        <v>45</v>
      </c>
      <c r="O4" s="486">
        <v>60</v>
      </c>
      <c r="P4" s="486">
        <v>50</v>
      </c>
      <c r="Q4" s="486">
        <v>20</v>
      </c>
      <c r="R4" s="486">
        <v>375</v>
      </c>
    </row>
    <row r="5" spans="1:18">
      <c r="A5" s="3343">
        <v>40</v>
      </c>
      <c r="B5" s="3342">
        <v>46375</v>
      </c>
      <c r="C5" s="486">
        <f>ROUNDDOWN(MIN((B5-B3)/365,A5),2)</f>
        <v>2.94</v>
      </c>
      <c r="D5" s="3344">
        <f>IF(ISERROR(ROUND(POWER(1+E5,A5-C5)*(POWER(1+E5,C5)-1)/(POWER(1+E5,A5)-1),3)),0,ROUND(POWER(1+E5,A5-C5)*(POWER(1+E5,C5)-1)/(POWER(1+E5,A5)-1),4))</f>
        <v>0.1376</v>
      </c>
      <c r="E5" s="3345">
        <v>0.04</v>
      </c>
      <c r="F5" s="3341"/>
      <c r="I5" s="3381" t="s">
        <v>358</v>
      </c>
      <c r="J5" s="3381">
        <v>70</v>
      </c>
      <c r="K5" s="3381">
        <v>60</v>
      </c>
      <c r="L5" s="3381">
        <v>15</v>
      </c>
      <c r="M5" s="3381">
        <v>25</v>
      </c>
      <c r="N5" s="486">
        <v>40</v>
      </c>
      <c r="O5" s="486">
        <v>50</v>
      </c>
      <c r="P5" s="486">
        <v>40</v>
      </c>
      <c r="Q5" s="486">
        <v>15</v>
      </c>
      <c r="R5" s="486">
        <v>315</v>
      </c>
    </row>
    <row r="6" spans="1:18">
      <c r="A6" s="3343">
        <v>50</v>
      </c>
      <c r="B6" s="3342">
        <v>50028</v>
      </c>
      <c r="C6" s="486">
        <f>ROUNDDOWN(MIN((B6-B3)/365,A6),2)</f>
        <v>12.95</v>
      </c>
      <c r="D6" s="3344">
        <f>IF(ISERROR(ROUND(POWER(1+E6,A6-C6)*(POWER(1+E6,C6)-1)/(POWER(1+E6,A6)-1),3)),0,ROUND(POWER(1+E6,A6-C6)*(POWER(1+E6,C6)-1)/(POWER(1+E6,A6)-1),4))</f>
        <v>0.46350000000000002</v>
      </c>
      <c r="E6" s="3345">
        <v>0.04</v>
      </c>
      <c r="F6" s="3341"/>
      <c r="I6" s="3381" t="s">
        <v>359</v>
      </c>
      <c r="J6" s="3381">
        <v>60</v>
      </c>
      <c r="K6" s="3381">
        <v>50</v>
      </c>
      <c r="L6" s="3381">
        <v>10</v>
      </c>
      <c r="M6" s="3381">
        <v>20</v>
      </c>
      <c r="N6" s="486">
        <v>35</v>
      </c>
      <c r="O6" s="486">
        <v>40</v>
      </c>
      <c r="P6" s="486">
        <v>30</v>
      </c>
      <c r="Q6" s="486">
        <v>10</v>
      </c>
      <c r="R6" s="486">
        <v>255</v>
      </c>
    </row>
    <row r="7" spans="1:18">
      <c r="A7" s="3343">
        <v>70</v>
      </c>
      <c r="B7" s="3342">
        <v>57333</v>
      </c>
      <c r="C7" s="486">
        <f>ROUNDDOWN(MIN((B7-B3)/365,A7),2)</f>
        <v>32.96</v>
      </c>
      <c r="D7" s="3344">
        <f>IF(ISERROR(ROUND(POWER(1+E7,A7-C7)*(POWER(1+E7,C7)-1)/(POWER(1+E7,A7)-1),3)),0,ROUND(POWER(1+E7,A7-C7)*(POWER(1+E7,C7)-1)/(POWER(1+E7,A7)-1),4))</f>
        <v>0.77529999999999999</v>
      </c>
      <c r="E7" s="3345">
        <v>0.04</v>
      </c>
      <c r="F7" s="3341"/>
    </row>
    <row r="8" spans="1:18">
      <c r="A8" s="3339"/>
      <c r="B8" s="3340"/>
      <c r="C8" s="3340"/>
      <c r="D8" s="3340"/>
      <c r="E8" s="3340"/>
      <c r="F8" s="3341"/>
    </row>
    <row r="9" spans="1:18">
      <c r="A9" s="485" t="s">
        <v>360</v>
      </c>
      <c r="B9" s="486"/>
      <c r="C9" s="486"/>
      <c r="D9" s="486"/>
      <c r="E9" s="486"/>
      <c r="F9" s="528"/>
    </row>
    <row r="10" spans="1:18">
      <c r="A10" s="485" t="s">
        <v>361</v>
      </c>
      <c r="B10" s="486"/>
      <c r="C10" s="486"/>
      <c r="D10" s="486" t="s">
        <v>356</v>
      </c>
      <c r="E10" s="486"/>
      <c r="F10" s="528" t="s">
        <v>355</v>
      </c>
    </row>
    <row r="11" spans="1:18">
      <c r="A11" s="485" t="s">
        <v>362</v>
      </c>
      <c r="B11" s="3346">
        <v>70</v>
      </c>
      <c r="C11" s="486" t="s">
        <v>363</v>
      </c>
      <c r="D11" s="3347">
        <v>4.4999999999999998E-2</v>
      </c>
      <c r="E11" s="486" t="s">
        <v>364</v>
      </c>
      <c r="F11" s="3348">
        <f>ROUND(1-(1/(POWER(1+D11,B11))),4)</f>
        <v>0.95409999999999995</v>
      </c>
    </row>
    <row r="12" spans="1:18">
      <c r="A12" s="485" t="s">
        <v>365</v>
      </c>
      <c r="B12" s="3346">
        <v>40</v>
      </c>
      <c r="C12" s="486" t="s">
        <v>366</v>
      </c>
      <c r="D12" s="3347">
        <v>4.4999999999999998E-2</v>
      </c>
      <c r="E12" s="486" t="s">
        <v>367</v>
      </c>
      <c r="F12" s="3348">
        <f>ROUND(1-(1/(POWER(1+D12,B12))),4)</f>
        <v>0.82809999999999995</v>
      </c>
    </row>
    <row r="13" spans="1:18">
      <c r="A13" s="485" t="s">
        <v>368</v>
      </c>
      <c r="B13" s="486"/>
      <c r="C13" s="486"/>
      <c r="D13" s="3340"/>
      <c r="E13" s="3340"/>
      <c r="F13" s="3341"/>
    </row>
    <row r="14" spans="1:18">
      <c r="A14" s="485" t="s">
        <v>369</v>
      </c>
      <c r="B14" s="3346">
        <v>5000</v>
      </c>
      <c r="C14" s="3349"/>
      <c r="D14" s="3340"/>
      <c r="E14" s="3340"/>
      <c r="F14" s="3341"/>
    </row>
    <row r="15" spans="1:18">
      <c r="A15" s="485" t="s">
        <v>370</v>
      </c>
      <c r="B15" s="486">
        <f>ROUND(B14*F12/F11,2)</f>
        <v>4339.6899999999996</v>
      </c>
      <c r="C15" s="486">
        <f>ROUND(F12/F11,4)</f>
        <v>0.8679</v>
      </c>
      <c r="D15" s="3340"/>
      <c r="E15" s="3340"/>
      <c r="F15" s="3341"/>
    </row>
    <row r="16" spans="1:18">
      <c r="A16" s="485" t="s">
        <v>371</v>
      </c>
      <c r="B16" s="486"/>
      <c r="C16" s="486"/>
      <c r="D16" s="3340"/>
      <c r="E16" s="3340"/>
      <c r="F16" s="3341"/>
    </row>
    <row r="17" spans="1:13">
      <c r="A17" s="485" t="s">
        <v>370</v>
      </c>
      <c r="B17" s="3347">
        <v>4810</v>
      </c>
      <c r="C17" s="3349"/>
      <c r="D17" s="3340"/>
      <c r="E17" s="3340"/>
      <c r="F17" s="3341"/>
    </row>
    <row r="18" spans="1:13">
      <c r="A18" s="3350" t="s">
        <v>369</v>
      </c>
      <c r="B18" s="531">
        <f>ROUND(B17*F11/F12,2)</f>
        <v>5541.87</v>
      </c>
      <c r="C18" s="531">
        <f>ROUND(F11/F12,4)</f>
        <v>1.1521999999999999</v>
      </c>
      <c r="D18" s="3351"/>
      <c r="E18" s="3351"/>
      <c r="F18" s="3352"/>
    </row>
    <row r="20" spans="1:13" s="3333" customFormat="1">
      <c r="A20" s="3353" t="s">
        <v>372</v>
      </c>
      <c r="B20" s="3354"/>
      <c r="C20" s="3354"/>
      <c r="D20" s="3354"/>
      <c r="E20" s="3354"/>
      <c r="F20" s="3354"/>
      <c r="G20" s="3355"/>
      <c r="I20" s="3383" t="s">
        <v>373</v>
      </c>
      <c r="J20" s="3383" t="s">
        <v>374</v>
      </c>
      <c r="K20" s="3383"/>
      <c r="L20" s="3383"/>
      <c r="M20" s="3383"/>
    </row>
    <row r="21" spans="1:13">
      <c r="A21" s="3356"/>
      <c r="B21" s="3357" t="s">
        <v>375</v>
      </c>
      <c r="C21" s="3357" t="s">
        <v>354</v>
      </c>
      <c r="D21" s="3357" t="s">
        <v>376</v>
      </c>
      <c r="E21" s="3357" t="s">
        <v>355</v>
      </c>
      <c r="F21" s="3357" t="s">
        <v>377</v>
      </c>
      <c r="G21" s="3358" t="s">
        <v>378</v>
      </c>
      <c r="I21" s="3335">
        <v>5</v>
      </c>
      <c r="J21" s="3335">
        <v>54.2</v>
      </c>
    </row>
    <row r="22" spans="1:13">
      <c r="A22" s="3356" t="s">
        <v>379</v>
      </c>
      <c r="B22" s="3359">
        <v>70</v>
      </c>
      <c r="C22" s="3359">
        <v>30</v>
      </c>
      <c r="D22" s="3360">
        <v>0.04</v>
      </c>
      <c r="E22" s="3357">
        <f>ROUND(POWER(1+D22,B22-C22)*(POWER(1+D22,C22)-1)/(POWER(1+D22,B22)-1),3)</f>
        <v>0.73899999999999999</v>
      </c>
      <c r="F22" s="3360">
        <v>0.7</v>
      </c>
      <c r="G22" s="3358">
        <f>ROUND(100*(1-(1-E22)*F22),1)</f>
        <v>81.7</v>
      </c>
      <c r="I22" s="3335">
        <v>10</v>
      </c>
      <c r="J22" s="3335">
        <v>65.400000000000006</v>
      </c>
      <c r="K22" s="3335">
        <f>J22-J21</f>
        <v>11.2</v>
      </c>
    </row>
    <row r="23" spans="1:13">
      <c r="A23" s="3356" t="s">
        <v>380</v>
      </c>
      <c r="B23" s="3359">
        <v>70</v>
      </c>
      <c r="C23" s="3359">
        <v>40</v>
      </c>
      <c r="D23" s="3360">
        <v>0.04</v>
      </c>
      <c r="E23" s="3357">
        <f t="shared" ref="E23:E25" si="0">ROUND(POWER(1+D23,B23-C23)*(POWER(1+D23,C23)-1)/(POWER(1+D23,B23)-1),3)</f>
        <v>0.84599999999999997</v>
      </c>
      <c r="F23" s="3360">
        <f>F22</f>
        <v>0.7</v>
      </c>
      <c r="G23" s="3358">
        <f t="shared" ref="G23:G25" si="1">ROUND(100*(1-(1-E23)*F23),1)</f>
        <v>89.2</v>
      </c>
      <c r="I23" s="3335">
        <v>15</v>
      </c>
      <c r="J23" s="3335">
        <v>74.099999999999994</v>
      </c>
      <c r="K23" s="3335">
        <f t="shared" ref="K23:K30" si="2">J23-J22</f>
        <v>8.6999999999999904</v>
      </c>
      <c r="L23" s="3335" t="s">
        <v>381</v>
      </c>
      <c r="M23" s="3335" t="s">
        <v>382</v>
      </c>
    </row>
    <row r="24" spans="1:13">
      <c r="A24" s="3356" t="s">
        <v>383</v>
      </c>
      <c r="B24" s="3359">
        <v>70</v>
      </c>
      <c r="C24" s="3359">
        <v>50</v>
      </c>
      <c r="D24" s="3360">
        <v>0.04</v>
      </c>
      <c r="E24" s="3357">
        <f t="shared" si="0"/>
        <v>0.91800000000000004</v>
      </c>
      <c r="F24" s="3360">
        <f>F23</f>
        <v>0.7</v>
      </c>
      <c r="G24" s="3358">
        <f t="shared" si="1"/>
        <v>94.3</v>
      </c>
      <c r="I24" s="3335">
        <v>20</v>
      </c>
      <c r="J24" s="3335">
        <v>81</v>
      </c>
      <c r="K24" s="3335">
        <f t="shared" si="2"/>
        <v>6.9000000000000101</v>
      </c>
      <c r="L24" s="3335" t="s">
        <v>384</v>
      </c>
      <c r="M24" s="3335">
        <v>10</v>
      </c>
    </row>
    <row r="25" spans="1:13">
      <c r="A25" s="3356" t="s">
        <v>385</v>
      </c>
      <c r="B25" s="3359">
        <v>70</v>
      </c>
      <c r="C25" s="3359">
        <v>60</v>
      </c>
      <c r="D25" s="3360">
        <v>0.04</v>
      </c>
      <c r="E25" s="3357">
        <f t="shared" si="0"/>
        <v>0.96699999999999997</v>
      </c>
      <c r="F25" s="3360">
        <f>F24</f>
        <v>0.7</v>
      </c>
      <c r="G25" s="3358">
        <f t="shared" si="1"/>
        <v>97.7</v>
      </c>
      <c r="I25" s="3335">
        <v>25</v>
      </c>
      <c r="J25" s="3335">
        <v>86.3</v>
      </c>
      <c r="K25" s="3335">
        <f t="shared" si="2"/>
        <v>5.3</v>
      </c>
      <c r="L25" s="3335" t="s">
        <v>386</v>
      </c>
      <c r="M25" s="3335">
        <v>8</v>
      </c>
    </row>
    <row r="26" spans="1:13">
      <c r="A26" s="3361"/>
      <c r="B26" s="3362"/>
      <c r="C26" s="3362"/>
      <c r="D26" s="3362"/>
      <c r="E26" s="3362"/>
      <c r="F26" s="3362"/>
      <c r="G26" s="3363"/>
      <c r="I26" s="3335">
        <v>30</v>
      </c>
      <c r="J26" s="3335">
        <v>90.5</v>
      </c>
      <c r="K26" s="3335">
        <f t="shared" si="2"/>
        <v>4.2</v>
      </c>
      <c r="L26" s="3335" t="s">
        <v>387</v>
      </c>
      <c r="M26" s="3335">
        <v>5</v>
      </c>
    </row>
    <row r="27" spans="1:13">
      <c r="A27" s="3361" t="s">
        <v>388</v>
      </c>
      <c r="B27" s="3362"/>
      <c r="C27" s="3362"/>
      <c r="D27" s="3362"/>
      <c r="E27" s="3362"/>
      <c r="F27" s="3362"/>
      <c r="G27" s="3363"/>
      <c r="I27" s="3335">
        <v>35</v>
      </c>
      <c r="J27" s="3335">
        <v>93.8</v>
      </c>
      <c r="K27" s="3335">
        <f t="shared" si="2"/>
        <v>3.3</v>
      </c>
      <c r="L27" s="3335" t="s">
        <v>389</v>
      </c>
      <c r="M27" s="3335">
        <v>3</v>
      </c>
    </row>
    <row r="28" spans="1:13">
      <c r="A28" s="3361" t="s">
        <v>390</v>
      </c>
      <c r="B28" s="3362"/>
      <c r="C28" s="3362"/>
      <c r="D28" s="3362"/>
      <c r="E28" s="3362"/>
      <c r="F28" s="3362"/>
      <c r="G28" s="3363"/>
      <c r="I28" s="3335">
        <v>40</v>
      </c>
      <c r="J28" s="3335">
        <v>96.4</v>
      </c>
      <c r="K28" s="3335">
        <f t="shared" si="2"/>
        <v>2.6000000000000099</v>
      </c>
      <c r="L28" s="3335" t="s">
        <v>391</v>
      </c>
      <c r="M28" s="3335">
        <v>2</v>
      </c>
    </row>
    <row r="29" spans="1:13">
      <c r="A29" s="3361" t="s">
        <v>392</v>
      </c>
      <c r="B29" s="3362"/>
      <c r="C29" s="3362"/>
      <c r="D29" s="3362"/>
      <c r="E29" s="3362"/>
      <c r="F29" s="3362"/>
      <c r="G29" s="3363"/>
      <c r="I29" s="3335">
        <v>45</v>
      </c>
      <c r="J29" s="3335">
        <v>98.4</v>
      </c>
      <c r="K29" s="3335">
        <f t="shared" si="2"/>
        <v>2</v>
      </c>
    </row>
    <row r="30" spans="1:13">
      <c r="A30" s="3361" t="s">
        <v>393</v>
      </c>
      <c r="B30" s="3362"/>
      <c r="C30" s="3362"/>
      <c r="D30" s="3362"/>
      <c r="E30" s="3362"/>
      <c r="F30" s="3362"/>
      <c r="G30" s="3363"/>
      <c r="I30" s="3335">
        <v>50</v>
      </c>
      <c r="J30" s="3335">
        <v>100</v>
      </c>
      <c r="K30" s="3335">
        <f t="shared" si="2"/>
        <v>1.5999999999999901</v>
      </c>
    </row>
    <row r="31" spans="1:13">
      <c r="A31" s="3361" t="s">
        <v>394</v>
      </c>
      <c r="B31" s="3362"/>
      <c r="C31" s="3362"/>
      <c r="D31" s="3362"/>
      <c r="E31" s="3362"/>
      <c r="F31" s="3362"/>
      <c r="G31" s="3363"/>
      <c r="I31" s="3335" t="s">
        <v>395</v>
      </c>
    </row>
    <row r="32" spans="1:13">
      <c r="A32" s="3361" t="s">
        <v>396</v>
      </c>
      <c r="B32" s="3362"/>
      <c r="C32" s="3362"/>
      <c r="D32" s="3362"/>
      <c r="E32" s="3362"/>
      <c r="F32" s="3362"/>
      <c r="G32" s="3363"/>
    </row>
    <row r="33" spans="1:13">
      <c r="A33" s="3361" t="s">
        <v>397</v>
      </c>
      <c r="B33" s="3362"/>
      <c r="C33" s="3362"/>
      <c r="D33" s="3362"/>
      <c r="E33" s="3362"/>
      <c r="F33" s="3362"/>
      <c r="G33" s="3363"/>
      <c r="I33" s="3335" t="s">
        <v>373</v>
      </c>
      <c r="J33" s="3335" t="s">
        <v>398</v>
      </c>
    </row>
    <row r="34" spans="1:13">
      <c r="A34" s="3361" t="s">
        <v>399</v>
      </c>
      <c r="B34" s="3362"/>
      <c r="C34" s="3362"/>
      <c r="D34" s="3362"/>
      <c r="E34" s="3362"/>
      <c r="F34" s="3362"/>
      <c r="G34" s="3363"/>
      <c r="I34" s="3335">
        <v>5</v>
      </c>
      <c r="J34" s="3335">
        <v>55.1</v>
      </c>
    </row>
    <row r="35" spans="1:13">
      <c r="A35" s="3361" t="s">
        <v>400</v>
      </c>
      <c r="B35" s="3362"/>
      <c r="C35" s="3362"/>
      <c r="D35" s="3362"/>
      <c r="E35" s="3362"/>
      <c r="F35" s="3362"/>
      <c r="G35" s="3363"/>
      <c r="I35" s="3335">
        <v>10</v>
      </c>
      <c r="J35" s="3335">
        <v>67</v>
      </c>
      <c r="K35" s="3335">
        <f>J35-J34</f>
        <v>11.9</v>
      </c>
    </row>
    <row r="36" spans="1:13">
      <c r="A36" s="3361" t="s">
        <v>401</v>
      </c>
      <c r="B36" s="3362"/>
      <c r="C36" s="3362"/>
      <c r="D36" s="3362"/>
      <c r="E36" s="3362"/>
      <c r="F36" s="3362"/>
      <c r="G36" s="3363"/>
      <c r="I36" s="3335">
        <v>15</v>
      </c>
      <c r="J36" s="3335">
        <v>76.3</v>
      </c>
      <c r="K36" s="3335">
        <f t="shared" ref="K36:K41" si="3">J36-J35</f>
        <v>9.3000000000000007</v>
      </c>
      <c r="L36" s="3335" t="s">
        <v>381</v>
      </c>
      <c r="M36" s="3335" t="s">
        <v>382</v>
      </c>
    </row>
    <row r="37" spans="1:13">
      <c r="A37" s="3361" t="s">
        <v>402</v>
      </c>
      <c r="B37" s="3362"/>
      <c r="C37" s="3362"/>
      <c r="D37" s="3362"/>
      <c r="E37" s="3362"/>
      <c r="F37" s="3362"/>
      <c r="G37" s="3363"/>
      <c r="I37" s="3335">
        <v>20</v>
      </c>
      <c r="J37" s="3335">
        <v>83.6</v>
      </c>
      <c r="K37" s="3335">
        <f t="shared" si="3"/>
        <v>7.3</v>
      </c>
      <c r="L37" s="3335" t="s">
        <v>384</v>
      </c>
      <c r="M37" s="3335">
        <v>10</v>
      </c>
    </row>
    <row r="38" spans="1:13">
      <c r="A38" s="3361" t="s">
        <v>403</v>
      </c>
      <c r="B38" s="3362"/>
      <c r="C38" s="3362"/>
      <c r="D38" s="3362"/>
      <c r="E38" s="3362"/>
      <c r="F38" s="3362"/>
      <c r="G38" s="3363"/>
      <c r="I38" s="3335">
        <v>25</v>
      </c>
      <c r="J38" s="3335">
        <v>89.3</v>
      </c>
      <c r="K38" s="3335">
        <f t="shared" si="3"/>
        <v>5.7</v>
      </c>
      <c r="L38" s="3335" t="s">
        <v>386</v>
      </c>
      <c r="M38" s="3335">
        <v>8</v>
      </c>
    </row>
    <row r="39" spans="1:13">
      <c r="A39" s="3361"/>
      <c r="B39" s="3362"/>
      <c r="C39" s="3362"/>
      <c r="D39" s="3362"/>
      <c r="E39" s="3362"/>
      <c r="F39" s="3362"/>
      <c r="G39" s="3363"/>
      <c r="I39" s="3335">
        <v>30</v>
      </c>
      <c r="J39" s="3335">
        <v>93.8</v>
      </c>
      <c r="K39" s="3335">
        <f t="shared" si="3"/>
        <v>4.5</v>
      </c>
      <c r="L39" s="3335" t="s">
        <v>387</v>
      </c>
      <c r="M39" s="3335">
        <v>6</v>
      </c>
    </row>
    <row r="40" spans="1:13">
      <c r="A40" s="3364" t="s">
        <v>404</v>
      </c>
      <c r="B40" s="3365"/>
      <c r="C40" s="3365"/>
      <c r="D40" s="3365"/>
      <c r="E40" s="3365"/>
      <c r="F40" s="3365"/>
      <c r="G40" s="3366"/>
      <c r="I40" s="3335">
        <v>35</v>
      </c>
      <c r="J40" s="3335">
        <v>97.2</v>
      </c>
      <c r="K40" s="3335">
        <f t="shared" si="3"/>
        <v>3.4000000000000101</v>
      </c>
      <c r="L40" s="3335" t="s">
        <v>389</v>
      </c>
      <c r="M40" s="3335">
        <v>3</v>
      </c>
    </row>
    <row r="41" spans="1:13">
      <c r="A41" s="3367" t="s">
        <v>405</v>
      </c>
      <c r="B41" s="3368" t="s">
        <v>406</v>
      </c>
      <c r="C41" s="3369" t="s">
        <v>407</v>
      </c>
      <c r="D41" s="3369" t="s">
        <v>408</v>
      </c>
      <c r="E41" s="3370"/>
      <c r="F41" s="3371"/>
      <c r="G41" s="3372"/>
      <c r="I41" s="3335">
        <v>40</v>
      </c>
      <c r="J41" s="3335">
        <v>100</v>
      </c>
      <c r="K41" s="3335">
        <f t="shared" si="3"/>
        <v>2.8</v>
      </c>
    </row>
    <row r="42" spans="1:13">
      <c r="A42" s="3367" t="s">
        <v>409</v>
      </c>
      <c r="B42" s="3368" t="s">
        <v>410</v>
      </c>
      <c r="C42" s="3369" t="s">
        <v>410</v>
      </c>
      <c r="D42" s="3373" t="s">
        <v>411</v>
      </c>
      <c r="E42" s="3365" t="s">
        <v>412</v>
      </c>
      <c r="F42" s="3365"/>
      <c r="G42" s="3366"/>
    </row>
    <row r="43" spans="1:13">
      <c r="A43" s="3367" t="s">
        <v>413</v>
      </c>
      <c r="B43" s="3368" t="s">
        <v>414</v>
      </c>
      <c r="C43" s="3369" t="s">
        <v>415</v>
      </c>
      <c r="D43" s="3369" t="s">
        <v>416</v>
      </c>
      <c r="E43" s="3370" t="s">
        <v>417</v>
      </c>
      <c r="F43" s="3371"/>
      <c r="G43" s="3372"/>
      <c r="I43" s="3335" t="s">
        <v>373</v>
      </c>
      <c r="J43" s="3335" t="s">
        <v>418</v>
      </c>
    </row>
    <row r="44" spans="1:13">
      <c r="A44" s="3367" t="s">
        <v>419</v>
      </c>
      <c r="B44" s="3368" t="s">
        <v>420</v>
      </c>
      <c r="C44" s="3369" t="s">
        <v>421</v>
      </c>
      <c r="D44" s="3373">
        <v>0.5</v>
      </c>
      <c r="E44" s="3370" t="s">
        <v>422</v>
      </c>
      <c r="F44" s="3371"/>
      <c r="G44" s="3372"/>
      <c r="I44" s="3335">
        <v>30</v>
      </c>
      <c r="J44" s="3335">
        <v>81.7</v>
      </c>
    </row>
    <row r="45" spans="1:13">
      <c r="A45" s="3374" t="s">
        <v>423</v>
      </c>
      <c r="B45" s="3375" t="s">
        <v>410</v>
      </c>
      <c r="C45" s="3376" t="s">
        <v>410</v>
      </c>
      <c r="D45" s="3376" t="s">
        <v>424</v>
      </c>
      <c r="E45" s="3377" t="s">
        <v>425</v>
      </c>
      <c r="F45" s="3377"/>
      <c r="G45" s="3378"/>
      <c r="I45" s="3335">
        <v>40</v>
      </c>
      <c r="J45" s="3335">
        <v>89.2</v>
      </c>
      <c r="K45" s="3335">
        <f>J45-J44</f>
        <v>7.5</v>
      </c>
    </row>
    <row r="46" spans="1:13">
      <c r="I46" s="3335">
        <v>50</v>
      </c>
      <c r="J46" s="3335">
        <v>94.3</v>
      </c>
      <c r="K46" s="3335">
        <f t="shared" ref="K46:K47" si="4">J46-J45</f>
        <v>5.0999999999999899</v>
      </c>
    </row>
    <row r="47" spans="1:13">
      <c r="I47" s="3335">
        <v>60</v>
      </c>
      <c r="J47" s="3335">
        <v>97.7</v>
      </c>
      <c r="K47" s="3335">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51" sqref="G51"/>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6" customWidth="1"/>
    <col min="10" max="10" width="10" style="2929" customWidth="1"/>
    <col min="11" max="11" width="10" style="3202" customWidth="1"/>
    <col min="12" max="13" width="10" style="3203" customWidth="1"/>
    <col min="14" max="14" width="10" style="2929" customWidth="1"/>
    <col min="15" max="15" width="10" style="946" customWidth="1"/>
    <col min="16" max="17" width="10" style="2929"/>
    <col min="18" max="18" width="10" style="2929" customWidth="1"/>
    <col min="19" max="30" width="10" style="2929"/>
    <col min="31" max="16384" width="10" style="2735"/>
  </cols>
  <sheetData>
    <row r="1" spans="1:30">
      <c r="A1" s="3204" t="s">
        <v>426</v>
      </c>
      <c r="B1" s="3636" t="str">
        <f>IF(B10="北京市","北京市",C10)&amp;F10&amp;IF(结果表!G1="在建","出让国有建设用地使用权及在建建筑物",IF(结果表!G1="土地","出让国有建设用地使用权",))&amp;B9&amp;"预评估"</f>
        <v>北京市兴盛国际房地产抵押价值预评估</v>
      </c>
      <c r="C1" s="3637"/>
      <c r="D1" s="3637"/>
      <c r="E1" s="3637"/>
      <c r="F1" s="3637"/>
      <c r="G1" s="3637"/>
      <c r="H1" s="3637"/>
      <c r="I1" s="3638"/>
      <c r="J1" s="2685"/>
      <c r="K1" s="3301"/>
      <c r="L1" s="3302"/>
      <c r="M1" s="3302"/>
      <c r="N1" s="3246"/>
      <c r="O1" s="3024"/>
      <c r="P1" s="3246"/>
      <c r="Q1" s="3246"/>
      <c r="R1" s="3246"/>
      <c r="S1" s="2736" t="str">
        <f>IF(B10="北京市","北京市",C10)&amp;F10&amp;IF(结果表!G1="在建","出让国有建设用地使用权及在建建筑物房地产抵押价值",IF(结果表!G1="土地","出让国有建设用地使用权抵押价值",B9))</f>
        <v>北京市兴盛国际房地产抵押价值</v>
      </c>
      <c r="T1" s="2735"/>
      <c r="U1" s="2735"/>
      <c r="V1" s="2735"/>
      <c r="W1" s="2735"/>
      <c r="X1" s="2735"/>
      <c r="Y1" s="2735"/>
      <c r="Z1" s="2735"/>
      <c r="AA1" s="2735"/>
      <c r="AB1" s="2735"/>
    </row>
    <row r="2" spans="1:30">
      <c r="A2" s="3205" t="s">
        <v>427</v>
      </c>
      <c r="B2" s="3206"/>
      <c r="C2" s="3207"/>
      <c r="D2" s="3208"/>
      <c r="E2" s="3209"/>
      <c r="F2" s="3209"/>
      <c r="G2" s="3210"/>
      <c r="H2" s="3210"/>
      <c r="I2" s="3210"/>
      <c r="J2" s="2685"/>
      <c r="K2" s="3301"/>
      <c r="L2" s="3302"/>
      <c r="M2" s="3302"/>
      <c r="N2" s="3246"/>
      <c r="O2" s="3024"/>
      <c r="P2" s="3246"/>
      <c r="Q2" s="3246"/>
      <c r="R2" s="3246"/>
      <c r="S2" s="2736" t="str">
        <f>IF(B10="北京市","北京市",C10)&amp;F10&amp;IF(结果表!G1="在建","出让国有建设用地使用权及在建建筑物房地产",IF(结果表!G1="土地","出让国有建设用地使用权","房地产"))</f>
        <v>北京市兴盛国际房地产</v>
      </c>
      <c r="T2" s="2735"/>
      <c r="U2" s="2735"/>
      <c r="V2" s="2735"/>
      <c r="W2" s="2735"/>
      <c r="X2" s="2735"/>
      <c r="Y2" s="2735"/>
      <c r="Z2" s="2735"/>
      <c r="AA2" s="2735"/>
      <c r="AB2" s="2735"/>
    </row>
    <row r="3" spans="1:30">
      <c r="A3" s="1991" t="s">
        <v>428</v>
      </c>
      <c r="B3" s="3211">
        <v>45310</v>
      </c>
      <c r="C3" s="3212" t="s">
        <v>429</v>
      </c>
      <c r="D3" s="3211">
        <v>45300</v>
      </c>
      <c r="E3" s="3210"/>
      <c r="F3" s="3210"/>
      <c r="G3" s="3210"/>
      <c r="H3" s="3210"/>
      <c r="I3" s="3210"/>
      <c r="J3" s="2685"/>
      <c r="K3" s="3301"/>
      <c r="L3" s="3302"/>
      <c r="M3" s="3302"/>
      <c r="N3" s="3246"/>
      <c r="O3" s="3024"/>
      <c r="P3" s="3246"/>
      <c r="Q3" s="3246"/>
      <c r="R3" s="3246"/>
      <c r="S3" s="2736"/>
      <c r="T3" s="2735"/>
      <c r="U3" s="2735"/>
      <c r="V3" s="2735"/>
      <c r="W3" s="2735"/>
      <c r="X3" s="2735"/>
      <c r="Y3" s="2735"/>
      <c r="Z3" s="2735"/>
      <c r="AA3" s="2735"/>
      <c r="AB3" s="2735"/>
    </row>
    <row r="4" spans="1:30">
      <c r="A4" s="2013" t="s">
        <v>430</v>
      </c>
      <c r="B4" s="3213"/>
      <c r="C4" s="3214">
        <f>SUMIF(注册房地产估价师,B4,估价师及机构信息!B3:B24)</f>
        <v>0</v>
      </c>
      <c r="D4" s="3213"/>
      <c r="E4" s="3215">
        <f>SUMIF(注册房地产估价师,D4,估价师及机构信息!B3:B24)</f>
        <v>0</v>
      </c>
      <c r="F4" s="3213"/>
      <c r="G4" s="3215">
        <f>SUMIF(注册房地产估价师,F4,估价师及机构信息!B3:B24)</f>
        <v>0</v>
      </c>
      <c r="H4" s="3213"/>
      <c r="I4" s="3215">
        <f>SUMIF(注册房地产估价师,H4,估价师及机构信息!B3:B24)</f>
        <v>0</v>
      </c>
      <c r="J4" s="2719"/>
      <c r="K4" s="3303" t="str">
        <f>CONCATENATE(B4,"（注册号：",C4,")、",D4,"（注册号：",E4,")")</f>
        <v>（注册号：0)、（注册号：0)</v>
      </c>
      <c r="L4" s="3302"/>
      <c r="M4" s="3302"/>
      <c r="N4" s="3246"/>
      <c r="O4" s="3024"/>
      <c r="P4" s="3246"/>
      <c r="Q4" s="3246"/>
      <c r="R4" s="3246"/>
      <c r="S4" s="2736"/>
      <c r="T4" s="2735"/>
      <c r="U4" s="2735"/>
      <c r="V4" s="2735"/>
      <c r="W4" s="2735"/>
      <c r="X4" s="2735"/>
      <c r="Y4" s="2735"/>
      <c r="Z4" s="2735"/>
      <c r="AA4" s="2735"/>
      <c r="AB4" s="2735"/>
    </row>
    <row r="5" spans="1:30">
      <c r="A5" s="3216" t="s">
        <v>431</v>
      </c>
      <c r="B5" s="3217"/>
      <c r="C5" s="3218"/>
      <c r="D5" s="3219"/>
      <c r="E5" s="2840"/>
      <c r="F5" s="2840"/>
      <c r="G5" s="2840"/>
      <c r="H5" s="2840"/>
      <c r="I5" s="2840"/>
      <c r="J5" s="2719"/>
      <c r="K5" s="3303" t="str">
        <f>IF(F4="——","",IF(H4="——",F4&amp;"（注册号："&amp;G4&amp;")",CONCATENATE(F4,"（注册号：",G4,")、",H4,"（注册号：",I4,")")))</f>
        <v>（注册号：0)、（注册号：0)</v>
      </c>
      <c r="L5" s="3302"/>
      <c r="M5" s="3302"/>
      <c r="N5" s="3246"/>
      <c r="O5" s="3024"/>
      <c r="P5" s="3246"/>
      <c r="Q5" s="3246"/>
      <c r="R5" s="3246"/>
      <c r="S5" s="2735"/>
      <c r="T5" s="2735"/>
      <c r="U5" s="2735"/>
      <c r="V5" s="2735"/>
      <c r="W5" s="2735"/>
      <c r="X5" s="2735"/>
      <c r="Y5" s="2735"/>
      <c r="Z5" s="2735"/>
      <c r="AA5" s="2735"/>
      <c r="AB5" s="2735"/>
    </row>
    <row r="6" spans="1:30">
      <c r="A6" s="3220" t="s">
        <v>432</v>
      </c>
      <c r="B6" s="3221"/>
      <c r="C6" s="3222"/>
      <c r="D6" s="3223"/>
      <c r="E6" s="3209"/>
      <c r="F6" s="2840"/>
      <c r="G6" s="2840"/>
      <c r="H6" s="2840"/>
      <c r="I6" s="2840"/>
      <c r="J6" s="2719"/>
      <c r="K6" s="3304" t="str">
        <f>IF(COUNTIF(B6,"*上海银行*"),"上海银行","")</f>
        <v/>
      </c>
      <c r="L6" s="3305"/>
      <c r="M6" s="3305"/>
      <c r="N6" s="2719"/>
      <c r="O6" s="3306"/>
      <c r="P6" s="2719"/>
      <c r="Q6" s="2719"/>
      <c r="R6" s="2719"/>
    </row>
    <row r="7" spans="1:30">
      <c r="A7" s="3220" t="s">
        <v>433</v>
      </c>
      <c r="B7" s="3224"/>
      <c r="C7" s="3222"/>
      <c r="D7" s="3223"/>
      <c r="E7" s="3209"/>
      <c r="F7" s="2840"/>
      <c r="G7" s="2840"/>
      <c r="H7" s="2840"/>
      <c r="I7" s="2840"/>
      <c r="J7" s="2719"/>
      <c r="K7" s="3307"/>
      <c r="L7" s="3305"/>
      <c r="M7" s="3305"/>
      <c r="N7" s="2719"/>
      <c r="O7" s="3306"/>
      <c r="P7" s="2719"/>
      <c r="Q7" s="2719"/>
      <c r="R7" s="2719"/>
    </row>
    <row r="8" spans="1:30">
      <c r="A8" s="3225" t="s">
        <v>434</v>
      </c>
      <c r="B8" s="3226" t="s">
        <v>326</v>
      </c>
      <c r="C8" s="3227"/>
      <c r="D8" s="3651" t="s">
        <v>435</v>
      </c>
      <c r="E8" s="3228" t="s">
        <v>331</v>
      </c>
      <c r="F8" s="3229"/>
      <c r="G8" s="3210"/>
      <c r="H8" s="3210"/>
      <c r="I8" s="3210"/>
      <c r="J8" s="2719"/>
      <c r="K8" s="3308"/>
      <c r="L8" s="3305"/>
      <c r="M8" s="3305"/>
      <c r="N8" s="2719"/>
      <c r="O8" s="3306"/>
      <c r="P8" s="2719"/>
      <c r="Q8" s="2719"/>
      <c r="R8" s="2719"/>
    </row>
    <row r="9" spans="1:30">
      <c r="A9" s="3230" t="s">
        <v>436</v>
      </c>
      <c r="B9" s="3231" t="s">
        <v>331</v>
      </c>
      <c r="C9" s="3232"/>
      <c r="D9" s="3652"/>
      <c r="E9" s="3231" t="s">
        <v>337</v>
      </c>
      <c r="F9" s="3233"/>
      <c r="G9" s="3234"/>
      <c r="H9" s="3234"/>
      <c r="I9" s="3234"/>
      <c r="J9" s="2719"/>
      <c r="K9" s="3307"/>
      <c r="L9" s="3305"/>
      <c r="M9" s="3305"/>
      <c r="N9" s="2719"/>
      <c r="O9" s="3306"/>
      <c r="P9" s="2719"/>
      <c r="Q9" s="2719"/>
      <c r="R9" s="2719"/>
    </row>
    <row r="10" spans="1:30">
      <c r="A10" s="3235" t="s">
        <v>437</v>
      </c>
      <c r="B10" s="3236" t="s">
        <v>438</v>
      </c>
      <c r="C10" s="3237"/>
      <c r="D10" s="3219"/>
      <c r="E10" s="3238" t="s">
        <v>439</v>
      </c>
      <c r="F10" s="3239" t="s">
        <v>440</v>
      </c>
      <c r="G10" s="3240"/>
      <c r="H10" s="3241"/>
      <c r="I10" s="3309"/>
      <c r="J10" s="2719"/>
      <c r="K10" s="3307"/>
      <c r="L10" s="3305"/>
      <c r="M10" s="3305"/>
      <c r="N10" s="2719"/>
      <c r="O10" s="3306"/>
      <c r="P10" s="2719"/>
      <c r="Q10" s="2719"/>
      <c r="R10" s="2719"/>
    </row>
    <row r="11" spans="1:30">
      <c r="A11" s="3242" t="s">
        <v>441</v>
      </c>
      <c r="B11" s="3243" t="s">
        <v>442</v>
      </c>
      <c r="C11" s="3244"/>
      <c r="D11" s="3245"/>
      <c r="E11" s="3246"/>
      <c r="F11" s="3246"/>
      <c r="G11" s="3246"/>
      <c r="H11" s="3246"/>
      <c r="I11" s="3246"/>
      <c r="J11" s="3310"/>
      <c r="K11" s="3311"/>
      <c r="L11" s="3305"/>
      <c r="M11" s="3305"/>
      <c r="N11" s="2719"/>
      <c r="O11" s="3306"/>
      <c r="P11" s="2719"/>
      <c r="Q11" s="2719"/>
      <c r="R11" s="2719"/>
    </row>
    <row r="12" spans="1:30">
      <c r="A12" s="3247" t="s">
        <v>443</v>
      </c>
      <c r="B12" s="2032" t="s">
        <v>444</v>
      </c>
      <c r="C12" s="3248" t="s">
        <v>445</v>
      </c>
      <c r="D12" s="3248" t="s">
        <v>446</v>
      </c>
      <c r="E12" s="3248" t="s">
        <v>447</v>
      </c>
      <c r="F12" s="3248" t="s">
        <v>448</v>
      </c>
      <c r="G12" s="3248" t="s">
        <v>449</v>
      </c>
      <c r="H12" s="3248" t="s">
        <v>450</v>
      </c>
      <c r="I12" s="3312" t="s">
        <v>279</v>
      </c>
      <c r="J12" s="3313"/>
      <c r="K12" s="3305"/>
      <c r="L12" s="3305"/>
      <c r="M12" s="2719"/>
      <c r="N12" s="3306"/>
      <c r="O12" s="2719"/>
      <c r="P12" s="2719"/>
      <c r="Q12" s="2719"/>
      <c r="AD12" s="2735"/>
    </row>
    <row r="13" spans="1:30">
      <c r="A13" s="3249" t="s">
        <v>451</v>
      </c>
      <c r="B13" s="3250" t="s">
        <v>452</v>
      </c>
      <c r="C13" s="3251"/>
      <c r="D13" s="3251">
        <v>52187</v>
      </c>
      <c r="E13" s="3251"/>
      <c r="F13" s="3251">
        <f>H13</f>
        <v>55840</v>
      </c>
      <c r="G13" s="3251"/>
      <c r="H13" s="3251">
        <f>抵押物清单!R2</f>
        <v>55840</v>
      </c>
      <c r="I13" s="3251"/>
      <c r="J13" s="3313"/>
      <c r="K13" s="3305"/>
      <c r="L13" s="3305"/>
      <c r="M13" s="2719"/>
      <c r="N13" s="3306"/>
      <c r="O13" s="2719"/>
      <c r="P13" s="2719"/>
      <c r="Q13" s="2719"/>
      <c r="AD13" s="2735"/>
    </row>
    <row r="14" spans="1:30">
      <c r="A14" s="2018"/>
      <c r="B14" s="3250" t="s">
        <v>453</v>
      </c>
      <c r="C14" s="3252"/>
      <c r="D14" s="3252">
        <v>40</v>
      </c>
      <c r="E14" s="3252"/>
      <c r="F14" s="3252">
        <v>50</v>
      </c>
      <c r="G14" s="3252"/>
      <c r="H14" s="3252">
        <v>50</v>
      </c>
      <c r="I14" s="3252"/>
      <c r="J14" s="3314"/>
      <c r="K14" s="3305"/>
      <c r="L14" s="3305"/>
      <c r="M14" s="2719"/>
      <c r="N14" s="3306"/>
      <c r="O14" s="2719"/>
      <c r="P14" s="2719"/>
      <c r="Q14" s="2719"/>
      <c r="AD14" s="2735"/>
    </row>
    <row r="15" spans="1:30">
      <c r="A15" s="2025"/>
      <c r="B15" s="3253" t="s">
        <v>454</v>
      </c>
      <c r="C15" s="3254" t="str">
        <f>IF(A13="出让",IF(C13="","",ROUNDDOWN(MIN((C13-$D$3)/365,C14),2)),C14)</f>
        <v/>
      </c>
      <c r="D15" s="3254">
        <f>IF(A13="出让",IF(D13="","",ROUNDDOWN(MIN((D13-$D$3)/365,D14),2)),D14)</f>
        <v>18.86</v>
      </c>
      <c r="E15" s="3254" t="str">
        <f>IF(A13="出让",IF(E13="","",ROUNDDOWN(MIN((E13-$D$3)/365,E14),2)),E14)</f>
        <v/>
      </c>
      <c r="F15" s="3254">
        <f>IF(A13="出让",IF(F13="","",ROUNDDOWN(MIN((F13-$D$3)/365,F14),2)),F14)</f>
        <v>28.87</v>
      </c>
      <c r="G15" s="3254" t="str">
        <f>IF(A13="出让",IF(G13="","",ROUNDDOWN(MIN((G13-$D$3)/365,G14),2)),G14)</f>
        <v/>
      </c>
      <c r="H15" s="3254">
        <f>IF(A13="出让",IF(H13="","",ROUNDDOWN(MIN((H13-$D$3)/365,H14),2)),H14)</f>
        <v>28.87</v>
      </c>
      <c r="I15" s="3254" t="str">
        <f>IF(A13="出让",IF(I13="","",ROUNDDOWN(MIN((I13-$D$3)/365,I14),2)),I14)</f>
        <v/>
      </c>
      <c r="J15" s="3315"/>
      <c r="K15" s="3316"/>
      <c r="L15" s="3316"/>
      <c r="M15" s="2720"/>
      <c r="N15" s="3316"/>
      <c r="O15" s="2720"/>
      <c r="P15" s="2719"/>
      <c r="Q15" s="2719"/>
      <c r="AD15" s="2735"/>
    </row>
    <row r="16" spans="1:30">
      <c r="A16" s="3238" t="s">
        <v>455</v>
      </c>
      <c r="B16" s="3639"/>
      <c r="C16" s="3640"/>
      <c r="D16" s="3641"/>
      <c r="E16" s="3255" t="s">
        <v>456</v>
      </c>
      <c r="F16" s="3642"/>
      <c r="G16" s="3643"/>
      <c r="H16" s="3643"/>
      <c r="I16" s="3644"/>
      <c r="J16" s="2719"/>
      <c r="K16" s="3317"/>
      <c r="L16" s="3316"/>
      <c r="M16" s="3316"/>
      <c r="N16" s="2720"/>
      <c r="O16" s="3316"/>
      <c r="P16" s="2720"/>
      <c r="Q16" s="2719"/>
      <c r="R16" s="2719"/>
    </row>
    <row r="17" spans="1:28">
      <c r="A17" s="2002" t="s">
        <v>457</v>
      </c>
      <c r="B17" s="1991" t="s">
        <v>458</v>
      </c>
      <c r="C17" s="1006">
        <f>'数据-汇总表'!E3</f>
        <v>38.93</v>
      </c>
      <c r="D17" s="2045" t="s">
        <v>459</v>
      </c>
      <c r="E17" s="3645" t="s">
        <v>460</v>
      </c>
      <c r="F17" s="3646"/>
      <c r="G17" s="3646"/>
      <c r="H17" s="3646"/>
      <c r="I17" s="3647"/>
      <c r="J17" s="2719"/>
      <c r="K17" s="3318"/>
      <c r="L17" s="3316"/>
      <c r="M17" s="3316"/>
      <c r="N17" s="2720"/>
      <c r="O17" s="3316"/>
      <c r="P17" s="2720"/>
      <c r="Q17" s="2719"/>
      <c r="R17" s="2719"/>
      <c r="S17" s="2719"/>
      <c r="T17" s="2719"/>
      <c r="U17" s="2719"/>
      <c r="V17" s="2719"/>
    </row>
    <row r="18" spans="1:28" ht="24">
      <c r="A18" s="3256" t="s">
        <v>461</v>
      </c>
      <c r="B18" s="2013" t="s">
        <v>462</v>
      </c>
      <c r="C18" s="3257">
        <f>'数据-汇总表'!D3</f>
        <v>0</v>
      </c>
      <c r="D18" s="2038" t="s">
        <v>459</v>
      </c>
      <c r="E18" s="3648" t="s">
        <v>463</v>
      </c>
      <c r="F18" s="3649"/>
      <c r="G18" s="3649"/>
      <c r="H18" s="3649"/>
      <c r="I18" s="3650"/>
      <c r="J18" s="2719"/>
      <c r="K18" s="3318"/>
      <c r="L18" s="3316"/>
      <c r="M18" s="3316"/>
      <c r="N18" s="2720"/>
      <c r="O18" s="3316"/>
      <c r="P18" s="2720"/>
      <c r="Q18" s="2719"/>
      <c r="R18" s="2719"/>
      <c r="S18" s="2719"/>
      <c r="T18" s="2719"/>
      <c r="U18" s="2719"/>
      <c r="V18" s="2719"/>
    </row>
    <row r="19" spans="1:28" ht="36">
      <c r="A19" s="2055" t="s">
        <v>464</v>
      </c>
      <c r="B19" s="1995" t="s">
        <v>465</v>
      </c>
      <c r="C19" s="3258"/>
      <c r="D19" s="3259" t="s">
        <v>466</v>
      </c>
      <c r="E19" s="3260"/>
      <c r="F19" s="3261" t="str">
        <f>IF(AND(C19="是",E19="否"),"是否提供他项权证或相关说明","")</f>
        <v/>
      </c>
      <c r="G19" s="3262"/>
      <c r="H19" s="2840"/>
      <c r="I19" s="2840"/>
      <c r="J19" s="2719"/>
      <c r="K19" s="3307"/>
      <c r="L19" s="3305"/>
      <c r="M19" s="3305"/>
      <c r="N19" s="2720"/>
      <c r="O19" s="3316"/>
      <c r="P19" s="2720"/>
      <c r="Q19" s="2719"/>
      <c r="R19" s="2719"/>
      <c r="S19" s="2719"/>
      <c r="T19" s="2719"/>
      <c r="U19" s="2719"/>
      <c r="V19" s="2719"/>
    </row>
    <row r="20" spans="1:28">
      <c r="A20" s="3263" t="s">
        <v>467</v>
      </c>
      <c r="B20" s="3625" t="s">
        <v>468</v>
      </c>
      <c r="C20" s="3626"/>
      <c r="D20" s="3627" t="s">
        <v>469</v>
      </c>
      <c r="E20" s="3628"/>
      <c r="F20" s="3264" t="s">
        <v>470</v>
      </c>
      <c r="G20" s="2840"/>
      <c r="H20" s="2840"/>
      <c r="I20" s="2840"/>
      <c r="J20" s="2719"/>
      <c r="K20" s="3623" t="s">
        <v>471</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2"/>
      <c r="N20" s="3319"/>
      <c r="O20" s="3320"/>
      <c r="P20" s="3319"/>
      <c r="Q20" s="3246"/>
      <c r="R20" s="3246"/>
      <c r="S20" s="3246"/>
      <c r="T20" s="3246"/>
      <c r="U20" s="3246"/>
      <c r="V20" s="3246"/>
      <c r="W20" s="2735"/>
      <c r="X20" s="2735"/>
      <c r="Y20" s="2735"/>
      <c r="Z20" s="2735"/>
      <c r="AA20" s="2735"/>
      <c r="AB20" s="2735"/>
    </row>
    <row r="21" spans="1:28" ht="24">
      <c r="A21" s="3263"/>
      <c r="B21" s="3265" t="s">
        <v>472</v>
      </c>
      <c r="C21" s="3266" t="s">
        <v>473</v>
      </c>
      <c r="D21" s="3267" t="s">
        <v>474</v>
      </c>
      <c r="E21" s="3268" t="s">
        <v>473</v>
      </c>
      <c r="F21" s="3269"/>
      <c r="G21" s="2840"/>
      <c r="H21" s="2840"/>
      <c r="I21" s="2840"/>
      <c r="J21" s="2719"/>
      <c r="K21" s="3623"/>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2"/>
      <c r="N21" s="3319"/>
      <c r="O21" s="3320"/>
      <c r="P21" s="3319"/>
      <c r="Q21" s="3246"/>
      <c r="R21" s="3246"/>
      <c r="S21" s="3246"/>
      <c r="T21" s="3246"/>
      <c r="U21" s="3246"/>
      <c r="V21" s="3246"/>
      <c r="W21" s="2735"/>
      <c r="X21" s="2735"/>
      <c r="Y21" s="2735"/>
      <c r="Z21" s="2735"/>
      <c r="AA21" s="2735"/>
      <c r="AB21" s="2735"/>
    </row>
    <row r="22" spans="1:28" ht="24">
      <c r="A22" s="3263"/>
      <c r="B22" s="3270" t="s">
        <v>475</v>
      </c>
      <c r="C22" s="3266" t="s">
        <v>476</v>
      </c>
      <c r="D22" s="3210"/>
      <c r="E22" s="3210"/>
      <c r="F22" s="3210"/>
      <c r="G22" s="2840"/>
      <c r="H22" s="2840"/>
      <c r="I22" s="2840"/>
      <c r="J22" s="2719"/>
      <c r="K22" s="3623"/>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2"/>
      <c r="N22" s="3319"/>
      <c r="O22" s="3320"/>
      <c r="P22" s="3319"/>
      <c r="Q22" s="3246"/>
      <c r="R22" s="3246"/>
      <c r="S22" s="3246"/>
      <c r="T22" s="3246"/>
      <c r="U22" s="3246"/>
      <c r="V22" s="3246"/>
      <c r="W22" s="2735"/>
      <c r="X22" s="2735"/>
      <c r="Y22" s="2735"/>
      <c r="Z22" s="2735"/>
      <c r="AA22" s="2735"/>
      <c r="AB22" s="2735"/>
    </row>
    <row r="23" spans="1:28">
      <c r="A23" s="3271" t="s">
        <v>477</v>
      </c>
      <c r="B23" s="2710" t="s">
        <v>478</v>
      </c>
      <c r="C23" s="3272"/>
      <c r="D23" s="3273" t="s">
        <v>478</v>
      </c>
      <c r="E23" s="3274"/>
      <c r="F23" s="3210"/>
      <c r="G23" s="2840"/>
      <c r="H23" s="2840"/>
      <c r="I23" s="2840"/>
      <c r="J23" s="2719"/>
      <c r="K23" s="3321"/>
      <c r="L23" s="2154"/>
      <c r="M23" s="3305"/>
      <c r="N23" s="2720"/>
      <c r="O23" s="3316"/>
      <c r="P23" s="2720"/>
      <c r="Q23" s="2719"/>
      <c r="R23" s="2719"/>
      <c r="S23" s="2719"/>
      <c r="T23" s="2719"/>
      <c r="U23" s="2719"/>
      <c r="V23" s="2719"/>
    </row>
    <row r="24" spans="1:28">
      <c r="A24" s="3271"/>
      <c r="B24" s="2710" t="s">
        <v>479</v>
      </c>
      <c r="C24" s="3275"/>
      <c r="D24" s="3271" t="s">
        <v>479</v>
      </c>
      <c r="E24" s="3276"/>
      <c r="F24" s="3210"/>
      <c r="G24" s="2840"/>
      <c r="H24" s="2840"/>
      <c r="I24" s="2840"/>
      <c r="J24" s="2719"/>
      <c r="K24" s="3321"/>
      <c r="L24" s="2154"/>
      <c r="M24" s="3305"/>
      <c r="N24" s="2720"/>
      <c r="O24" s="3316"/>
      <c r="P24" s="2720"/>
      <c r="Q24" s="2719"/>
      <c r="R24" s="2719"/>
      <c r="S24" s="2719"/>
      <c r="T24" s="2719"/>
      <c r="U24" s="2719"/>
      <c r="V24" s="2719"/>
    </row>
    <row r="25" spans="1:28">
      <c r="A25" s="3271"/>
      <c r="B25" s="2710" t="s">
        <v>480</v>
      </c>
      <c r="C25" s="3275"/>
      <c r="D25" s="3271" t="s">
        <v>480</v>
      </c>
      <c r="E25" s="3276"/>
      <c r="F25" s="3210"/>
      <c r="G25" s="2840"/>
      <c r="H25" s="2840"/>
      <c r="I25" s="2840"/>
      <c r="J25" s="2719"/>
      <c r="K25" s="3307"/>
      <c r="L25" s="3305"/>
      <c r="M25" s="3305"/>
      <c r="N25" s="2720"/>
      <c r="O25" s="3316"/>
      <c r="P25" s="2720"/>
      <c r="Q25" s="2719"/>
      <c r="R25" s="2719"/>
      <c r="S25" s="2719"/>
      <c r="T25" s="2719"/>
      <c r="U25" s="2719"/>
      <c r="V25" s="2719"/>
    </row>
    <row r="26" spans="1:28">
      <c r="A26" s="3277"/>
      <c r="B26" s="3278" t="s">
        <v>481</v>
      </c>
      <c r="C26" s="3279"/>
      <c r="D26" s="3277" t="s">
        <v>481</v>
      </c>
      <c r="E26" s="3280"/>
      <c r="F26" s="3234"/>
      <c r="G26" s="3234"/>
      <c r="H26" s="3234"/>
      <c r="I26" s="3234"/>
      <c r="J26" s="2719"/>
      <c r="K26" s="3307"/>
      <c r="L26" s="3305"/>
      <c r="M26" s="3305"/>
      <c r="N26" s="2720"/>
      <c r="O26" s="3316"/>
      <c r="P26" s="2720"/>
      <c r="Q26" s="2719"/>
      <c r="R26" s="2719"/>
      <c r="S26" s="2719"/>
      <c r="T26" s="2719"/>
      <c r="U26" s="2719"/>
      <c r="V26" s="2719"/>
    </row>
    <row r="27" spans="1:28">
      <c r="A27" s="3632" t="s">
        <v>482</v>
      </c>
      <c r="B27" s="2025" t="s">
        <v>483</v>
      </c>
      <c r="C27" s="3281"/>
      <c r="D27" s="3282"/>
      <c r="E27" s="2840"/>
      <c r="F27" s="2840"/>
      <c r="G27" s="2840"/>
      <c r="H27" s="2840"/>
      <c r="I27" s="2840"/>
      <c r="J27" s="2719"/>
      <c r="K27" s="3317"/>
      <c r="L27" s="3316"/>
      <c r="M27" s="3316"/>
      <c r="N27" s="2720"/>
      <c r="O27" s="3316"/>
      <c r="P27" s="2720"/>
      <c r="Q27" s="2719"/>
      <c r="R27" s="2719"/>
      <c r="S27" s="2719"/>
      <c r="T27" s="2719"/>
      <c r="U27" s="2719"/>
      <c r="V27" s="2719"/>
    </row>
    <row r="28" spans="1:28">
      <c r="A28" s="3632"/>
      <c r="B28" s="1991" t="s">
        <v>484</v>
      </c>
      <c r="C28" s="3283"/>
      <c r="D28" s="3284"/>
      <c r="E28" s="2840"/>
      <c r="F28" s="2840"/>
      <c r="G28" s="2840"/>
      <c r="H28" s="2840"/>
      <c r="I28" s="2840"/>
      <c r="J28" s="2719"/>
      <c r="K28" s="3307"/>
      <c r="L28" s="3305"/>
      <c r="M28" s="3305"/>
      <c r="N28" s="2719"/>
      <c r="O28" s="3306"/>
      <c r="P28" s="2719"/>
      <c r="Q28" s="2719"/>
      <c r="R28" s="2719"/>
      <c r="S28" s="2719"/>
      <c r="T28" s="2719"/>
      <c r="U28" s="2719"/>
      <c r="V28" s="2719"/>
    </row>
    <row r="29" spans="1:28">
      <c r="A29" s="3632"/>
      <c r="B29" s="1991" t="s">
        <v>485</v>
      </c>
      <c r="C29" s="3285"/>
      <c r="D29" s="3286"/>
      <c r="E29" s="2840"/>
      <c r="F29" s="2840"/>
      <c r="G29" s="2840"/>
      <c r="H29" s="2840"/>
      <c r="I29" s="2840"/>
      <c r="J29" s="2719"/>
      <c r="K29" s="3307"/>
      <c r="L29" s="3305"/>
      <c r="M29" s="3305"/>
      <c r="N29" s="2719"/>
      <c r="O29" s="3306"/>
      <c r="P29" s="2719"/>
      <c r="Q29" s="2719"/>
      <c r="R29" s="2719"/>
      <c r="S29" s="2719"/>
      <c r="T29" s="2719"/>
      <c r="U29" s="2719"/>
      <c r="V29" s="2719"/>
    </row>
    <row r="30" spans="1:28">
      <c r="A30" s="3633"/>
      <c r="B30" s="1991" t="s">
        <v>486</v>
      </c>
      <c r="C30" s="3629"/>
      <c r="D30" s="3630"/>
      <c r="E30" s="2840"/>
      <c r="F30" s="2840"/>
      <c r="G30" s="2840"/>
      <c r="H30" s="2840"/>
      <c r="I30" s="2840"/>
      <c r="J30" s="2719"/>
      <c r="K30" s="3307"/>
      <c r="L30" s="3305"/>
      <c r="M30" s="3305"/>
      <c r="N30" s="2719"/>
      <c r="O30" s="3306"/>
      <c r="P30" s="2719"/>
      <c r="Q30" s="2719"/>
      <c r="R30" s="2719"/>
      <c r="S30" s="2719"/>
      <c r="T30" s="2719"/>
      <c r="U30" s="2719"/>
      <c r="V30" s="2719"/>
    </row>
    <row r="31" spans="1:28">
      <c r="A31" s="3634" t="s">
        <v>487</v>
      </c>
      <c r="B31" s="3287"/>
      <c r="C31" s="2145" t="str">
        <f>IF(B31="现房","成新及维护状况正常否",IF(B31="在建","工程状态是否正常",IF(B31="土地","是否闲置","-")))</f>
        <v>-</v>
      </c>
      <c r="D31" s="2244"/>
      <c r="E31" s="3288"/>
      <c r="F31" s="2840"/>
      <c r="G31" s="2840"/>
      <c r="H31" s="2840"/>
      <c r="I31" s="2840"/>
      <c r="J31" s="2719"/>
      <c r="K31" s="3304"/>
      <c r="L31" s="3305"/>
      <c r="M31" s="3305"/>
      <c r="N31" s="2719"/>
      <c r="O31" s="3306"/>
      <c r="P31" s="2719"/>
      <c r="Q31" s="2719"/>
      <c r="R31" s="2719"/>
      <c r="S31" s="2719"/>
      <c r="T31" s="2719"/>
      <c r="U31" s="2719"/>
      <c r="V31" s="2719"/>
    </row>
    <row r="32" spans="1:28">
      <c r="A32" s="3635"/>
      <c r="B32" s="3287"/>
      <c r="C32" s="2145" t="str">
        <f>IF(B32="现房","成新及维护状况是否正常",IF(B32="在建","工程状态是否正常",IF(B32="土地","是否闲置","-")))</f>
        <v>-</v>
      </c>
      <c r="D32" s="2244"/>
      <c r="E32" s="3288"/>
      <c r="F32" s="2840"/>
      <c r="G32" s="2840"/>
      <c r="H32" s="2840"/>
      <c r="I32" s="2840"/>
      <c r="J32" s="2719"/>
      <c r="K32" s="3307"/>
      <c r="L32" s="3305"/>
      <c r="M32" s="3305"/>
      <c r="N32" s="2719"/>
      <c r="O32" s="3306"/>
      <c r="P32" s="2719"/>
      <c r="Q32" s="2719"/>
      <c r="R32" s="2719"/>
      <c r="S32" s="2719"/>
      <c r="T32" s="2719"/>
      <c r="U32" s="2719"/>
      <c r="V32" s="2719"/>
    </row>
    <row r="33" spans="1:30">
      <c r="A33" s="3635"/>
      <c r="B33" s="3289"/>
      <c r="C33" s="2470" t="str">
        <f>IF(B33="现房","成新及维护状况是否正常",IF(B33="在建","工程状态是否正常",IF(B33="土地","是否闲置","-")))</f>
        <v>-</v>
      </c>
      <c r="D33" s="2000"/>
      <c r="E33" s="3290"/>
      <c r="F33" s="2840"/>
      <c r="G33" s="2840"/>
      <c r="H33" s="2840"/>
      <c r="I33" s="2840"/>
      <c r="J33" s="2719"/>
      <c r="K33" s="3307"/>
      <c r="L33" s="3305"/>
      <c r="M33" s="3305"/>
      <c r="N33" s="2719"/>
      <c r="O33" s="3306"/>
      <c r="P33" s="2719"/>
      <c r="Q33" s="2719"/>
      <c r="R33" s="2719"/>
      <c r="S33" s="2719"/>
      <c r="T33" s="2719"/>
      <c r="U33" s="2719"/>
      <c r="V33" s="2719"/>
    </row>
    <row r="34" spans="1:30">
      <c r="A34" s="1991" t="s">
        <v>488</v>
      </c>
      <c r="B34" s="576"/>
      <c r="C34" s="576"/>
      <c r="D34" s="576"/>
      <c r="E34" s="576"/>
      <c r="F34" s="576"/>
      <c r="G34" s="576"/>
      <c r="H34" s="576"/>
      <c r="I34" s="2840"/>
      <c r="J34" s="2719"/>
      <c r="K34" s="1006">
        <f>COUNTIF(B34:H34,"——")</f>
        <v>0</v>
      </c>
      <c r="L34" s="2032" t="s">
        <v>489</v>
      </c>
      <c r="M34" s="2032" t="s">
        <v>490</v>
      </c>
      <c r="N34" s="2032" t="s">
        <v>491</v>
      </c>
      <c r="O34" s="2032" t="s">
        <v>492</v>
      </c>
      <c r="P34" s="2032" t="s">
        <v>493</v>
      </c>
      <c r="Q34" s="2032" t="s">
        <v>494</v>
      </c>
      <c r="R34" s="2032" t="s">
        <v>495</v>
      </c>
      <c r="S34" s="3624" t="s">
        <v>496</v>
      </c>
      <c r="T34" s="2032" t="str">
        <f>NUMBERSTRING(7-K34,1)&amp;"通"</f>
        <v>七通</v>
      </c>
      <c r="U34" s="2719"/>
      <c r="V34" s="2719"/>
    </row>
    <row r="35" spans="1:30">
      <c r="A35" s="3291"/>
      <c r="B35" s="3631" t="s">
        <v>497</v>
      </c>
      <c r="C35" s="3631"/>
      <c r="D35" s="3631"/>
      <c r="E35" s="3631"/>
      <c r="F35" s="1063">
        <f>C10</f>
        <v>0</v>
      </c>
      <c r="G35" s="2840"/>
      <c r="H35" s="2840"/>
      <c r="I35" s="2840"/>
      <c r="J35" s="2719"/>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624"/>
      <c r="T35" s="2034" t="str">
        <f>IF(T34="一通",L35,IF(T34="二通",M35,IF(T34="三通",N35,IF(T34="四通",O35,IF(T34="五通",P35,IF(T34="六通",Q35,R35))))))</f>
        <v>、、、、、、</v>
      </c>
      <c r="U35" s="2719"/>
      <c r="V35" s="2719"/>
    </row>
    <row r="36" spans="1:30">
      <c r="A36" s="3292"/>
      <c r="B36" s="1063" t="s">
        <v>446</v>
      </c>
      <c r="C36" s="1063" t="s">
        <v>447</v>
      </c>
      <c r="D36" s="1063" t="s">
        <v>445</v>
      </c>
      <c r="E36" s="1063" t="s">
        <v>450</v>
      </c>
      <c r="F36" s="3293" t="s">
        <v>279</v>
      </c>
      <c r="G36" s="2840"/>
      <c r="H36" s="2840"/>
      <c r="I36" s="2840"/>
      <c r="J36" s="2719"/>
      <c r="K36" s="3307"/>
      <c r="L36" s="3305"/>
      <c r="M36" s="3305"/>
      <c r="N36" s="2719"/>
      <c r="O36" s="3306"/>
      <c r="P36" s="2719"/>
      <c r="Q36" s="2719"/>
      <c r="R36" s="2719"/>
      <c r="S36" s="2719"/>
      <c r="T36" s="2719"/>
      <c r="U36" s="2719"/>
      <c r="V36" s="2719"/>
    </row>
    <row r="37" spans="1:30">
      <c r="A37" s="3294" t="s">
        <v>498</v>
      </c>
      <c r="B37" s="3295" t="s">
        <v>272</v>
      </c>
      <c r="C37" s="3295" t="s">
        <v>272</v>
      </c>
      <c r="D37" s="3295"/>
      <c r="E37" s="3295" t="s">
        <v>272</v>
      </c>
      <c r="F37" s="3295"/>
      <c r="G37" s="2840"/>
      <c r="H37" s="2840"/>
      <c r="I37" s="2840"/>
      <c r="J37" s="2719"/>
      <c r="K37" s="3307"/>
      <c r="L37" s="3305"/>
      <c r="M37" s="3305"/>
      <c r="N37" s="2719"/>
      <c r="O37" s="3306"/>
      <c r="P37" s="2719"/>
      <c r="Q37" s="2719"/>
      <c r="R37" s="2719"/>
      <c r="S37" s="2719"/>
      <c r="T37" s="2719"/>
      <c r="U37" s="2719"/>
      <c r="V37" s="2719"/>
    </row>
    <row r="38" spans="1:30">
      <c r="A38" s="3296" t="s">
        <v>499</v>
      </c>
      <c r="B38" s="3297" t="s">
        <v>500</v>
      </c>
      <c r="C38" s="3297" t="s">
        <v>500</v>
      </c>
      <c r="D38" s="3297"/>
      <c r="E38" s="3297" t="s">
        <v>501</v>
      </c>
      <c r="F38" s="3297"/>
      <c r="G38" s="3234"/>
      <c r="H38" s="3234"/>
      <c r="I38" s="3234"/>
      <c r="J38" s="2719"/>
      <c r="K38" s="3307"/>
      <c r="L38" s="3305"/>
      <c r="M38" s="3305"/>
      <c r="N38" s="2719"/>
      <c r="O38" s="3306"/>
      <c r="P38" s="2719"/>
      <c r="Q38" s="2719"/>
      <c r="R38" s="2719"/>
      <c r="S38" s="2719"/>
      <c r="T38" s="2719"/>
      <c r="U38" s="2719"/>
      <c r="V38" s="2719"/>
    </row>
    <row r="39" spans="1:30" s="3201" customFormat="1">
      <c r="A39" s="3298" t="s">
        <v>502</v>
      </c>
      <c r="B39" s="3299"/>
      <c r="C39" s="3299"/>
      <c r="D39" s="3299"/>
      <c r="E39" s="3299"/>
      <c r="F39" s="3299"/>
      <c r="G39" s="3299"/>
      <c r="H39" s="3299"/>
      <c r="I39" s="3299"/>
      <c r="J39" s="3322"/>
      <c r="K39" s="3323"/>
      <c r="L39" s="3322"/>
      <c r="M39" s="3322"/>
      <c r="N39" s="3322"/>
      <c r="O39" s="3324"/>
      <c r="P39" s="3322"/>
      <c r="Q39" s="3322"/>
      <c r="R39" s="3322"/>
      <c r="S39" s="3322"/>
      <c r="T39" s="3322"/>
      <c r="U39" s="3322"/>
      <c r="V39" s="3322"/>
      <c r="W39" s="3331"/>
      <c r="X39" s="3331"/>
      <c r="Y39" s="3331"/>
      <c r="Z39" s="3331"/>
      <c r="AA39" s="3331"/>
      <c r="AB39" s="3331"/>
      <c r="AC39" s="3331"/>
      <c r="AD39" s="3331"/>
    </row>
    <row r="40" spans="1:30">
      <c r="A40" s="3246"/>
      <c r="B40" s="3246"/>
      <c r="C40" s="3246"/>
      <c r="D40" s="3246"/>
      <c r="E40" s="3246"/>
      <c r="F40" s="3246"/>
      <c r="G40" s="3246"/>
      <c r="H40" s="3246"/>
      <c r="I40" s="2490"/>
      <c r="J40" s="2720"/>
      <c r="K40" s="3304"/>
      <c r="L40" s="3316"/>
      <c r="M40" s="3316"/>
      <c r="N40" s="2720"/>
      <c r="O40" s="3316"/>
      <c r="P40" s="2719"/>
      <c r="Q40" s="2719"/>
      <c r="R40" s="2719"/>
      <c r="S40" s="2719"/>
      <c r="T40" s="2719"/>
      <c r="U40" s="2719"/>
      <c r="V40" s="2719"/>
    </row>
    <row r="41" spans="1:30">
      <c r="A41" s="3300" t="s">
        <v>503</v>
      </c>
      <c r="B41" s="2376"/>
      <c r="C41" s="2244"/>
      <c r="D41" s="3246"/>
      <c r="E41" s="3246"/>
      <c r="F41" s="3246"/>
      <c r="G41" s="3246"/>
      <c r="H41" s="3246"/>
      <c r="I41" s="3024"/>
      <c r="J41" s="2719"/>
      <c r="K41" s="3307"/>
      <c r="L41" s="3305"/>
      <c r="M41" s="3305"/>
      <c r="N41" s="2719"/>
      <c r="O41" s="3306"/>
      <c r="P41" s="2719"/>
      <c r="Q41" s="2719"/>
      <c r="R41" s="2719"/>
      <c r="S41" s="2719"/>
      <c r="T41" s="2719"/>
      <c r="U41" s="2719"/>
      <c r="V41" s="2719"/>
    </row>
    <row r="42" spans="1:30" ht="25.5">
      <c r="A42" s="2032" t="s">
        <v>504</v>
      </c>
      <c r="B42" s="1006" t="s">
        <v>505</v>
      </c>
      <c r="C42" s="1006" t="s">
        <v>506</v>
      </c>
      <c r="D42" s="1006" t="s">
        <v>507</v>
      </c>
      <c r="E42" s="1006" t="s">
        <v>508</v>
      </c>
      <c r="F42" s="1006" t="s">
        <v>509</v>
      </c>
      <c r="G42" s="1006" t="s">
        <v>510</v>
      </c>
      <c r="H42" s="1006" t="s">
        <v>511</v>
      </c>
      <c r="I42" s="1006" t="s">
        <v>512</v>
      </c>
      <c r="J42" s="3325" t="s">
        <v>513</v>
      </c>
      <c r="K42" s="3326" t="s">
        <v>514</v>
      </c>
      <c r="L42" s="3326" t="s">
        <v>515</v>
      </c>
      <c r="M42" s="3326" t="s">
        <v>516</v>
      </c>
      <c r="N42" s="3327" t="s">
        <v>517</v>
      </c>
      <c r="O42" s="3327" t="s">
        <v>518</v>
      </c>
      <c r="P42" s="3327" t="s">
        <v>519</v>
      </c>
      <c r="Q42" s="3332" t="s">
        <v>520</v>
      </c>
      <c r="R42" s="3332" t="s">
        <v>521</v>
      </c>
      <c r="S42" s="2719"/>
      <c r="T42" s="2719"/>
      <c r="U42" s="2719"/>
      <c r="V42" s="2719"/>
    </row>
    <row r="43" spans="1:30" s="2929" customFormat="1">
      <c r="A43" s="3050"/>
      <c r="B43" s="3045"/>
      <c r="C43" s="3045"/>
      <c r="D43" s="3045"/>
      <c r="E43" s="3045"/>
      <c r="F43" s="3045"/>
      <c r="G43" s="3045"/>
      <c r="H43" s="3045"/>
      <c r="I43" s="3045"/>
      <c r="J43" s="3328"/>
      <c r="K43" s="3329"/>
      <c r="L43" s="3329"/>
      <c r="M43" s="3045"/>
      <c r="N43" s="3045"/>
      <c r="O43" s="3045"/>
      <c r="P43" s="3045"/>
      <c r="Q43" s="3045"/>
      <c r="R43" s="3045"/>
      <c r="S43" s="2719"/>
      <c r="T43" s="2719"/>
      <c r="U43" s="2719"/>
      <c r="V43" s="2719"/>
    </row>
    <row r="44" spans="1:30" s="2929" customFormat="1">
      <c r="A44" s="3050"/>
      <c r="B44" s="3050"/>
      <c r="C44" s="3045"/>
      <c r="D44" s="3045"/>
      <c r="E44" s="3045"/>
      <c r="F44" s="3045"/>
      <c r="G44" s="3045"/>
      <c r="H44" s="3045"/>
      <c r="I44" s="3045"/>
      <c r="J44" s="3328"/>
      <c r="K44" s="3329"/>
      <c r="L44" s="3329"/>
      <c r="M44" s="3045"/>
      <c r="N44" s="3045"/>
      <c r="O44" s="3045"/>
      <c r="P44" s="3045"/>
      <c r="Q44" s="3045"/>
      <c r="R44" s="3045"/>
      <c r="S44" s="2719"/>
      <c r="T44" s="2719"/>
      <c r="U44" s="2719"/>
      <c r="V44" s="2719"/>
    </row>
    <row r="45" spans="1:30" s="2929" customFormat="1">
      <c r="A45" s="3050"/>
      <c r="B45" s="3050"/>
      <c r="C45" s="3045"/>
      <c r="D45" s="3045"/>
      <c r="E45" s="3045"/>
      <c r="F45" s="3045"/>
      <c r="G45" s="3045"/>
      <c r="H45" s="3045"/>
      <c r="I45" s="3045"/>
      <c r="J45" s="3328"/>
      <c r="K45" s="3329"/>
      <c r="L45" s="3329"/>
      <c r="M45" s="3045"/>
      <c r="N45" s="3045"/>
      <c r="O45" s="3045"/>
      <c r="P45" s="3045"/>
      <c r="Q45" s="3045"/>
      <c r="R45" s="3045"/>
      <c r="S45" s="2719"/>
      <c r="T45" s="2719"/>
      <c r="U45" s="2719"/>
      <c r="V45" s="2719"/>
    </row>
    <row r="46" spans="1:30" s="2929" customFormat="1">
      <c r="A46" s="3050"/>
      <c r="B46" s="3050"/>
      <c r="C46" s="3045"/>
      <c r="D46" s="3045"/>
      <c r="E46" s="3045"/>
      <c r="F46" s="3045"/>
      <c r="G46" s="3045"/>
      <c r="H46" s="3045"/>
      <c r="I46" s="3045"/>
      <c r="J46" s="3328"/>
      <c r="K46" s="3329"/>
      <c r="L46" s="3329"/>
      <c r="M46" s="3045"/>
      <c r="N46" s="3045"/>
      <c r="O46" s="3045"/>
      <c r="P46" s="3045"/>
      <c r="Q46" s="3045"/>
      <c r="R46" s="3045"/>
      <c r="S46" s="2719"/>
      <c r="T46" s="2719"/>
      <c r="U46" s="2719"/>
      <c r="V46" s="2719"/>
    </row>
    <row r="47" spans="1:30" s="2929" customFormat="1">
      <c r="A47" s="3050"/>
      <c r="B47" s="3050"/>
      <c r="C47" s="3045"/>
      <c r="D47" s="3045"/>
      <c r="E47" s="3045"/>
      <c r="F47" s="3045"/>
      <c r="G47" s="3045"/>
      <c r="H47" s="3045"/>
      <c r="I47" s="3045"/>
      <c r="J47" s="3328"/>
      <c r="K47" s="3329"/>
      <c r="L47" s="3329"/>
      <c r="M47" s="3045"/>
      <c r="N47" s="3045"/>
      <c r="O47" s="3045"/>
      <c r="P47" s="3045"/>
      <c r="Q47" s="3045"/>
      <c r="R47" s="3045"/>
      <c r="S47" s="2719"/>
      <c r="T47" s="2719"/>
      <c r="U47" s="2719"/>
      <c r="V47" s="2719"/>
    </row>
    <row r="48" spans="1:30" s="2929" customFormat="1">
      <c r="A48" s="3050"/>
      <c r="B48" s="3050"/>
      <c r="C48" s="3045"/>
      <c r="D48" s="3045"/>
      <c r="E48" s="3045"/>
      <c r="F48" s="3045"/>
      <c r="G48" s="3045"/>
      <c r="H48" s="3045"/>
      <c r="I48" s="3045"/>
      <c r="J48" s="3328"/>
      <c r="K48" s="3329"/>
      <c r="L48" s="3329"/>
      <c r="M48" s="3045"/>
      <c r="N48" s="3045"/>
      <c r="O48" s="3045"/>
      <c r="P48" s="3045"/>
      <c r="Q48" s="3045"/>
      <c r="R48" s="3045"/>
      <c r="S48" s="2719"/>
      <c r="T48" s="2719"/>
      <c r="U48" s="2719"/>
      <c r="V48" s="2719"/>
    </row>
    <row r="49" spans="1:22" s="2929" customFormat="1">
      <c r="A49" s="3050"/>
      <c r="B49" s="3050"/>
      <c r="C49" s="3045"/>
      <c r="D49" s="3045"/>
      <c r="E49" s="3045"/>
      <c r="F49" s="3045"/>
      <c r="G49" s="3045"/>
      <c r="H49" s="3045"/>
      <c r="I49" s="3045"/>
      <c r="J49" s="3328"/>
      <c r="K49" s="3329"/>
      <c r="L49" s="3329"/>
      <c r="M49" s="3045"/>
      <c r="N49" s="3045"/>
      <c r="O49" s="3045"/>
      <c r="P49" s="3045"/>
      <c r="Q49" s="3045"/>
      <c r="R49" s="3045"/>
      <c r="S49" s="2719"/>
      <c r="T49" s="2719"/>
      <c r="U49" s="2719"/>
      <c r="V49" s="2719"/>
    </row>
    <row r="50" spans="1:22" s="2929" customFormat="1">
      <c r="A50" s="3050"/>
      <c r="B50" s="3050"/>
      <c r="C50" s="3045"/>
      <c r="D50" s="3045"/>
      <c r="E50" s="3045"/>
      <c r="F50" s="3045"/>
      <c r="G50" s="3045"/>
      <c r="H50" s="3045"/>
      <c r="I50" s="3045"/>
      <c r="J50" s="3328"/>
      <c r="K50" s="3329"/>
      <c r="L50" s="3329"/>
      <c r="M50" s="3045"/>
      <c r="N50" s="3045"/>
      <c r="O50" s="3045"/>
      <c r="P50" s="3045"/>
      <c r="Q50" s="3045"/>
      <c r="R50" s="3045"/>
      <c r="S50" s="2719"/>
      <c r="T50" s="2719"/>
      <c r="U50" s="2719"/>
      <c r="V50" s="2719"/>
    </row>
    <row r="51" spans="1:22" s="2929" customFormat="1">
      <c r="A51" s="3050"/>
      <c r="B51" s="3050"/>
      <c r="C51" s="3045"/>
      <c r="D51" s="3045"/>
      <c r="E51" s="3045"/>
      <c r="F51" s="3045"/>
      <c r="G51" s="3045"/>
      <c r="H51" s="3045"/>
      <c r="I51" s="3045"/>
      <c r="J51" s="3328"/>
      <c r="K51" s="3329"/>
      <c r="L51" s="3329"/>
      <c r="M51" s="3045"/>
      <c r="N51" s="3045"/>
      <c r="O51" s="3045"/>
      <c r="P51" s="3045"/>
      <c r="Q51" s="3045"/>
      <c r="R51" s="3045"/>
    </row>
    <row r="52" spans="1:22" s="2929" customFormat="1">
      <c r="A52" s="3050"/>
      <c r="B52" s="3050"/>
      <c r="C52" s="3050"/>
      <c r="D52" s="3050"/>
      <c r="E52" s="3050"/>
      <c r="F52" s="3045"/>
      <c r="G52" s="3050"/>
      <c r="H52" s="3050"/>
      <c r="I52" s="3050"/>
      <c r="J52" s="3330"/>
      <c r="K52" s="3329"/>
      <c r="L52" s="3329"/>
      <c r="M52" s="3329"/>
      <c r="N52" s="3050"/>
      <c r="O52" s="3050"/>
      <c r="P52" s="3050"/>
      <c r="Q52" s="3050"/>
      <c r="R52" s="3050"/>
    </row>
    <row r="53" spans="1:22" s="2929" customFormat="1">
      <c r="A53" s="3050"/>
      <c r="B53" s="3050"/>
      <c r="C53" s="3050"/>
      <c r="D53" s="3050"/>
      <c r="E53" s="3050"/>
      <c r="F53" s="3045"/>
      <c r="G53" s="3050"/>
      <c r="H53" s="3050"/>
      <c r="I53" s="3050"/>
      <c r="J53" s="3330"/>
      <c r="K53" s="3329"/>
      <c r="L53" s="3329"/>
      <c r="M53" s="3329"/>
      <c r="N53" s="3050"/>
      <c r="O53" s="3050"/>
      <c r="P53" s="3050"/>
      <c r="Q53" s="3050"/>
      <c r="R53" s="3050"/>
    </row>
    <row r="54" spans="1:22" s="2929" customFormat="1">
      <c r="A54" s="3050"/>
      <c r="B54" s="3050"/>
      <c r="C54" s="3050"/>
      <c r="D54" s="3050"/>
      <c r="E54" s="3050"/>
      <c r="F54" s="3045"/>
      <c r="G54" s="3050"/>
      <c r="H54" s="3050"/>
      <c r="I54" s="3050"/>
      <c r="J54" s="3330"/>
      <c r="K54" s="3329"/>
      <c r="L54" s="3329"/>
      <c r="M54" s="3329"/>
      <c r="N54" s="3050"/>
      <c r="O54" s="3050"/>
      <c r="P54" s="3050"/>
      <c r="Q54" s="3050"/>
      <c r="R54" s="3050"/>
    </row>
    <row r="55" spans="1:22" s="2929" customFormat="1">
      <c r="A55" s="3050"/>
      <c r="B55" s="3050"/>
      <c r="C55" s="3050"/>
      <c r="D55" s="3050"/>
      <c r="E55" s="3050"/>
      <c r="F55" s="3045"/>
      <c r="G55" s="3050"/>
      <c r="H55" s="3050"/>
      <c r="I55" s="3050"/>
      <c r="J55" s="3330"/>
      <c r="K55" s="3329"/>
      <c r="L55" s="3329"/>
      <c r="M55" s="3329"/>
      <c r="N55" s="3050"/>
      <c r="O55" s="3050"/>
      <c r="P55" s="3050"/>
      <c r="Q55" s="3050"/>
      <c r="R55" s="3050"/>
    </row>
    <row r="56" spans="1:22" s="2929" customFormat="1">
      <c r="A56" s="3050"/>
      <c r="B56" s="3050"/>
      <c r="C56" s="3050"/>
      <c r="D56" s="3050"/>
      <c r="E56" s="3050"/>
      <c r="F56" s="3045"/>
      <c r="G56" s="3050"/>
      <c r="H56" s="3050"/>
      <c r="I56" s="3050"/>
      <c r="J56" s="3330"/>
      <c r="K56" s="3329"/>
      <c r="L56" s="3329"/>
      <c r="M56" s="3329"/>
      <c r="N56" s="3050"/>
      <c r="O56" s="3050"/>
      <c r="P56" s="3050"/>
      <c r="Q56" s="3050"/>
      <c r="R56" s="305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77"/>
  <sheetViews>
    <sheetView topLeftCell="M1" workbookViewId="0">
      <selection activeCell="U11" sqref="U11"/>
    </sheetView>
  </sheetViews>
  <sheetFormatPr defaultColWidth="9" defaultRowHeight="12"/>
  <cols>
    <col min="1" max="4" width="9" style="1"/>
    <col min="5" max="5" width="9.125" style="1" customWidth="1"/>
    <col min="6" max="6" width="10.25" style="3542" customWidth="1"/>
    <col min="7" max="8" width="9" style="1"/>
    <col min="9" max="9" width="9.125" style="1" customWidth="1"/>
    <col min="10" max="10" width="9" style="1"/>
    <col min="11" max="11" width="9.125" style="1" customWidth="1"/>
    <col min="12" max="12" width="10.25" style="1" customWidth="1"/>
    <col min="13" max="13" width="9" style="1"/>
    <col min="14" max="14" width="12.75" style="1" customWidth="1"/>
    <col min="15" max="15" width="9" style="1"/>
    <col min="16" max="16" width="10" style="1" customWidth="1"/>
    <col min="17" max="17" width="9" style="1"/>
    <col min="18" max="18" width="13.125" style="1" customWidth="1"/>
    <col min="19" max="21" width="9" style="1"/>
    <col min="22" max="22" width="13.75" style="1" customWidth="1"/>
    <col min="23" max="16384" width="9" style="1"/>
  </cols>
  <sheetData>
    <row r="1" spans="1:28" ht="72">
      <c r="A1" s="3191" t="s">
        <v>522</v>
      </c>
      <c r="B1" s="3191" t="s">
        <v>523</v>
      </c>
      <c r="C1" s="3191" t="s">
        <v>524</v>
      </c>
      <c r="D1" s="3191" t="s">
        <v>525</v>
      </c>
      <c r="E1" s="3191" t="s">
        <v>526</v>
      </c>
      <c r="F1" s="3526" t="s">
        <v>527</v>
      </c>
      <c r="G1" s="3191" t="s">
        <v>528</v>
      </c>
      <c r="H1" s="3191" t="s">
        <v>529</v>
      </c>
      <c r="I1" s="3191" t="s">
        <v>530</v>
      </c>
      <c r="J1" s="3191" t="s">
        <v>531</v>
      </c>
      <c r="K1" s="3191" t="s">
        <v>532</v>
      </c>
      <c r="M1" s="1" t="s">
        <v>533</v>
      </c>
      <c r="N1" s="1" t="s">
        <v>534</v>
      </c>
      <c r="O1" s="1" t="s">
        <v>535</v>
      </c>
      <c r="P1" s="1" t="s">
        <v>405</v>
      </c>
      <c r="Q1" s="1" t="s">
        <v>536</v>
      </c>
      <c r="R1" s="1" t="s">
        <v>353</v>
      </c>
      <c r="S1" s="1" t="s">
        <v>405</v>
      </c>
      <c r="T1" s="1" t="s">
        <v>537</v>
      </c>
      <c r="U1" s="1" t="s">
        <v>538</v>
      </c>
      <c r="V1" s="1" t="s">
        <v>539</v>
      </c>
      <c r="W1" s="3527" t="s">
        <v>3332</v>
      </c>
      <c r="X1" s="3527" t="s">
        <v>3333</v>
      </c>
      <c r="Y1" s="3527" t="s">
        <v>3334</v>
      </c>
      <c r="Z1" s="3544" t="s">
        <v>3336</v>
      </c>
      <c r="AA1" s="3544" t="s">
        <v>3335</v>
      </c>
      <c r="AB1" s="3527" t="s">
        <v>3337</v>
      </c>
    </row>
    <row r="2" spans="1:28" ht="48">
      <c r="A2" s="3653" t="s">
        <v>540</v>
      </c>
      <c r="B2" s="3653" t="s">
        <v>541</v>
      </c>
      <c r="C2" s="3654" t="s">
        <v>542</v>
      </c>
      <c r="D2" s="3654" t="s">
        <v>440</v>
      </c>
      <c r="E2" s="3528" t="s">
        <v>543</v>
      </c>
      <c r="F2" s="3529">
        <v>5766.04</v>
      </c>
      <c r="G2" s="3191" t="s">
        <v>544</v>
      </c>
      <c r="H2" s="3191" t="s">
        <v>544</v>
      </c>
      <c r="I2" s="3530" t="s">
        <v>545</v>
      </c>
      <c r="J2" s="3191" t="s">
        <v>546</v>
      </c>
      <c r="K2" s="3199">
        <v>2004</v>
      </c>
      <c r="M2" s="3151" t="s">
        <v>542</v>
      </c>
      <c r="N2" s="3151" t="s">
        <v>547</v>
      </c>
      <c r="O2" s="1">
        <v>30878.84</v>
      </c>
      <c r="P2" s="3151" t="s">
        <v>548</v>
      </c>
      <c r="Q2" s="1">
        <v>41590.1</v>
      </c>
      <c r="R2" s="3531">
        <v>55840</v>
      </c>
      <c r="S2" s="1" t="s">
        <v>409</v>
      </c>
      <c r="T2" s="1">
        <v>330</v>
      </c>
      <c r="U2" s="1">
        <v>1372.4733000000001</v>
      </c>
      <c r="V2" s="3531">
        <v>37578</v>
      </c>
      <c r="W2" s="1">
        <v>71647.72</v>
      </c>
      <c r="X2" s="1">
        <v>62620.41</v>
      </c>
      <c r="Y2" s="1">
        <v>9027.31</v>
      </c>
      <c r="Z2" s="1">
        <v>842.2</v>
      </c>
      <c r="AA2" s="1">
        <v>150</v>
      </c>
      <c r="AB2" s="1">
        <f>ROUND(X2/Q2,1)</f>
        <v>1.5</v>
      </c>
    </row>
    <row r="3" spans="1:28">
      <c r="A3" s="3653"/>
      <c r="B3" s="3653"/>
      <c r="C3" s="3653"/>
      <c r="D3" s="3653"/>
      <c r="E3" s="3532" t="s">
        <v>549</v>
      </c>
      <c r="F3" s="3529">
        <v>4208.8999999999996</v>
      </c>
      <c r="G3" s="3191" t="s">
        <v>550</v>
      </c>
      <c r="H3" s="3191" t="s">
        <v>550</v>
      </c>
      <c r="I3" s="3199" t="s">
        <v>551</v>
      </c>
      <c r="J3" s="3191" t="s">
        <v>552</v>
      </c>
      <c r="K3" s="3199">
        <v>2004</v>
      </c>
    </row>
    <row r="4" spans="1:28" ht="48">
      <c r="A4" s="3653"/>
      <c r="B4" s="3653"/>
      <c r="C4" s="3654" t="s">
        <v>553</v>
      </c>
      <c r="D4" s="3653" t="s">
        <v>554</v>
      </c>
      <c r="E4" s="3191" t="s">
        <v>555</v>
      </c>
      <c r="F4" s="3529">
        <v>2324.58</v>
      </c>
      <c r="G4" s="3191" t="s">
        <v>556</v>
      </c>
      <c r="H4" s="3191" t="s">
        <v>557</v>
      </c>
      <c r="I4" s="3199" t="s">
        <v>558</v>
      </c>
      <c r="J4" s="3191" t="s">
        <v>559</v>
      </c>
      <c r="K4" s="3199">
        <v>2004</v>
      </c>
      <c r="M4" s="3151" t="s">
        <v>553</v>
      </c>
      <c r="N4" s="3151" t="s">
        <v>560</v>
      </c>
    </row>
    <row r="5" spans="1:28" ht="24">
      <c r="A5" s="3653"/>
      <c r="B5" s="3653"/>
      <c r="C5" s="3653"/>
      <c r="D5" s="3653"/>
      <c r="E5" s="3199">
        <v>7</v>
      </c>
      <c r="F5" s="3529">
        <v>4668.6499999999996</v>
      </c>
      <c r="G5" s="3191" t="s">
        <v>556</v>
      </c>
      <c r="H5" s="3191" t="s">
        <v>557</v>
      </c>
      <c r="I5" s="3199" t="s">
        <v>558</v>
      </c>
      <c r="J5" s="3191" t="s">
        <v>559</v>
      </c>
      <c r="K5" s="3199">
        <v>2004</v>
      </c>
      <c r="L5" s="3151"/>
    </row>
    <row r="6" spans="1:28" ht="24">
      <c r="A6" s="3653"/>
      <c r="B6" s="3653"/>
      <c r="C6" s="3653"/>
      <c r="D6" s="3653"/>
      <c r="E6" s="3200">
        <v>10</v>
      </c>
      <c r="F6" s="3533">
        <v>1342.8</v>
      </c>
      <c r="G6" s="3528" t="s">
        <v>556</v>
      </c>
      <c r="H6" s="3528" t="s">
        <v>557</v>
      </c>
      <c r="I6" s="3534" t="s">
        <v>561</v>
      </c>
      <c r="J6" s="3528" t="s">
        <v>546</v>
      </c>
      <c r="K6" s="3200">
        <v>2004</v>
      </c>
      <c r="L6" s="3151" t="s">
        <v>562</v>
      </c>
    </row>
    <row r="7" spans="1:28">
      <c r="A7" s="3191" t="s">
        <v>563</v>
      </c>
      <c r="B7" s="3192"/>
      <c r="C7" s="3191" t="s">
        <v>564</v>
      </c>
      <c r="D7" s="3192"/>
      <c r="E7" s="3192"/>
      <c r="F7" s="3529">
        <v>18310.97</v>
      </c>
      <c r="G7" s="3192"/>
      <c r="H7" s="3192"/>
      <c r="I7" s="3192"/>
      <c r="J7" s="3192"/>
      <c r="K7" s="3192"/>
      <c r="L7" s="3151"/>
    </row>
    <row r="8" spans="1:28">
      <c r="A8" s="3653" t="s">
        <v>565</v>
      </c>
      <c r="B8" s="3653" t="s">
        <v>566</v>
      </c>
      <c r="C8" s="3654" t="s">
        <v>567</v>
      </c>
      <c r="D8" s="3653" t="s">
        <v>568</v>
      </c>
      <c r="E8" s="3199">
        <v>205</v>
      </c>
      <c r="F8" s="3529">
        <v>2359.0500000000002</v>
      </c>
      <c r="G8" s="3191" t="s">
        <v>556</v>
      </c>
      <c r="H8" s="3191" t="s">
        <v>557</v>
      </c>
      <c r="I8" s="3199" t="s">
        <v>558</v>
      </c>
      <c r="J8" s="3191" t="s">
        <v>569</v>
      </c>
      <c r="K8" s="3199">
        <v>2002</v>
      </c>
      <c r="L8" s="3151"/>
      <c r="M8" s="1" t="s">
        <v>570</v>
      </c>
      <c r="N8" s="1" t="s">
        <v>353</v>
      </c>
      <c r="O8" s="1" t="s">
        <v>571</v>
      </c>
    </row>
    <row r="9" spans="1:28" ht="30" customHeight="1">
      <c r="A9" s="3653"/>
      <c r="B9" s="3653"/>
      <c r="C9" s="3653"/>
      <c r="D9" s="3653"/>
      <c r="E9" s="3199">
        <v>207</v>
      </c>
      <c r="F9" s="3529">
        <v>6126.9</v>
      </c>
      <c r="G9" s="3191" t="s">
        <v>556</v>
      </c>
      <c r="H9" s="3191" t="s">
        <v>557</v>
      </c>
      <c r="I9" s="3199" t="s">
        <v>558</v>
      </c>
      <c r="J9" s="3191" t="s">
        <v>569</v>
      </c>
      <c r="K9" s="3199">
        <v>2002</v>
      </c>
      <c r="L9" s="3151"/>
      <c r="M9" s="1">
        <v>41795.1</v>
      </c>
      <c r="N9" s="3531">
        <v>54801</v>
      </c>
      <c r="O9" s="1">
        <v>360</v>
      </c>
    </row>
    <row r="10" spans="1:28" ht="48">
      <c r="A10" s="3653"/>
      <c r="B10" s="3653"/>
      <c r="C10" s="3191" t="s">
        <v>572</v>
      </c>
      <c r="D10" s="3191" t="s">
        <v>573</v>
      </c>
      <c r="E10" s="3191" t="s">
        <v>574</v>
      </c>
      <c r="F10" s="3529">
        <v>5434.99</v>
      </c>
      <c r="G10" s="3191" t="s">
        <v>575</v>
      </c>
      <c r="H10" s="3191" t="s">
        <v>576</v>
      </c>
      <c r="I10" s="3191" t="s">
        <v>577</v>
      </c>
      <c r="J10" s="3191" t="s">
        <v>578</v>
      </c>
      <c r="K10" s="3199">
        <v>2005</v>
      </c>
      <c r="L10" s="3151" t="s">
        <v>579</v>
      </c>
    </row>
    <row r="11" spans="1:28">
      <c r="A11" s="3191" t="s">
        <v>563</v>
      </c>
      <c r="B11" s="3192"/>
      <c r="C11" s="3192"/>
      <c r="D11" s="3192"/>
      <c r="E11" s="3192"/>
      <c r="F11" s="3529">
        <v>13920.94</v>
      </c>
      <c r="G11" s="3192"/>
      <c r="H11" s="3192"/>
      <c r="I11" s="3192"/>
      <c r="J11" s="3192"/>
      <c r="K11" s="3192"/>
    </row>
    <row r="12" spans="1:28">
      <c r="A12" s="3653" t="s">
        <v>580</v>
      </c>
      <c r="B12" s="3653" t="s">
        <v>581</v>
      </c>
      <c r="C12" s="3653" t="s">
        <v>582</v>
      </c>
      <c r="D12" s="3653" t="s">
        <v>583</v>
      </c>
      <c r="E12" s="3535">
        <v>1</v>
      </c>
      <c r="F12" s="3536">
        <v>4576.8900000000003</v>
      </c>
      <c r="G12" s="3528" t="s">
        <v>584</v>
      </c>
      <c r="H12" s="3528" t="s">
        <v>557</v>
      </c>
      <c r="I12" s="3199" t="s">
        <v>558</v>
      </c>
      <c r="J12" s="3528" t="s">
        <v>546</v>
      </c>
      <c r="K12" s="3200">
        <v>2005</v>
      </c>
      <c r="L12" s="3537">
        <v>56199</v>
      </c>
    </row>
    <row r="13" spans="1:28">
      <c r="A13" s="3653"/>
      <c r="B13" s="3653"/>
      <c r="C13" s="3653"/>
      <c r="D13" s="3653"/>
      <c r="E13" s="3538">
        <v>2</v>
      </c>
      <c r="F13" s="3539">
        <v>2572.41</v>
      </c>
      <c r="G13" s="3191" t="s">
        <v>584</v>
      </c>
      <c r="H13" s="3191" t="s">
        <v>557</v>
      </c>
      <c r="I13" s="3199" t="s">
        <v>558</v>
      </c>
      <c r="J13" s="3191" t="s">
        <v>546</v>
      </c>
      <c r="K13" s="3199">
        <v>2005</v>
      </c>
    </row>
    <row r="14" spans="1:28">
      <c r="A14" s="3653"/>
      <c r="B14" s="3653"/>
      <c r="C14" s="3653"/>
      <c r="D14" s="3653"/>
      <c r="E14" s="3538">
        <v>3</v>
      </c>
      <c r="F14" s="3539">
        <v>2572.41</v>
      </c>
      <c r="G14" s="3191" t="s">
        <v>584</v>
      </c>
      <c r="H14" s="3191" t="s">
        <v>557</v>
      </c>
      <c r="I14" s="3199" t="s">
        <v>558</v>
      </c>
      <c r="J14" s="3191" t="s">
        <v>546</v>
      </c>
      <c r="K14" s="3199">
        <v>2005</v>
      </c>
    </row>
    <row r="15" spans="1:28">
      <c r="A15" s="3653"/>
      <c r="B15" s="3653"/>
      <c r="C15" s="3653"/>
      <c r="D15" s="3653"/>
      <c r="E15" s="3535">
        <v>8</v>
      </c>
      <c r="F15" s="3540">
        <v>2572.41</v>
      </c>
      <c r="G15" s="3528" t="s">
        <v>584</v>
      </c>
      <c r="H15" s="3528" t="s">
        <v>557</v>
      </c>
      <c r="I15" s="3199" t="s">
        <v>558</v>
      </c>
      <c r="J15" s="3528" t="s">
        <v>546</v>
      </c>
      <c r="K15" s="3200">
        <v>2005</v>
      </c>
    </row>
    <row r="16" spans="1:28">
      <c r="A16" s="3653"/>
      <c r="B16" s="3653"/>
      <c r="C16" s="3653"/>
      <c r="D16" s="3653"/>
      <c r="E16" s="3538">
        <v>9</v>
      </c>
      <c r="F16" s="3539">
        <v>2279.39</v>
      </c>
      <c r="G16" s="3191" t="s">
        <v>584</v>
      </c>
      <c r="H16" s="3191" t="s">
        <v>557</v>
      </c>
      <c r="I16" s="3199" t="s">
        <v>558</v>
      </c>
      <c r="J16" s="3191" t="s">
        <v>546</v>
      </c>
      <c r="K16" s="3199">
        <v>2005</v>
      </c>
    </row>
    <row r="17" spans="1:19">
      <c r="A17" s="3653"/>
      <c r="B17" s="3653"/>
      <c r="C17" s="3653"/>
      <c r="D17" s="3653"/>
      <c r="E17" s="3535">
        <v>10</v>
      </c>
      <c r="F17" s="3540">
        <v>2168</v>
      </c>
      <c r="G17" s="3528" t="s">
        <v>584</v>
      </c>
      <c r="H17" s="3528" t="s">
        <v>557</v>
      </c>
      <c r="I17" s="3199" t="s">
        <v>558</v>
      </c>
      <c r="J17" s="3528" t="s">
        <v>546</v>
      </c>
      <c r="K17" s="3200">
        <v>2005</v>
      </c>
    </row>
    <row r="18" spans="1:19">
      <c r="A18" s="3653"/>
      <c r="B18" s="3653"/>
      <c r="C18" s="3653"/>
      <c r="D18" s="3653"/>
      <c r="E18" s="3538">
        <v>25</v>
      </c>
      <c r="F18" s="3539">
        <v>2463.4699999999998</v>
      </c>
      <c r="G18" s="3191" t="s">
        <v>584</v>
      </c>
      <c r="H18" s="3191" t="s">
        <v>557</v>
      </c>
      <c r="I18" s="3199" t="s">
        <v>558</v>
      </c>
      <c r="J18" s="3191" t="s">
        <v>546</v>
      </c>
      <c r="K18" s="3199">
        <v>2005</v>
      </c>
    </row>
    <row r="19" spans="1:19">
      <c r="A19" s="3653"/>
      <c r="B19" s="3653"/>
      <c r="C19" s="3653" t="s">
        <v>585</v>
      </c>
      <c r="D19" s="3653"/>
      <c r="E19" s="3538">
        <v>11</v>
      </c>
      <c r="F19" s="3539">
        <v>2271.94</v>
      </c>
      <c r="G19" s="3191" t="s">
        <v>584</v>
      </c>
      <c r="H19" s="3191" t="s">
        <v>557</v>
      </c>
      <c r="I19" s="3199" t="s">
        <v>558</v>
      </c>
      <c r="J19" s="3191" t="s">
        <v>578</v>
      </c>
      <c r="K19" s="3199">
        <v>2005</v>
      </c>
    </row>
    <row r="20" spans="1:19">
      <c r="A20" s="3653"/>
      <c r="B20" s="3653"/>
      <c r="C20" s="3653"/>
      <c r="D20" s="3653"/>
      <c r="E20" s="3535">
        <v>12</v>
      </c>
      <c r="F20" s="3540">
        <v>2581.11</v>
      </c>
      <c r="G20" s="3528" t="s">
        <v>584</v>
      </c>
      <c r="H20" s="3528" t="s">
        <v>557</v>
      </c>
      <c r="I20" s="3199" t="s">
        <v>558</v>
      </c>
      <c r="J20" s="3528" t="s">
        <v>578</v>
      </c>
      <c r="K20" s="3200">
        <v>2005</v>
      </c>
    </row>
    <row r="21" spans="1:19">
      <c r="A21" s="3653"/>
      <c r="B21" s="3653"/>
      <c r="C21" s="3653"/>
      <c r="D21" s="3653"/>
      <c r="E21" s="3538">
        <v>15</v>
      </c>
      <c r="F21" s="3539">
        <v>2834.09</v>
      </c>
      <c r="G21" s="3191" t="s">
        <v>584</v>
      </c>
      <c r="H21" s="3191" t="s">
        <v>557</v>
      </c>
      <c r="I21" s="3199" t="s">
        <v>558</v>
      </c>
      <c r="J21" s="3191" t="s">
        <v>578</v>
      </c>
      <c r="K21" s="3199">
        <v>2005</v>
      </c>
    </row>
    <row r="22" spans="1:19">
      <c r="A22" s="3653"/>
      <c r="B22" s="3653"/>
      <c r="C22" s="3653"/>
      <c r="D22" s="3653"/>
      <c r="E22" s="3538">
        <v>16</v>
      </c>
      <c r="F22" s="3539">
        <v>3201.12</v>
      </c>
      <c r="G22" s="3191" t="s">
        <v>584</v>
      </c>
      <c r="H22" s="3191" t="s">
        <v>557</v>
      </c>
      <c r="I22" s="3199" t="s">
        <v>558</v>
      </c>
      <c r="J22" s="3191" t="s">
        <v>578</v>
      </c>
      <c r="K22" s="3199">
        <v>2005</v>
      </c>
    </row>
    <row r="23" spans="1:19">
      <c r="A23" s="3653"/>
      <c r="B23" s="3653"/>
      <c r="C23" s="3653"/>
      <c r="D23" s="3653"/>
      <c r="E23" s="3535">
        <v>17</v>
      </c>
      <c r="F23" s="3540">
        <v>3201.12</v>
      </c>
      <c r="G23" s="3528" t="s">
        <v>584</v>
      </c>
      <c r="H23" s="3528" t="s">
        <v>557</v>
      </c>
      <c r="I23" s="3199" t="s">
        <v>558</v>
      </c>
      <c r="J23" s="3528" t="s">
        <v>578</v>
      </c>
      <c r="K23" s="3200">
        <v>2005</v>
      </c>
    </row>
    <row r="24" spans="1:19" ht="48">
      <c r="A24" s="3653"/>
      <c r="B24" s="3653"/>
      <c r="C24" s="3191" t="s">
        <v>586</v>
      </c>
      <c r="D24" s="3653"/>
      <c r="E24" s="3538">
        <v>31</v>
      </c>
      <c r="F24" s="3539">
        <v>5563.07</v>
      </c>
      <c r="G24" s="3191" t="s">
        <v>587</v>
      </c>
      <c r="H24" s="3191" t="s">
        <v>576</v>
      </c>
      <c r="I24" s="3199" t="s">
        <v>588</v>
      </c>
      <c r="J24" s="3191" t="s">
        <v>546</v>
      </c>
      <c r="K24" s="3199">
        <v>2005</v>
      </c>
    </row>
    <row r="25" spans="1:19" ht="24">
      <c r="A25" s="3653"/>
      <c r="B25" s="3653"/>
      <c r="C25" s="3653" t="s">
        <v>589</v>
      </c>
      <c r="D25" s="3654" t="s">
        <v>590</v>
      </c>
      <c r="E25" s="3191" t="s">
        <v>591</v>
      </c>
      <c r="F25" s="3529">
        <v>6410.71</v>
      </c>
      <c r="G25" s="3191" t="s">
        <v>592</v>
      </c>
      <c r="H25" s="3653" t="s">
        <v>593</v>
      </c>
      <c r="I25" s="3199" t="s">
        <v>594</v>
      </c>
      <c r="J25" s="3191" t="s">
        <v>546</v>
      </c>
      <c r="K25" s="3199">
        <v>2021</v>
      </c>
      <c r="L25" s="3537">
        <v>56199</v>
      </c>
      <c r="N25" s="1" t="s">
        <v>570</v>
      </c>
      <c r="O25" s="1" t="s">
        <v>571</v>
      </c>
      <c r="P25" s="1" t="s">
        <v>595</v>
      </c>
      <c r="Q25" s="1" t="s">
        <v>596</v>
      </c>
      <c r="R25" s="1" t="s">
        <v>597</v>
      </c>
      <c r="S25" s="1" t="s">
        <v>598</v>
      </c>
    </row>
    <row r="26" spans="1:19" ht="156">
      <c r="A26" s="3653"/>
      <c r="B26" s="3653"/>
      <c r="C26" s="3653"/>
      <c r="D26" s="3653"/>
      <c r="E26" s="3530" t="s">
        <v>599</v>
      </c>
      <c r="F26" s="3529">
        <v>36464.230000000003</v>
      </c>
      <c r="G26" s="3191" t="s">
        <v>600</v>
      </c>
      <c r="H26" s="3653"/>
      <c r="I26" s="3191" t="s">
        <v>601</v>
      </c>
      <c r="J26" s="3191" t="s">
        <v>546</v>
      </c>
      <c r="K26" s="3199">
        <v>2021</v>
      </c>
      <c r="L26" s="3537">
        <v>56199</v>
      </c>
      <c r="N26" s="1">
        <v>91820.5</v>
      </c>
      <c r="O26" s="1">
        <v>300</v>
      </c>
      <c r="P26" s="3541">
        <v>37926</v>
      </c>
      <c r="Q26" s="1">
        <v>1.5</v>
      </c>
      <c r="R26" s="1" t="s">
        <v>602</v>
      </c>
      <c r="S26" s="1" t="s">
        <v>603</v>
      </c>
    </row>
    <row r="27" spans="1:19">
      <c r="A27" s="3653"/>
      <c r="B27" s="3653"/>
      <c r="C27" s="3653"/>
      <c r="D27" s="3653"/>
      <c r="E27" s="3191" t="s">
        <v>604</v>
      </c>
      <c r="F27" s="3529">
        <v>6090.58</v>
      </c>
      <c r="G27" s="3191" t="s">
        <v>605</v>
      </c>
      <c r="H27" s="3653"/>
      <c r="I27" s="3199" t="s">
        <v>594</v>
      </c>
      <c r="J27" s="3191" t="s">
        <v>546</v>
      </c>
      <c r="K27" s="3199">
        <v>2021</v>
      </c>
      <c r="L27" s="3537">
        <v>56199</v>
      </c>
    </row>
    <row r="28" spans="1:19">
      <c r="A28" s="3191" t="s">
        <v>563</v>
      </c>
      <c r="B28" s="3192"/>
      <c r="C28" s="3192"/>
      <c r="D28" s="3192"/>
      <c r="E28" s="3192"/>
      <c r="F28" s="3533">
        <v>87822.95</v>
      </c>
      <c r="G28" s="3192"/>
      <c r="H28" s="3192"/>
      <c r="I28" s="3192"/>
      <c r="J28" s="3192"/>
      <c r="K28" s="3192"/>
    </row>
    <row r="29" spans="1:19">
      <c r="A29" s="3191" t="s">
        <v>606</v>
      </c>
      <c r="B29" s="3192"/>
      <c r="C29" s="3192"/>
      <c r="D29" s="3192"/>
      <c r="E29" s="3192"/>
      <c r="F29" s="3526" t="s">
        <v>607</v>
      </c>
      <c r="G29" s="3192"/>
      <c r="H29" s="3192"/>
      <c r="I29" s="3192"/>
      <c r="J29" s="3192"/>
      <c r="K29" s="3192"/>
    </row>
    <row r="31" spans="1:19" ht="36">
      <c r="C31" s="3193" t="s">
        <v>590</v>
      </c>
      <c r="D31" s="3194" t="s">
        <v>608</v>
      </c>
      <c r="E31" s="3195" t="s">
        <v>591</v>
      </c>
      <c r="F31" s="3196"/>
      <c r="G31" s="3197" t="s">
        <v>599</v>
      </c>
    </row>
    <row r="32" spans="1:19">
      <c r="C32" s="3194" t="s">
        <v>609</v>
      </c>
      <c r="D32" s="3194">
        <v>1197.8900000000001</v>
      </c>
      <c r="E32" s="3198">
        <v>1372.34</v>
      </c>
      <c r="F32" s="3196" t="s">
        <v>610</v>
      </c>
      <c r="G32" s="3194">
        <f>15473.85-1366.14</f>
        <v>14107.71</v>
      </c>
    </row>
    <row r="33" spans="3:7">
      <c r="C33" s="3194" t="s">
        <v>611</v>
      </c>
      <c r="D33" s="3194">
        <v>1191.68</v>
      </c>
      <c r="E33" s="3198">
        <v>1314.49</v>
      </c>
      <c r="F33" s="3196" t="s">
        <v>609</v>
      </c>
      <c r="G33" s="3194">
        <f>4268.73-20.13</f>
        <v>4248.6000000000004</v>
      </c>
    </row>
    <row r="34" spans="3:7">
      <c r="C34" s="3194" t="s">
        <v>612</v>
      </c>
      <c r="D34" s="3194">
        <v>1191.68</v>
      </c>
      <c r="E34" s="3198">
        <v>1205.6099999999999</v>
      </c>
      <c r="F34" s="3196" t="s">
        <v>611</v>
      </c>
      <c r="G34" s="3194">
        <v>3531.18</v>
      </c>
    </row>
    <row r="35" spans="3:7">
      <c r="C35" s="3194" t="s">
        <v>613</v>
      </c>
      <c r="D35" s="3194">
        <v>1191.68</v>
      </c>
      <c r="E35" s="3198">
        <v>1205.6099999999999</v>
      </c>
      <c r="F35" s="3196" t="s">
        <v>612</v>
      </c>
      <c r="G35" s="3194">
        <v>2944.82</v>
      </c>
    </row>
    <row r="36" spans="3:7">
      <c r="C36" s="3194" t="s">
        <v>614</v>
      </c>
      <c r="D36" s="3194">
        <v>1039.23</v>
      </c>
      <c r="E36" s="3198">
        <v>1053.94</v>
      </c>
      <c r="F36" s="3196" t="s">
        <v>613</v>
      </c>
      <c r="G36" s="3194">
        <v>2906.5</v>
      </c>
    </row>
    <row r="37" spans="3:7">
      <c r="C37" s="3194" t="s">
        <v>615</v>
      </c>
      <c r="D37" s="3194">
        <v>278.42</v>
      </c>
      <c r="E37" s="3198">
        <v>258.72000000000003</v>
      </c>
      <c r="F37" s="3196" t="s">
        <v>614</v>
      </c>
      <c r="G37" s="3194">
        <v>2906.5</v>
      </c>
    </row>
    <row r="38" spans="3:7">
      <c r="C38" s="3194" t="s">
        <v>351</v>
      </c>
      <c r="D38" s="3194">
        <f>SUM(D32:D37)</f>
        <v>6090.58</v>
      </c>
      <c r="E38" s="3198">
        <f>SUM(E32:E37)</f>
        <v>6410.71</v>
      </c>
      <c r="F38" s="3196" t="s">
        <v>616</v>
      </c>
      <c r="G38" s="3194">
        <v>2906.5</v>
      </c>
    </row>
    <row r="39" spans="3:7">
      <c r="F39" s="3196" t="s">
        <v>617</v>
      </c>
      <c r="G39" s="3194">
        <v>2402.92</v>
      </c>
    </row>
    <row r="40" spans="3:7">
      <c r="F40" s="3196" t="s">
        <v>618</v>
      </c>
      <c r="G40" s="3194">
        <v>509.5</v>
      </c>
    </row>
    <row r="41" spans="3:7">
      <c r="F41" s="3196" t="s">
        <v>351</v>
      </c>
      <c r="G41" s="3194">
        <f>SUM(G32:G40)</f>
        <v>36464.230000000003</v>
      </c>
    </row>
    <row r="50" spans="14:15">
      <c r="N50" s="3187"/>
      <c r="O50" s="3187"/>
    </row>
    <row r="51" spans="14:15">
      <c r="N51" s="3187"/>
      <c r="O51" s="3187"/>
    </row>
    <row r="52" spans="14:15">
      <c r="N52" s="3187"/>
      <c r="O52" s="3187"/>
    </row>
    <row r="54" spans="14:15">
      <c r="N54" s="3543"/>
    </row>
    <row r="55" spans="14:15">
      <c r="N55" s="3543"/>
    </row>
    <row r="56" spans="14:15">
      <c r="N56" s="3543"/>
    </row>
    <row r="57" spans="14:15">
      <c r="N57" s="3543"/>
    </row>
    <row r="58" spans="14:15">
      <c r="N58" s="3543"/>
    </row>
    <row r="59" spans="14:15">
      <c r="N59" s="3543"/>
    </row>
    <row r="60" spans="14:15">
      <c r="N60" s="3543"/>
    </row>
    <row r="61" spans="14:15">
      <c r="N61" s="3543"/>
    </row>
    <row r="62" spans="14:15">
      <c r="N62" s="3543"/>
    </row>
    <row r="63" spans="14:15">
      <c r="N63" s="3543"/>
    </row>
    <row r="64" spans="14:15">
      <c r="N64" s="3543"/>
    </row>
    <row r="65" spans="14:14">
      <c r="N65" s="3543"/>
    </row>
    <row r="66" spans="14:14">
      <c r="N66" s="3543"/>
    </row>
    <row r="67" spans="14:14">
      <c r="N67" s="3543"/>
    </row>
    <row r="68" spans="14:14">
      <c r="N68" s="3543"/>
    </row>
    <row r="69" spans="14:14">
      <c r="N69" s="3543"/>
    </row>
    <row r="70" spans="14:14">
      <c r="N70" s="3543"/>
    </row>
    <row r="71" spans="14:14">
      <c r="N71" s="3543"/>
    </row>
    <row r="72" spans="14:14">
      <c r="N72" s="3543"/>
    </row>
    <row r="73" spans="14:14">
      <c r="N73" s="3543"/>
    </row>
    <row r="74" spans="14:14">
      <c r="N74" s="3543"/>
    </row>
    <row r="75" spans="14:14">
      <c r="N75" s="3543"/>
    </row>
    <row r="76" spans="14:14">
      <c r="N76" s="3543"/>
    </row>
    <row r="77" spans="14:14">
      <c r="N77" s="3543"/>
    </row>
    <row r="78" spans="14:14">
      <c r="N78" s="3543"/>
    </row>
    <row r="79" spans="14:14">
      <c r="N79" s="3543"/>
    </row>
    <row r="80" spans="14:14">
      <c r="N80" s="3543"/>
    </row>
    <row r="81" spans="14:14">
      <c r="N81" s="3543"/>
    </row>
    <row r="82" spans="14:14">
      <c r="N82" s="3543"/>
    </row>
    <row r="83" spans="14:14">
      <c r="N83" s="3543"/>
    </row>
    <row r="84" spans="14:14">
      <c r="N84" s="3543"/>
    </row>
    <row r="85" spans="14:14">
      <c r="N85" s="3543"/>
    </row>
    <row r="86" spans="14:14">
      <c r="N86" s="3543"/>
    </row>
    <row r="87" spans="14:14">
      <c r="N87" s="3543"/>
    </row>
    <row r="88" spans="14:14">
      <c r="N88" s="3543"/>
    </row>
    <row r="89" spans="14:14">
      <c r="N89" s="3543"/>
    </row>
    <row r="90" spans="14:14">
      <c r="N90" s="3543"/>
    </row>
    <row r="91" spans="14:14">
      <c r="N91" s="3543"/>
    </row>
    <row r="92" spans="14:14">
      <c r="N92" s="3543"/>
    </row>
    <row r="93" spans="14:14">
      <c r="N93" s="3543"/>
    </row>
    <row r="94" spans="14:14">
      <c r="N94" s="3543"/>
    </row>
    <row r="95" spans="14:14">
      <c r="N95" s="3543"/>
    </row>
    <row r="96" spans="14:14">
      <c r="N96" s="3543"/>
    </row>
    <row r="97" spans="14:14">
      <c r="N97" s="3543"/>
    </row>
    <row r="98" spans="14:14">
      <c r="N98" s="3543"/>
    </row>
    <row r="99" spans="14:14">
      <c r="N99" s="3543"/>
    </row>
    <row r="100" spans="14:14">
      <c r="N100" s="3543"/>
    </row>
    <row r="101" spans="14:14">
      <c r="N101" s="3543"/>
    </row>
    <row r="102" spans="14:14">
      <c r="N102" s="3543"/>
    </row>
    <row r="103" spans="14:14">
      <c r="N103" s="3543"/>
    </row>
    <row r="104" spans="14:14">
      <c r="N104" s="3543"/>
    </row>
    <row r="105" spans="14:14">
      <c r="N105" s="3543"/>
    </row>
    <row r="106" spans="14:14">
      <c r="N106" s="3543"/>
    </row>
    <row r="107" spans="14:14">
      <c r="N107" s="3543"/>
    </row>
    <row r="108" spans="14:14">
      <c r="N108" s="3543"/>
    </row>
    <row r="109" spans="14:14">
      <c r="N109" s="3543"/>
    </row>
    <row r="110" spans="14:14">
      <c r="N110" s="3543"/>
    </row>
    <row r="111" spans="14:14">
      <c r="N111" s="3543"/>
    </row>
    <row r="112" spans="14:14">
      <c r="N112" s="3543"/>
    </row>
    <row r="113" spans="14:14">
      <c r="N113" s="3543"/>
    </row>
    <row r="114" spans="14:14">
      <c r="N114" s="3543"/>
    </row>
    <row r="115" spans="14:14">
      <c r="N115" s="3543"/>
    </row>
    <row r="116" spans="14:14">
      <c r="N116" s="3543"/>
    </row>
    <row r="117" spans="14:14">
      <c r="N117" s="3543"/>
    </row>
    <row r="118" spans="14:14">
      <c r="N118" s="3543"/>
    </row>
    <row r="119" spans="14:14">
      <c r="N119" s="3543"/>
    </row>
    <row r="120" spans="14:14">
      <c r="N120" s="3543"/>
    </row>
    <row r="121" spans="14:14">
      <c r="N121" s="3543"/>
    </row>
    <row r="122" spans="14:14">
      <c r="N122" s="3543"/>
    </row>
    <row r="123" spans="14:14">
      <c r="N123" s="3543"/>
    </row>
    <row r="124" spans="14:14">
      <c r="N124" s="3543"/>
    </row>
    <row r="125" spans="14:14">
      <c r="N125" s="3543"/>
    </row>
    <row r="126" spans="14:14">
      <c r="N126" s="3543"/>
    </row>
    <row r="127" spans="14:14">
      <c r="N127" s="3543"/>
    </row>
    <row r="128" spans="14:14">
      <c r="N128" s="3543"/>
    </row>
    <row r="129" spans="14:14">
      <c r="N129" s="3543"/>
    </row>
    <row r="130" spans="14:14">
      <c r="N130" s="3543"/>
    </row>
    <row r="131" spans="14:14">
      <c r="N131" s="3543"/>
    </row>
    <row r="132" spans="14:14">
      <c r="N132" s="3543"/>
    </row>
    <row r="133" spans="14:14">
      <c r="N133" s="3543"/>
    </row>
    <row r="134" spans="14:14">
      <c r="N134" s="3543"/>
    </row>
    <row r="135" spans="14:14">
      <c r="N135" s="3543"/>
    </row>
    <row r="136" spans="14:14">
      <c r="N136" s="3543"/>
    </row>
    <row r="137" spans="14:14">
      <c r="N137" s="3543"/>
    </row>
    <row r="138" spans="14:14">
      <c r="N138" s="3543"/>
    </row>
    <row r="139" spans="14:14">
      <c r="N139" s="3543"/>
    </row>
    <row r="140" spans="14:14">
      <c r="N140" s="3543"/>
    </row>
    <row r="141" spans="14:14">
      <c r="N141" s="3543"/>
    </row>
    <row r="142" spans="14:14">
      <c r="N142" s="3543"/>
    </row>
    <row r="143" spans="14:14">
      <c r="N143" s="3543"/>
    </row>
    <row r="144" spans="14:14">
      <c r="N144" s="3543"/>
    </row>
    <row r="145" spans="14:14">
      <c r="N145" s="3543"/>
    </row>
    <row r="146" spans="14:14">
      <c r="N146" s="3543"/>
    </row>
    <row r="147" spans="14:14">
      <c r="N147" s="3543"/>
    </row>
    <row r="148" spans="14:14">
      <c r="N148" s="3543"/>
    </row>
    <row r="149" spans="14:14">
      <c r="N149" s="3543"/>
    </row>
    <row r="150" spans="14:14">
      <c r="N150" s="3543"/>
    </row>
    <row r="151" spans="14:14">
      <c r="N151" s="3543"/>
    </row>
    <row r="152" spans="14:14">
      <c r="N152" s="3543"/>
    </row>
    <row r="153" spans="14:14">
      <c r="N153" s="3543"/>
    </row>
    <row r="154" spans="14:14">
      <c r="N154" s="3543"/>
    </row>
    <row r="155" spans="14:14">
      <c r="N155" s="3543"/>
    </row>
    <row r="156" spans="14:14">
      <c r="N156" s="3543"/>
    </row>
    <row r="157" spans="14:14">
      <c r="N157" s="3543"/>
    </row>
    <row r="158" spans="14:14">
      <c r="N158" s="3543"/>
    </row>
    <row r="159" spans="14:14">
      <c r="N159" s="3543"/>
    </row>
    <row r="160" spans="14:14">
      <c r="N160" s="3543"/>
    </row>
    <row r="161" spans="14:14">
      <c r="N161" s="3543"/>
    </row>
    <row r="162" spans="14:14">
      <c r="N162" s="3543"/>
    </row>
    <row r="163" spans="14:14">
      <c r="N163" s="3543"/>
    </row>
    <row r="164" spans="14:14">
      <c r="N164" s="3543"/>
    </row>
    <row r="165" spans="14:14">
      <c r="N165" s="3543"/>
    </row>
    <row r="166" spans="14:14">
      <c r="N166" s="3543"/>
    </row>
    <row r="167" spans="14:14">
      <c r="N167" s="3543"/>
    </row>
    <row r="168" spans="14:14">
      <c r="N168" s="3543"/>
    </row>
    <row r="169" spans="14:14">
      <c r="N169" s="3543"/>
    </row>
    <row r="170" spans="14:14">
      <c r="N170" s="3543"/>
    </row>
    <row r="171" spans="14:14">
      <c r="N171" s="3543"/>
    </row>
    <row r="172" spans="14:14">
      <c r="N172" s="3543"/>
    </row>
    <row r="173" spans="14:14">
      <c r="N173" s="3543"/>
    </row>
    <row r="174" spans="14:14">
      <c r="N174" s="3543"/>
    </row>
    <row r="175" spans="14:14">
      <c r="N175" s="3543"/>
    </row>
    <row r="176" spans="14:14">
      <c r="N176" s="3543"/>
    </row>
    <row r="177" spans="14:14">
      <c r="N177" s="3543"/>
    </row>
  </sheetData>
  <mergeCells count="18">
    <mergeCell ref="A2:A6"/>
    <mergeCell ref="A8:A10"/>
    <mergeCell ref="A12:A27"/>
    <mergeCell ref="B2:B6"/>
    <mergeCell ref="B8:B10"/>
    <mergeCell ref="B12:B27"/>
    <mergeCell ref="H25:H27"/>
    <mergeCell ref="C25:C27"/>
    <mergeCell ref="D2:D3"/>
    <mergeCell ref="D4:D6"/>
    <mergeCell ref="D8:D9"/>
    <mergeCell ref="D12:D24"/>
    <mergeCell ref="D25:D27"/>
    <mergeCell ref="C2:C3"/>
    <mergeCell ref="C4:C6"/>
    <mergeCell ref="C8:C9"/>
    <mergeCell ref="C12:C18"/>
    <mergeCell ref="C19:C23"/>
  </mergeCells>
  <phoneticPr fontId="2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4"/>
  <sheetViews>
    <sheetView workbookViewId="0">
      <selection activeCell="H51" sqref="H51"/>
    </sheetView>
  </sheetViews>
  <sheetFormatPr defaultColWidth="9" defaultRowHeight="12"/>
  <cols>
    <col min="1" max="1" width="19.875" style="3183" customWidth="1"/>
    <col min="2" max="4" width="9" style="3183"/>
    <col min="5" max="5" width="18.625" style="3183" customWidth="1"/>
    <col min="6" max="8" width="9" style="3183"/>
    <col min="9" max="9" width="18.625" style="3183" customWidth="1"/>
    <col min="10" max="16384" width="9" style="3183"/>
  </cols>
  <sheetData>
    <row r="1" spans="1:11">
      <c r="A1" s="3184" t="s">
        <v>619</v>
      </c>
      <c r="E1" s="3184" t="s">
        <v>619</v>
      </c>
      <c r="I1" s="3190" t="s">
        <v>620</v>
      </c>
    </row>
    <row r="2" spans="1:11">
      <c r="A2" s="3183" t="s">
        <v>621</v>
      </c>
      <c r="B2" s="3185" t="s">
        <v>622</v>
      </c>
      <c r="C2" s="3183" t="s">
        <v>405</v>
      </c>
      <c r="E2" s="3183" t="s">
        <v>621</v>
      </c>
      <c r="F2" s="3185" t="s">
        <v>622</v>
      </c>
      <c r="G2" s="3183" t="s">
        <v>405</v>
      </c>
      <c r="I2" s="3183" t="s">
        <v>621</v>
      </c>
      <c r="J2" s="3185" t="s">
        <v>622</v>
      </c>
      <c r="K2" s="3183" t="s">
        <v>405</v>
      </c>
    </row>
    <row r="3" spans="1:11">
      <c r="A3" s="3185" t="s">
        <v>623</v>
      </c>
      <c r="B3" s="3183">
        <v>96.4</v>
      </c>
      <c r="C3" s="3183" t="s">
        <v>624</v>
      </c>
      <c r="E3" s="3186" t="s">
        <v>625</v>
      </c>
      <c r="F3" s="3183">
        <v>36.54</v>
      </c>
      <c r="G3" s="3183" t="s">
        <v>626</v>
      </c>
      <c r="I3" s="3185" t="s">
        <v>627</v>
      </c>
      <c r="J3" s="3183">
        <v>100.82</v>
      </c>
      <c r="K3" s="3183" t="s">
        <v>628</v>
      </c>
    </row>
    <row r="4" spans="1:11">
      <c r="A4" s="3185" t="s">
        <v>629</v>
      </c>
      <c r="B4" s="3183">
        <v>222.5</v>
      </c>
      <c r="C4" s="3183" t="s">
        <v>624</v>
      </c>
      <c r="E4" s="3186" t="s">
        <v>630</v>
      </c>
      <c r="F4" s="3183">
        <v>36.54</v>
      </c>
      <c r="G4" s="3183" t="s">
        <v>626</v>
      </c>
      <c r="I4" s="3185" t="s">
        <v>631</v>
      </c>
      <c r="J4" s="3183">
        <v>38.81</v>
      </c>
      <c r="K4" s="3183" t="s">
        <v>628</v>
      </c>
    </row>
    <row r="5" spans="1:11">
      <c r="A5" s="3185" t="s">
        <v>632</v>
      </c>
      <c r="B5" s="3183">
        <v>387.85</v>
      </c>
      <c r="C5" s="3183" t="s">
        <v>624</v>
      </c>
      <c r="E5" s="3186" t="s">
        <v>633</v>
      </c>
      <c r="F5" s="3183">
        <v>36.54</v>
      </c>
      <c r="G5" s="3183" t="s">
        <v>626</v>
      </c>
      <c r="I5" s="3185" t="s">
        <v>634</v>
      </c>
      <c r="J5" s="3183">
        <v>130.15</v>
      </c>
      <c r="K5" s="3183" t="s">
        <v>628</v>
      </c>
    </row>
    <row r="6" spans="1:11">
      <c r="A6" s="3185" t="s">
        <v>635</v>
      </c>
      <c r="B6" s="3183">
        <v>880.1</v>
      </c>
      <c r="C6" s="3183" t="s">
        <v>624</v>
      </c>
      <c r="E6" s="3186" t="s">
        <v>636</v>
      </c>
      <c r="F6" s="3183">
        <v>36.54</v>
      </c>
      <c r="G6" s="3183" t="s">
        <v>626</v>
      </c>
      <c r="I6" s="3185" t="s">
        <v>637</v>
      </c>
      <c r="J6" s="3183">
        <v>40.89</v>
      </c>
      <c r="K6" s="3183" t="s">
        <v>628</v>
      </c>
    </row>
    <row r="7" spans="1:11">
      <c r="A7" s="3185" t="s">
        <v>638</v>
      </c>
      <c r="B7" s="3183">
        <v>359.64</v>
      </c>
      <c r="C7" s="3183" t="s">
        <v>624</v>
      </c>
      <c r="E7" s="3186" t="s">
        <v>639</v>
      </c>
      <c r="F7" s="3183">
        <v>36.54</v>
      </c>
      <c r="G7" s="3183" t="s">
        <v>626</v>
      </c>
      <c r="I7" s="3185" t="s">
        <v>640</v>
      </c>
      <c r="J7" s="3183">
        <v>71.27</v>
      </c>
      <c r="K7" s="3183" t="s">
        <v>628</v>
      </c>
    </row>
    <row r="8" spans="1:11">
      <c r="A8" s="3185" t="s">
        <v>641</v>
      </c>
      <c r="B8" s="3183">
        <v>391.21</v>
      </c>
      <c r="C8" s="3183" t="s">
        <v>624</v>
      </c>
      <c r="E8" s="3186" t="s">
        <v>642</v>
      </c>
      <c r="F8" s="3183">
        <v>36.54</v>
      </c>
      <c r="G8" s="3183" t="s">
        <v>626</v>
      </c>
      <c r="I8" s="3185" t="s">
        <v>643</v>
      </c>
      <c r="J8" s="3183">
        <v>49.18</v>
      </c>
      <c r="K8" s="3183" t="s">
        <v>628</v>
      </c>
    </row>
    <row r="9" spans="1:11">
      <c r="A9" s="3185" t="s">
        <v>644</v>
      </c>
      <c r="B9" s="3183">
        <v>157.57</v>
      </c>
      <c r="C9" s="3183" t="s">
        <v>624</v>
      </c>
      <c r="E9" s="3186" t="s">
        <v>645</v>
      </c>
      <c r="F9" s="3183">
        <v>38.4</v>
      </c>
      <c r="G9" s="3183" t="s">
        <v>626</v>
      </c>
      <c r="I9" s="3185" t="s">
        <v>646</v>
      </c>
      <c r="J9" s="3183">
        <v>46.12</v>
      </c>
      <c r="K9" s="3183" t="s">
        <v>628</v>
      </c>
    </row>
    <row r="10" spans="1:11">
      <c r="A10" s="3185" t="s">
        <v>647</v>
      </c>
      <c r="B10" s="3183">
        <v>629.99</v>
      </c>
      <c r="C10" s="3183" t="s">
        <v>624</v>
      </c>
      <c r="E10" s="3186" t="s">
        <v>648</v>
      </c>
      <c r="F10" s="3183">
        <v>36.54</v>
      </c>
      <c r="G10" s="3183" t="s">
        <v>626</v>
      </c>
      <c r="I10" s="3185" t="s">
        <v>649</v>
      </c>
      <c r="J10" s="3183">
        <v>84.21</v>
      </c>
      <c r="K10" s="3183" t="s">
        <v>628</v>
      </c>
    </row>
    <row r="11" spans="1:11">
      <c r="A11" s="3185" t="s">
        <v>650</v>
      </c>
      <c r="B11" s="3183">
        <v>510.69</v>
      </c>
      <c r="C11" s="3183" t="s">
        <v>624</v>
      </c>
      <c r="E11" s="3186" t="s">
        <v>651</v>
      </c>
      <c r="F11" s="3183">
        <v>36.54</v>
      </c>
      <c r="G11" s="3183" t="s">
        <v>626</v>
      </c>
      <c r="I11" s="3185" t="s">
        <v>652</v>
      </c>
      <c r="J11" s="3183">
        <v>80.53</v>
      </c>
      <c r="K11" s="3183" t="s">
        <v>628</v>
      </c>
    </row>
    <row r="12" spans="1:11">
      <c r="A12" s="3185" t="s">
        <v>653</v>
      </c>
      <c r="B12" s="3183">
        <v>651.22</v>
      </c>
      <c r="C12" s="3183" t="s">
        <v>624</v>
      </c>
      <c r="E12" s="3186" t="s">
        <v>654</v>
      </c>
      <c r="F12" s="3183">
        <v>36.54</v>
      </c>
      <c r="G12" s="3183" t="s">
        <v>626</v>
      </c>
      <c r="I12" s="3183" t="s">
        <v>655</v>
      </c>
      <c r="J12" s="3183">
        <v>38.93</v>
      </c>
      <c r="K12" s="3183" t="s">
        <v>628</v>
      </c>
    </row>
    <row r="13" spans="1:11">
      <c r="A13" s="3185" t="s">
        <v>656</v>
      </c>
      <c r="B13" s="3183">
        <v>269.99</v>
      </c>
      <c r="C13" s="3183" t="s">
        <v>624</v>
      </c>
      <c r="E13" s="3186" t="s">
        <v>657</v>
      </c>
      <c r="F13" s="3183">
        <v>45.94</v>
      </c>
      <c r="G13" s="3183" t="s">
        <v>626</v>
      </c>
      <c r="I13" s="3183" t="s">
        <v>658</v>
      </c>
      <c r="J13" s="3183">
        <v>57.4</v>
      </c>
      <c r="K13" s="3183" t="s">
        <v>628</v>
      </c>
    </row>
    <row r="14" spans="1:11">
      <c r="A14" s="3185" t="s">
        <v>659</v>
      </c>
      <c r="B14" s="3183">
        <v>657.75</v>
      </c>
      <c r="C14" s="3183" t="s">
        <v>624</v>
      </c>
      <c r="E14" s="3186" t="s">
        <v>660</v>
      </c>
      <c r="F14" s="3183">
        <v>45.94</v>
      </c>
      <c r="G14" s="3183" t="s">
        <v>626</v>
      </c>
      <c r="I14" s="3185" t="s">
        <v>661</v>
      </c>
      <c r="J14" s="3183">
        <v>59.46</v>
      </c>
      <c r="K14" s="3183" t="s">
        <v>628</v>
      </c>
    </row>
    <row r="15" spans="1:11">
      <c r="A15" s="3185" t="s">
        <v>662</v>
      </c>
      <c r="B15" s="3183">
        <v>551.13</v>
      </c>
      <c r="C15" s="3183" t="s">
        <v>624</v>
      </c>
      <c r="E15" s="3186" t="s">
        <v>663</v>
      </c>
      <c r="F15" s="3183">
        <v>45.94</v>
      </c>
      <c r="G15" s="3183" t="s">
        <v>626</v>
      </c>
      <c r="I15" s="3185" t="s">
        <v>664</v>
      </c>
      <c r="J15" s="3183">
        <v>98.95</v>
      </c>
      <c r="K15" s="3183" t="s">
        <v>624</v>
      </c>
    </row>
    <row r="16" spans="1:11">
      <c r="A16" s="1"/>
      <c r="B16" s="1"/>
      <c r="C16" s="1" t="s">
        <v>665</v>
      </c>
      <c r="E16" s="3186" t="s">
        <v>666</v>
      </c>
      <c r="F16" s="3183">
        <v>45.94</v>
      </c>
      <c r="G16" s="3183" t="s">
        <v>626</v>
      </c>
    </row>
    <row r="17" spans="1:7">
      <c r="A17" s="3187" t="s">
        <v>667</v>
      </c>
      <c r="B17" s="3187">
        <f>SUM(B3:B9)</f>
        <v>2495.27</v>
      </c>
      <c r="C17" s="3525">
        <f>'比较法-商业租金'!C49</f>
        <v>4.0999999999999996</v>
      </c>
      <c r="D17" s="1"/>
      <c r="E17" s="3186" t="s">
        <v>668</v>
      </c>
      <c r="F17" s="3183">
        <v>45.94</v>
      </c>
      <c r="G17" s="3183" t="s">
        <v>626</v>
      </c>
    </row>
    <row r="18" spans="1:7">
      <c r="A18" s="3187" t="s">
        <v>669</v>
      </c>
      <c r="B18" s="3187">
        <f>SUM(B10:B15)</f>
        <v>3270.77</v>
      </c>
      <c r="C18" s="3525">
        <v>2.5</v>
      </c>
      <c r="D18" s="1"/>
      <c r="E18" s="3186" t="s">
        <v>670</v>
      </c>
      <c r="F18" s="3183">
        <v>45.94</v>
      </c>
      <c r="G18" s="3183" t="s">
        <v>626</v>
      </c>
    </row>
    <row r="19" spans="1:7">
      <c r="A19" s="3187" t="s">
        <v>351</v>
      </c>
      <c r="B19" s="3187">
        <f>B18+B17</f>
        <v>5766.04</v>
      </c>
      <c r="C19" s="3525">
        <f>ROUND((B17*C17+B18*C18)/B19,1)</f>
        <v>3.2</v>
      </c>
      <c r="D19" s="1"/>
      <c r="E19" s="3186" t="s">
        <v>671</v>
      </c>
      <c r="F19" s="3183">
        <v>35.75</v>
      </c>
      <c r="G19" s="3183" t="s">
        <v>626</v>
      </c>
    </row>
    <row r="20" spans="1:7">
      <c r="A20" s="3183" t="s">
        <v>626</v>
      </c>
      <c r="B20" s="1">
        <f>SUM(F3:F118)</f>
        <v>4208.8999999999996</v>
      </c>
      <c r="C20" s="1">
        <v>116</v>
      </c>
      <c r="D20" s="1" t="s">
        <v>672</v>
      </c>
      <c r="E20" s="3186" t="s">
        <v>673</v>
      </c>
      <c r="F20" s="3183">
        <v>35.75</v>
      </c>
      <c r="G20" s="3183" t="s">
        <v>626</v>
      </c>
    </row>
    <row r="21" spans="1:7">
      <c r="A21" s="3188" t="s">
        <v>674</v>
      </c>
      <c r="B21" s="3189">
        <f>B20+B19</f>
        <v>9974.94</v>
      </c>
      <c r="C21" s="1"/>
      <c r="D21" s="1"/>
      <c r="E21" s="3186" t="s">
        <v>675</v>
      </c>
      <c r="F21" s="3183">
        <v>35.75</v>
      </c>
      <c r="G21" s="3183" t="s">
        <v>626</v>
      </c>
    </row>
    <row r="22" spans="1:7">
      <c r="A22" s="3183" t="s">
        <v>676</v>
      </c>
      <c r="E22" s="3186" t="s">
        <v>677</v>
      </c>
      <c r="F22" s="3183">
        <v>35.75</v>
      </c>
      <c r="G22" s="3183" t="s">
        <v>626</v>
      </c>
    </row>
    <row r="23" spans="1:7">
      <c r="A23" s="3183" t="s">
        <v>678</v>
      </c>
      <c r="E23" s="3186" t="s">
        <v>679</v>
      </c>
      <c r="F23" s="3183">
        <v>35.75</v>
      </c>
      <c r="G23" s="3183" t="s">
        <v>626</v>
      </c>
    </row>
    <row r="24" spans="1:7">
      <c r="E24" s="3186" t="s">
        <v>680</v>
      </c>
      <c r="F24" s="3183">
        <v>35.75</v>
      </c>
      <c r="G24" s="3183" t="s">
        <v>626</v>
      </c>
    </row>
    <row r="25" spans="1:7">
      <c r="E25" s="3186" t="s">
        <v>681</v>
      </c>
      <c r="F25" s="3183">
        <v>35.75</v>
      </c>
      <c r="G25" s="3183" t="s">
        <v>626</v>
      </c>
    </row>
    <row r="26" spans="1:7">
      <c r="E26" s="3186" t="s">
        <v>682</v>
      </c>
      <c r="F26" s="3183">
        <v>35.75</v>
      </c>
      <c r="G26" s="3183" t="s">
        <v>626</v>
      </c>
    </row>
    <row r="27" spans="1:7">
      <c r="E27" s="3186" t="s">
        <v>683</v>
      </c>
      <c r="F27" s="3183">
        <v>35.75</v>
      </c>
      <c r="G27" s="3183" t="s">
        <v>626</v>
      </c>
    </row>
    <row r="28" spans="1:7">
      <c r="E28" s="3186" t="s">
        <v>684</v>
      </c>
      <c r="F28" s="3183">
        <v>35.75</v>
      </c>
      <c r="G28" s="3183" t="s">
        <v>626</v>
      </c>
    </row>
    <row r="29" spans="1:7">
      <c r="E29" s="3186" t="s">
        <v>685</v>
      </c>
      <c r="F29" s="3183">
        <v>35.75</v>
      </c>
      <c r="G29" s="3183" t="s">
        <v>626</v>
      </c>
    </row>
    <row r="30" spans="1:7">
      <c r="E30" s="3186" t="s">
        <v>686</v>
      </c>
      <c r="F30" s="3183">
        <v>35.75</v>
      </c>
      <c r="G30" s="3183" t="s">
        <v>626</v>
      </c>
    </row>
    <row r="31" spans="1:7">
      <c r="E31" s="3186" t="s">
        <v>687</v>
      </c>
      <c r="F31" s="3183">
        <v>35.75</v>
      </c>
      <c r="G31" s="3183" t="s">
        <v>626</v>
      </c>
    </row>
    <row r="32" spans="1:7">
      <c r="E32" s="3186" t="s">
        <v>688</v>
      </c>
      <c r="F32" s="3183">
        <v>35.75</v>
      </c>
      <c r="G32" s="3183" t="s">
        <v>626</v>
      </c>
    </row>
    <row r="33" spans="5:7">
      <c r="E33" s="3186" t="s">
        <v>689</v>
      </c>
      <c r="F33" s="3183">
        <v>35.81</v>
      </c>
      <c r="G33" s="3183" t="s">
        <v>626</v>
      </c>
    </row>
    <row r="34" spans="5:7">
      <c r="E34" s="3186" t="s">
        <v>690</v>
      </c>
      <c r="F34" s="3183">
        <v>35.81</v>
      </c>
      <c r="G34" s="3183" t="s">
        <v>626</v>
      </c>
    </row>
    <row r="35" spans="5:7">
      <c r="E35" s="3186" t="s">
        <v>691</v>
      </c>
      <c r="F35" s="3183">
        <v>35.81</v>
      </c>
      <c r="G35" s="3183" t="s">
        <v>626</v>
      </c>
    </row>
    <row r="36" spans="5:7">
      <c r="E36" s="3186" t="s">
        <v>692</v>
      </c>
      <c r="F36" s="3183">
        <v>35.81</v>
      </c>
      <c r="G36" s="3183" t="s">
        <v>626</v>
      </c>
    </row>
    <row r="37" spans="5:7">
      <c r="E37" s="3186" t="s">
        <v>693</v>
      </c>
      <c r="F37" s="3183">
        <v>35.81</v>
      </c>
      <c r="G37" s="3183" t="s">
        <v>626</v>
      </c>
    </row>
    <row r="38" spans="5:7">
      <c r="E38" s="3186" t="s">
        <v>694</v>
      </c>
      <c r="F38" s="3183">
        <v>35.81</v>
      </c>
      <c r="G38" s="3183" t="s">
        <v>626</v>
      </c>
    </row>
    <row r="39" spans="5:7">
      <c r="E39" s="3186" t="s">
        <v>695</v>
      </c>
      <c r="F39" s="3183">
        <v>35.81</v>
      </c>
      <c r="G39" s="3183" t="s">
        <v>626</v>
      </c>
    </row>
    <row r="40" spans="5:7">
      <c r="E40" s="3186" t="s">
        <v>696</v>
      </c>
      <c r="F40" s="3183">
        <v>35.81</v>
      </c>
      <c r="G40" s="3183" t="s">
        <v>626</v>
      </c>
    </row>
    <row r="41" spans="5:7">
      <c r="E41" s="3186" t="s">
        <v>697</v>
      </c>
      <c r="F41" s="3183">
        <v>35.81</v>
      </c>
      <c r="G41" s="3183" t="s">
        <v>626</v>
      </c>
    </row>
    <row r="42" spans="5:7">
      <c r="E42" s="3186" t="s">
        <v>698</v>
      </c>
      <c r="F42" s="3183">
        <v>35.81</v>
      </c>
      <c r="G42" s="3183" t="s">
        <v>626</v>
      </c>
    </row>
    <row r="43" spans="5:7">
      <c r="E43" s="3186" t="s">
        <v>699</v>
      </c>
      <c r="F43" s="3183">
        <v>35.81</v>
      </c>
      <c r="G43" s="3183" t="s">
        <v>626</v>
      </c>
    </row>
    <row r="44" spans="5:7">
      <c r="E44" s="3186" t="s">
        <v>700</v>
      </c>
      <c r="F44" s="3183">
        <v>35.81</v>
      </c>
      <c r="G44" s="3183" t="s">
        <v>626</v>
      </c>
    </row>
    <row r="45" spans="5:7">
      <c r="E45" s="3186" t="s">
        <v>701</v>
      </c>
      <c r="F45" s="3183">
        <v>35.81</v>
      </c>
      <c r="G45" s="3183" t="s">
        <v>626</v>
      </c>
    </row>
    <row r="46" spans="5:7">
      <c r="E46" s="3186" t="s">
        <v>702</v>
      </c>
      <c r="F46" s="3183">
        <v>35.81</v>
      </c>
      <c r="G46" s="3183" t="s">
        <v>626</v>
      </c>
    </row>
    <row r="47" spans="5:7">
      <c r="E47" s="3186" t="s">
        <v>703</v>
      </c>
      <c r="F47" s="3183">
        <v>35.81</v>
      </c>
      <c r="G47" s="3183" t="s">
        <v>626</v>
      </c>
    </row>
    <row r="48" spans="5:7">
      <c r="E48" s="3186" t="s">
        <v>704</v>
      </c>
      <c r="F48" s="3183">
        <v>35.81</v>
      </c>
      <c r="G48" s="3183" t="s">
        <v>626</v>
      </c>
    </row>
    <row r="49" spans="5:7">
      <c r="E49" s="3186" t="s">
        <v>705</v>
      </c>
      <c r="F49" s="3183">
        <v>35.81</v>
      </c>
      <c r="G49" s="3183" t="s">
        <v>626</v>
      </c>
    </row>
    <row r="50" spans="5:7">
      <c r="E50" s="3186" t="s">
        <v>706</v>
      </c>
      <c r="F50" s="3183">
        <v>35.81</v>
      </c>
      <c r="G50" s="3183" t="s">
        <v>626</v>
      </c>
    </row>
    <row r="51" spans="5:7">
      <c r="E51" s="3186" t="s">
        <v>707</v>
      </c>
      <c r="F51" s="3183">
        <v>35.81</v>
      </c>
      <c r="G51" s="3183" t="s">
        <v>626</v>
      </c>
    </row>
    <row r="52" spans="5:7">
      <c r="E52" s="3186" t="s">
        <v>708</v>
      </c>
      <c r="F52" s="3183">
        <v>35.81</v>
      </c>
      <c r="G52" s="3183" t="s">
        <v>626</v>
      </c>
    </row>
    <row r="53" spans="5:7">
      <c r="E53" s="3186" t="s">
        <v>709</v>
      </c>
      <c r="F53" s="3183">
        <v>35.81</v>
      </c>
      <c r="G53" s="3183" t="s">
        <v>626</v>
      </c>
    </row>
    <row r="54" spans="5:7">
      <c r="E54" s="3186" t="s">
        <v>710</v>
      </c>
      <c r="F54" s="3183">
        <v>35.81</v>
      </c>
      <c r="G54" s="3183" t="s">
        <v>626</v>
      </c>
    </row>
    <row r="55" spans="5:7">
      <c r="E55" s="3186" t="s">
        <v>711</v>
      </c>
      <c r="F55" s="3183">
        <v>35.81</v>
      </c>
      <c r="G55" s="3183" t="s">
        <v>626</v>
      </c>
    </row>
    <row r="56" spans="5:7">
      <c r="E56" s="3186" t="s">
        <v>712</v>
      </c>
      <c r="F56" s="3183">
        <v>35.81</v>
      </c>
      <c r="G56" s="3183" t="s">
        <v>626</v>
      </c>
    </row>
    <row r="57" spans="5:7">
      <c r="E57" s="3186" t="s">
        <v>713</v>
      </c>
      <c r="F57" s="3183">
        <v>35.75</v>
      </c>
      <c r="G57" s="3183" t="s">
        <v>626</v>
      </c>
    </row>
    <row r="58" spans="5:7">
      <c r="E58" s="3186" t="s">
        <v>714</v>
      </c>
      <c r="F58" s="3183">
        <v>35.75</v>
      </c>
      <c r="G58" s="3183" t="s">
        <v>626</v>
      </c>
    </row>
    <row r="59" spans="5:7">
      <c r="E59" s="3186" t="s">
        <v>715</v>
      </c>
      <c r="F59" s="3183">
        <v>35.81</v>
      </c>
      <c r="G59" s="3183" t="s">
        <v>626</v>
      </c>
    </row>
    <row r="60" spans="5:7">
      <c r="E60" s="3186" t="s">
        <v>716</v>
      </c>
      <c r="F60" s="3183">
        <v>35.81</v>
      </c>
      <c r="G60" s="3183" t="s">
        <v>626</v>
      </c>
    </row>
    <row r="61" spans="5:7">
      <c r="E61" s="3186" t="s">
        <v>717</v>
      </c>
      <c r="F61" s="3183">
        <v>35.81</v>
      </c>
      <c r="G61" s="3183" t="s">
        <v>626</v>
      </c>
    </row>
    <row r="62" spans="5:7">
      <c r="E62" s="3186" t="s">
        <v>718</v>
      </c>
      <c r="F62" s="3183">
        <v>35.81</v>
      </c>
      <c r="G62" s="3183" t="s">
        <v>626</v>
      </c>
    </row>
    <row r="63" spans="5:7">
      <c r="E63" s="3186" t="s">
        <v>719</v>
      </c>
      <c r="F63" s="3183">
        <v>35.81</v>
      </c>
      <c r="G63" s="3183" t="s">
        <v>626</v>
      </c>
    </row>
    <row r="64" spans="5:7">
      <c r="E64" s="3186" t="s">
        <v>720</v>
      </c>
      <c r="F64" s="3183">
        <v>35.81</v>
      </c>
      <c r="G64" s="3183" t="s">
        <v>626</v>
      </c>
    </row>
    <row r="65" spans="5:7">
      <c r="E65" s="3186" t="s">
        <v>721</v>
      </c>
      <c r="F65" s="3183">
        <v>35.81</v>
      </c>
      <c r="G65" s="3183" t="s">
        <v>626</v>
      </c>
    </row>
    <row r="66" spans="5:7">
      <c r="E66" s="3186" t="s">
        <v>722</v>
      </c>
      <c r="F66" s="3183">
        <v>35.81</v>
      </c>
      <c r="G66" s="3183" t="s">
        <v>626</v>
      </c>
    </row>
    <row r="67" spans="5:7">
      <c r="E67" s="3186" t="s">
        <v>723</v>
      </c>
      <c r="F67" s="3183">
        <v>35.81</v>
      </c>
      <c r="G67" s="3183" t="s">
        <v>626</v>
      </c>
    </row>
    <row r="68" spans="5:7">
      <c r="E68" s="3186" t="s">
        <v>724</v>
      </c>
      <c r="F68" s="3183">
        <v>35.81</v>
      </c>
      <c r="G68" s="3183" t="s">
        <v>626</v>
      </c>
    </row>
    <row r="69" spans="5:7">
      <c r="E69" s="3186" t="s">
        <v>725</v>
      </c>
      <c r="F69" s="3183">
        <v>35.81</v>
      </c>
      <c r="G69" s="3183" t="s">
        <v>626</v>
      </c>
    </row>
    <row r="70" spans="5:7">
      <c r="E70" s="3186" t="s">
        <v>726</v>
      </c>
      <c r="F70" s="3183">
        <v>35.81</v>
      </c>
      <c r="G70" s="3183" t="s">
        <v>626</v>
      </c>
    </row>
    <row r="71" spans="5:7">
      <c r="E71" s="3186" t="s">
        <v>727</v>
      </c>
      <c r="F71" s="3183">
        <v>35.81</v>
      </c>
      <c r="G71" s="3183" t="s">
        <v>626</v>
      </c>
    </row>
    <row r="72" spans="5:7">
      <c r="E72" s="3186" t="s">
        <v>728</v>
      </c>
      <c r="F72" s="3183">
        <v>35.81</v>
      </c>
      <c r="G72" s="3183" t="s">
        <v>626</v>
      </c>
    </row>
    <row r="73" spans="5:7">
      <c r="E73" s="3186" t="s">
        <v>729</v>
      </c>
      <c r="F73" s="3183">
        <v>35.81</v>
      </c>
      <c r="G73" s="3183" t="s">
        <v>626</v>
      </c>
    </row>
    <row r="74" spans="5:7">
      <c r="E74" s="3186" t="s">
        <v>730</v>
      </c>
      <c r="F74" s="3183">
        <v>35.81</v>
      </c>
      <c r="G74" s="3183" t="s">
        <v>626</v>
      </c>
    </row>
    <row r="75" spans="5:7">
      <c r="E75" s="3186" t="s">
        <v>731</v>
      </c>
      <c r="F75" s="3183">
        <v>35.81</v>
      </c>
      <c r="G75" s="3183" t="s">
        <v>626</v>
      </c>
    </row>
    <row r="76" spans="5:7">
      <c r="E76" s="3186" t="s">
        <v>732</v>
      </c>
      <c r="F76" s="3183">
        <v>35.81</v>
      </c>
      <c r="G76" s="3183" t="s">
        <v>626</v>
      </c>
    </row>
    <row r="77" spans="5:7">
      <c r="E77" s="3186" t="s">
        <v>733</v>
      </c>
      <c r="F77" s="3183">
        <v>35.81</v>
      </c>
      <c r="G77" s="3183" t="s">
        <v>626</v>
      </c>
    </row>
    <row r="78" spans="5:7">
      <c r="E78" s="3186" t="s">
        <v>734</v>
      </c>
      <c r="F78" s="3183">
        <v>35.81</v>
      </c>
      <c r="G78" s="3183" t="s">
        <v>626</v>
      </c>
    </row>
    <row r="79" spans="5:7">
      <c r="E79" s="3186" t="s">
        <v>735</v>
      </c>
      <c r="F79" s="3183">
        <v>35.81</v>
      </c>
      <c r="G79" s="3183" t="s">
        <v>626</v>
      </c>
    </row>
    <row r="80" spans="5:7">
      <c r="E80" s="3186" t="s">
        <v>736</v>
      </c>
      <c r="F80" s="3183">
        <v>35.81</v>
      </c>
      <c r="G80" s="3183" t="s">
        <v>626</v>
      </c>
    </row>
    <row r="81" spans="5:7">
      <c r="E81" s="3186" t="s">
        <v>737</v>
      </c>
      <c r="F81" s="3183">
        <v>35.81</v>
      </c>
      <c r="G81" s="3183" t="s">
        <v>626</v>
      </c>
    </row>
    <row r="82" spans="5:7">
      <c r="E82" s="3186" t="s">
        <v>738</v>
      </c>
      <c r="F82" s="3183">
        <v>35.81</v>
      </c>
      <c r="G82" s="3183" t="s">
        <v>626</v>
      </c>
    </row>
    <row r="83" spans="5:7">
      <c r="E83" s="3186" t="s">
        <v>739</v>
      </c>
      <c r="F83" s="3183">
        <v>35.81</v>
      </c>
      <c r="G83" s="3183" t="s">
        <v>626</v>
      </c>
    </row>
    <row r="84" spans="5:7">
      <c r="E84" s="3186" t="s">
        <v>740</v>
      </c>
      <c r="F84" s="3183">
        <v>35.81</v>
      </c>
      <c r="G84" s="3183" t="s">
        <v>626</v>
      </c>
    </row>
    <row r="85" spans="5:7">
      <c r="E85" s="3186" t="s">
        <v>741</v>
      </c>
      <c r="F85" s="3183">
        <v>35.81</v>
      </c>
      <c r="G85" s="3183" t="s">
        <v>626</v>
      </c>
    </row>
    <row r="86" spans="5:7">
      <c r="E86" s="3186" t="s">
        <v>742</v>
      </c>
      <c r="F86" s="3183">
        <v>35.81</v>
      </c>
      <c r="G86" s="3183" t="s">
        <v>626</v>
      </c>
    </row>
    <row r="87" spans="5:7">
      <c r="E87" s="3186" t="s">
        <v>743</v>
      </c>
      <c r="F87" s="3183">
        <v>35.81</v>
      </c>
      <c r="G87" s="3183" t="s">
        <v>626</v>
      </c>
    </row>
    <row r="88" spans="5:7">
      <c r="E88" s="3186" t="s">
        <v>744</v>
      </c>
      <c r="F88" s="3183">
        <v>35.81</v>
      </c>
      <c r="G88" s="3183" t="s">
        <v>626</v>
      </c>
    </row>
    <row r="89" spans="5:7">
      <c r="E89" s="3186" t="s">
        <v>745</v>
      </c>
      <c r="F89" s="3183">
        <v>35.44</v>
      </c>
      <c r="G89" s="3183" t="s">
        <v>626</v>
      </c>
    </row>
    <row r="90" spans="5:7">
      <c r="E90" s="3186" t="s">
        <v>746</v>
      </c>
      <c r="F90" s="3183">
        <v>35.44</v>
      </c>
      <c r="G90" s="3183" t="s">
        <v>626</v>
      </c>
    </row>
    <row r="91" spans="5:7">
      <c r="E91" s="3186" t="s">
        <v>747</v>
      </c>
      <c r="F91" s="3183">
        <v>35.44</v>
      </c>
      <c r="G91" s="3183" t="s">
        <v>626</v>
      </c>
    </row>
    <row r="92" spans="5:7">
      <c r="E92" s="3186" t="s">
        <v>748</v>
      </c>
      <c r="F92" s="3183">
        <v>35.44</v>
      </c>
      <c r="G92" s="3183" t="s">
        <v>626</v>
      </c>
    </row>
    <row r="93" spans="5:7">
      <c r="E93" s="3186" t="s">
        <v>749</v>
      </c>
      <c r="F93" s="3183">
        <v>35.44</v>
      </c>
      <c r="G93" s="3183" t="s">
        <v>626</v>
      </c>
    </row>
    <row r="94" spans="5:7">
      <c r="E94" s="3186" t="s">
        <v>750</v>
      </c>
      <c r="F94" s="3183">
        <v>35.44</v>
      </c>
      <c r="G94" s="3183" t="s">
        <v>626</v>
      </c>
    </row>
    <row r="95" spans="5:7">
      <c r="E95" s="3186" t="s">
        <v>751</v>
      </c>
      <c r="F95" s="3183">
        <v>35.44</v>
      </c>
      <c r="G95" s="3183" t="s">
        <v>626</v>
      </c>
    </row>
    <row r="96" spans="5:7">
      <c r="E96" s="3186" t="s">
        <v>752</v>
      </c>
      <c r="F96" s="3183">
        <v>35.44</v>
      </c>
      <c r="G96" s="3183" t="s">
        <v>626</v>
      </c>
    </row>
    <row r="97" spans="5:7">
      <c r="E97" s="3186" t="s">
        <v>753</v>
      </c>
      <c r="F97" s="3183">
        <v>35.44</v>
      </c>
      <c r="G97" s="3183" t="s">
        <v>626</v>
      </c>
    </row>
    <row r="98" spans="5:7">
      <c r="E98" s="3186" t="s">
        <v>754</v>
      </c>
      <c r="F98" s="3183">
        <v>35.44</v>
      </c>
      <c r="G98" s="3183" t="s">
        <v>626</v>
      </c>
    </row>
    <row r="99" spans="5:7">
      <c r="E99" s="3186" t="s">
        <v>755</v>
      </c>
      <c r="F99" s="3183">
        <v>35.44</v>
      </c>
      <c r="G99" s="3183" t="s">
        <v>626</v>
      </c>
    </row>
    <row r="100" spans="5:7">
      <c r="E100" s="3186" t="s">
        <v>756</v>
      </c>
      <c r="F100" s="3183">
        <v>35.44</v>
      </c>
      <c r="G100" s="3183" t="s">
        <v>626</v>
      </c>
    </row>
    <row r="101" spans="5:7">
      <c r="E101" s="3186" t="s">
        <v>757</v>
      </c>
      <c r="F101" s="3183">
        <v>35.44</v>
      </c>
      <c r="G101" s="3183" t="s">
        <v>626</v>
      </c>
    </row>
    <row r="102" spans="5:7">
      <c r="E102" s="3186" t="s">
        <v>758</v>
      </c>
      <c r="F102" s="3183">
        <v>35.44</v>
      </c>
      <c r="G102" s="3183" t="s">
        <v>626</v>
      </c>
    </row>
    <row r="103" spans="5:7">
      <c r="E103" s="3186" t="s">
        <v>759</v>
      </c>
      <c r="F103" s="3183">
        <v>35.44</v>
      </c>
      <c r="G103" s="3183" t="s">
        <v>626</v>
      </c>
    </row>
    <row r="104" spans="5:7">
      <c r="E104" s="3186" t="s">
        <v>760</v>
      </c>
      <c r="F104" s="3183">
        <v>35.44</v>
      </c>
      <c r="G104" s="3183" t="s">
        <v>626</v>
      </c>
    </row>
    <row r="105" spans="5:7">
      <c r="E105" s="3186" t="s">
        <v>761</v>
      </c>
      <c r="F105" s="3183">
        <v>35.44</v>
      </c>
      <c r="G105" s="3183" t="s">
        <v>626</v>
      </c>
    </row>
    <row r="106" spans="5:7">
      <c r="E106" s="3186" t="s">
        <v>762</v>
      </c>
      <c r="F106" s="3183">
        <v>35.44</v>
      </c>
      <c r="G106" s="3183" t="s">
        <v>626</v>
      </c>
    </row>
    <row r="107" spans="5:7">
      <c r="E107" s="3186" t="s">
        <v>763</v>
      </c>
      <c r="F107" s="3183">
        <v>36.479999999999997</v>
      </c>
      <c r="G107" s="3183" t="s">
        <v>626</v>
      </c>
    </row>
    <row r="108" spans="5:7">
      <c r="E108" s="3186" t="s">
        <v>764</v>
      </c>
      <c r="F108" s="3183">
        <v>36.479999999999997</v>
      </c>
      <c r="G108" s="3183" t="s">
        <v>626</v>
      </c>
    </row>
    <row r="109" spans="5:7">
      <c r="E109" s="3186" t="s">
        <v>765</v>
      </c>
      <c r="F109" s="3183">
        <v>36.479999999999997</v>
      </c>
      <c r="G109" s="3183" t="s">
        <v>626</v>
      </c>
    </row>
    <row r="110" spans="5:7">
      <c r="E110" s="3186" t="s">
        <v>766</v>
      </c>
      <c r="F110" s="3183">
        <v>36.479999999999997</v>
      </c>
      <c r="G110" s="3183" t="s">
        <v>626</v>
      </c>
    </row>
    <row r="111" spans="5:7">
      <c r="E111" s="3186" t="s">
        <v>767</v>
      </c>
      <c r="F111" s="3183">
        <v>36.479999999999997</v>
      </c>
      <c r="G111" s="3183" t="s">
        <v>626</v>
      </c>
    </row>
    <row r="112" spans="5:7">
      <c r="E112" s="3186" t="s">
        <v>768</v>
      </c>
      <c r="F112" s="3183">
        <v>36.479999999999997</v>
      </c>
      <c r="G112" s="3183" t="s">
        <v>626</v>
      </c>
    </row>
    <row r="113" spans="5:7">
      <c r="E113" s="3186" t="s">
        <v>769</v>
      </c>
      <c r="F113" s="3183">
        <v>36.479999999999997</v>
      </c>
      <c r="G113" s="3183" t="s">
        <v>626</v>
      </c>
    </row>
    <row r="114" spans="5:7">
      <c r="E114" s="3186" t="s">
        <v>770</v>
      </c>
      <c r="F114" s="3183">
        <v>32.700000000000003</v>
      </c>
      <c r="G114" s="3183" t="s">
        <v>626</v>
      </c>
    </row>
    <row r="115" spans="5:7">
      <c r="E115" s="3186" t="s">
        <v>771</v>
      </c>
      <c r="F115" s="3183">
        <v>32.700000000000003</v>
      </c>
      <c r="G115" s="3183" t="s">
        <v>626</v>
      </c>
    </row>
    <row r="116" spans="5:7">
      <c r="E116" s="3186" t="s">
        <v>772</v>
      </c>
      <c r="F116" s="3183">
        <v>32.700000000000003</v>
      </c>
      <c r="G116" s="3183" t="s">
        <v>626</v>
      </c>
    </row>
    <row r="117" spans="5:7">
      <c r="E117" s="3186" t="s">
        <v>773</v>
      </c>
      <c r="F117" s="3183">
        <v>32.700000000000003</v>
      </c>
      <c r="G117" s="3183" t="s">
        <v>626</v>
      </c>
    </row>
    <row r="118" spans="5:7">
      <c r="E118" s="3186" t="s">
        <v>774</v>
      </c>
      <c r="F118" s="3183">
        <v>36.18</v>
      </c>
      <c r="G118" s="3183" t="s">
        <v>626</v>
      </c>
    </row>
    <row r="119" spans="5:7">
      <c r="E119" s="3186"/>
    </row>
    <row r="120" spans="5:7">
      <c r="E120" s="3186"/>
    </row>
    <row r="121" spans="5:7">
      <c r="E121" s="3186"/>
    </row>
    <row r="122" spans="5:7">
      <c r="E122" s="3186"/>
    </row>
    <row r="123" spans="5:7">
      <c r="E123" s="3186"/>
    </row>
    <row r="124" spans="5:7">
      <c r="E124" s="3186"/>
    </row>
    <row r="125" spans="5:7">
      <c r="E125" s="3186"/>
    </row>
    <row r="126" spans="5:7">
      <c r="E126" s="3186"/>
    </row>
    <row r="127" spans="5:7">
      <c r="E127" s="3186"/>
    </row>
    <row r="128" spans="5:7">
      <c r="E128" s="3186"/>
    </row>
    <row r="129" spans="5:5">
      <c r="E129" s="3186"/>
    </row>
    <row r="130" spans="5:5">
      <c r="E130" s="3186"/>
    </row>
    <row r="131" spans="5:5">
      <c r="E131" s="3186"/>
    </row>
    <row r="132" spans="5:5">
      <c r="E132" s="3186"/>
    </row>
    <row r="133" spans="5:5">
      <c r="E133" s="3186"/>
    </row>
    <row r="134" spans="5:5">
      <c r="E134" s="3186"/>
    </row>
  </sheetData>
  <phoneticPr fontId="2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94"/>
  <sheetViews>
    <sheetView workbookViewId="0">
      <pane xSplit="1" ySplit="1" topLeftCell="B137" activePane="bottomRight" state="frozen"/>
      <selection pane="topRight"/>
      <selection pane="bottomLeft"/>
      <selection pane="bottomRight" activeCell="G158" sqref="G158"/>
    </sheetView>
  </sheetViews>
  <sheetFormatPr defaultColWidth="9" defaultRowHeight="13.5"/>
  <cols>
    <col min="1" max="1" width="5.625" customWidth="1"/>
    <col min="2" max="2" width="9.875" customWidth="1"/>
    <col min="3" max="3" width="7.375" customWidth="1"/>
    <col min="4" max="4" width="10.625" customWidth="1"/>
    <col min="5" max="5" width="25.25" style="300" customWidth="1"/>
    <col min="6" max="6" width="9.625" customWidth="1"/>
    <col min="7" max="7" width="12.125" customWidth="1"/>
    <col min="8" max="8" width="10.75" customWidth="1"/>
    <col min="9" max="9" width="26" customWidth="1"/>
    <col min="10" max="10" width="13.875" customWidth="1"/>
    <col min="11" max="11" width="18.875" customWidth="1"/>
    <col min="12" max="12" width="16.5" customWidth="1"/>
    <col min="13" max="13" width="8.875" customWidth="1"/>
    <col min="14" max="14" width="10.25" customWidth="1"/>
    <col min="15" max="15" width="8.25" customWidth="1"/>
    <col min="16" max="16" width="6.625" customWidth="1"/>
    <col min="17" max="18" width="7.875" customWidth="1"/>
    <col min="19" max="20" width="11.625" customWidth="1"/>
    <col min="21" max="21" width="13.25" customWidth="1"/>
    <col min="23" max="23" width="12.75" customWidth="1"/>
    <col min="24" max="24" width="9.5" customWidth="1"/>
    <col min="25" max="25" width="10.875" customWidth="1"/>
    <col min="27" max="27" width="10.875" customWidth="1"/>
    <col min="29" max="29" width="12" customWidth="1"/>
    <col min="31" max="31" width="11.5" customWidth="1"/>
    <col min="33" max="33" width="9.5" customWidth="1"/>
  </cols>
  <sheetData>
    <row r="1" spans="1:30" ht="45">
      <c r="A1" s="3116" t="s">
        <v>775</v>
      </c>
      <c r="B1" s="3117" t="s">
        <v>776</v>
      </c>
      <c r="C1" s="3117" t="s">
        <v>777</v>
      </c>
      <c r="D1" s="3117" t="s">
        <v>778</v>
      </c>
      <c r="E1" s="3118" t="s">
        <v>779</v>
      </c>
      <c r="F1" s="3116" t="s">
        <v>780</v>
      </c>
      <c r="G1" s="3119" t="s">
        <v>781</v>
      </c>
      <c r="H1" s="3117" t="s">
        <v>782</v>
      </c>
      <c r="I1" s="3117" t="s">
        <v>783</v>
      </c>
      <c r="J1" s="3117" t="s">
        <v>784</v>
      </c>
      <c r="K1" s="3117" t="s">
        <v>785</v>
      </c>
      <c r="L1" s="3117" t="s">
        <v>786</v>
      </c>
      <c r="M1" s="3117" t="s">
        <v>787</v>
      </c>
      <c r="N1" s="3117" t="s">
        <v>788</v>
      </c>
      <c r="O1" s="3117" t="s">
        <v>789</v>
      </c>
      <c r="P1" s="3117" t="s">
        <v>790</v>
      </c>
      <c r="Q1" s="3116" t="s">
        <v>791</v>
      </c>
      <c r="R1" s="3134" t="s">
        <v>792</v>
      </c>
    </row>
    <row r="2" spans="1:30" ht="16.5">
      <c r="A2" s="3120">
        <v>11</v>
      </c>
      <c r="B2" s="3121" t="s">
        <v>793</v>
      </c>
      <c r="C2" s="3122" t="s">
        <v>794</v>
      </c>
      <c r="D2" s="3122" t="s">
        <v>795</v>
      </c>
      <c r="E2" s="3123" t="s">
        <v>796</v>
      </c>
      <c r="F2" s="3122">
        <v>420.66</v>
      </c>
      <c r="G2" s="3122">
        <v>63</v>
      </c>
      <c r="H2" s="3122">
        <v>377.05</v>
      </c>
      <c r="I2" s="3123" t="s">
        <v>797</v>
      </c>
      <c r="J2" s="3122">
        <v>62.84</v>
      </c>
      <c r="K2" s="3122" t="s">
        <v>798</v>
      </c>
      <c r="L2" s="3122" t="s">
        <v>799</v>
      </c>
      <c r="M2" s="3122">
        <f>H2*J2/10000</f>
        <v>2.3693822</v>
      </c>
      <c r="N2" s="3122">
        <f>M2*12</f>
        <v>28.432586400000002</v>
      </c>
      <c r="O2" s="3122" t="s">
        <v>800</v>
      </c>
      <c r="P2" s="3122" t="s">
        <v>801</v>
      </c>
      <c r="Q2" s="3122"/>
      <c r="R2" s="3135"/>
      <c r="S2" s="3136">
        <v>42389</v>
      </c>
      <c r="T2" s="3137">
        <v>45310</v>
      </c>
      <c r="U2" s="3137">
        <f>T2</f>
        <v>45310</v>
      </c>
      <c r="V2" s="3138">
        <f>J2</f>
        <v>62.84</v>
      </c>
    </row>
    <row r="3" spans="1:30" ht="16.5">
      <c r="A3" s="3120">
        <v>12</v>
      </c>
      <c r="B3" s="3121" t="s">
        <v>793</v>
      </c>
      <c r="C3" s="3122" t="s">
        <v>794</v>
      </c>
      <c r="D3" s="3122" t="s">
        <v>802</v>
      </c>
      <c r="E3" s="3123" t="s">
        <v>796</v>
      </c>
      <c r="F3" s="3122">
        <v>370</v>
      </c>
      <c r="G3" s="3122">
        <v>63</v>
      </c>
      <c r="H3" s="3122">
        <v>370</v>
      </c>
      <c r="I3" s="3123" t="s">
        <v>797</v>
      </c>
      <c r="J3" s="3122">
        <v>62.84</v>
      </c>
      <c r="K3" s="3122" t="s">
        <v>798</v>
      </c>
      <c r="L3" s="3122" t="s">
        <v>799</v>
      </c>
      <c r="M3" s="3122">
        <f t="shared" ref="M3:M10" si="0">H3*J3/10000</f>
        <v>2.3250799999999998</v>
      </c>
      <c r="N3" s="3122">
        <f t="shared" ref="N3:N10" si="1">M3*12</f>
        <v>27.900960000000001</v>
      </c>
      <c r="O3" s="3122" t="s">
        <v>800</v>
      </c>
      <c r="P3" s="3122" t="s">
        <v>801</v>
      </c>
      <c r="Q3" s="3122"/>
      <c r="R3" s="3135"/>
      <c r="S3" s="3137">
        <v>42389</v>
      </c>
      <c r="T3" s="3137">
        <v>45310</v>
      </c>
      <c r="U3" s="3137">
        <f t="shared" ref="U3:U10" si="2">T3</f>
        <v>45310</v>
      </c>
      <c r="V3" s="3138">
        <f t="shared" ref="V3:V10" si="3">J3</f>
        <v>62.84</v>
      </c>
    </row>
    <row r="4" spans="1:30" ht="16.5">
      <c r="A4" s="3120">
        <v>13</v>
      </c>
      <c r="B4" s="3121" t="s">
        <v>793</v>
      </c>
      <c r="C4" s="3122" t="s">
        <v>794</v>
      </c>
      <c r="D4" s="3122" t="s">
        <v>803</v>
      </c>
      <c r="E4" s="3123" t="s">
        <v>796</v>
      </c>
      <c r="F4" s="3122">
        <v>731.04</v>
      </c>
      <c r="G4" s="3122">
        <v>63</v>
      </c>
      <c r="H4" s="3122">
        <v>690.72</v>
      </c>
      <c r="I4" s="3123" t="s">
        <v>797</v>
      </c>
      <c r="J4" s="3122">
        <v>62.84</v>
      </c>
      <c r="K4" s="3122" t="s">
        <v>798</v>
      </c>
      <c r="L4" s="3122" t="s">
        <v>799</v>
      </c>
      <c r="M4" s="3122">
        <f t="shared" si="0"/>
        <v>4.3404844799999998</v>
      </c>
      <c r="N4" s="3122">
        <f t="shared" si="1"/>
        <v>52.085813760000001</v>
      </c>
      <c r="O4" s="3122" t="s">
        <v>800</v>
      </c>
      <c r="P4" s="3122" t="s">
        <v>801</v>
      </c>
      <c r="Q4" s="3122"/>
      <c r="R4" s="3135"/>
      <c r="S4" s="3137">
        <v>42389</v>
      </c>
      <c r="T4" s="3137">
        <v>45310</v>
      </c>
      <c r="U4" s="3137">
        <f t="shared" si="2"/>
        <v>45310</v>
      </c>
      <c r="V4" s="3138">
        <f t="shared" si="3"/>
        <v>62.84</v>
      </c>
    </row>
    <row r="5" spans="1:30" ht="16.5">
      <c r="A5" s="3120">
        <v>14</v>
      </c>
      <c r="B5" s="3121" t="s">
        <v>793</v>
      </c>
      <c r="C5" s="3122" t="s">
        <v>794</v>
      </c>
      <c r="D5" s="3122" t="s">
        <v>804</v>
      </c>
      <c r="E5" s="3123" t="s">
        <v>796</v>
      </c>
      <c r="F5" s="3122">
        <v>731.04</v>
      </c>
      <c r="G5" s="3122">
        <v>63</v>
      </c>
      <c r="H5" s="3122">
        <v>690.72</v>
      </c>
      <c r="I5" s="3123" t="s">
        <v>797</v>
      </c>
      <c r="J5" s="3122">
        <v>62.84</v>
      </c>
      <c r="K5" s="3122" t="s">
        <v>798</v>
      </c>
      <c r="L5" s="3122" t="s">
        <v>799</v>
      </c>
      <c r="M5" s="3122">
        <f t="shared" si="0"/>
        <v>4.3404844799999998</v>
      </c>
      <c r="N5" s="3122">
        <f t="shared" si="1"/>
        <v>52.085813760000001</v>
      </c>
      <c r="O5" s="3122" t="s">
        <v>800</v>
      </c>
      <c r="P5" s="3122" t="s">
        <v>801</v>
      </c>
      <c r="Q5" s="3122"/>
      <c r="R5" s="3135"/>
      <c r="S5" s="3137">
        <v>42389</v>
      </c>
      <c r="T5" s="3137">
        <v>45310</v>
      </c>
      <c r="U5" s="3137">
        <f t="shared" si="2"/>
        <v>45310</v>
      </c>
      <c r="V5" s="3138">
        <f t="shared" si="3"/>
        <v>62.84</v>
      </c>
    </row>
    <row r="6" spans="1:30" ht="16.5">
      <c r="A6" s="3120">
        <v>15</v>
      </c>
      <c r="B6" s="3121" t="s">
        <v>793</v>
      </c>
      <c r="C6" s="3122" t="s">
        <v>794</v>
      </c>
      <c r="D6" s="3122" t="s">
        <v>805</v>
      </c>
      <c r="E6" s="3123" t="s">
        <v>796</v>
      </c>
      <c r="F6" s="3122">
        <v>760.51</v>
      </c>
      <c r="G6" s="3122">
        <v>63</v>
      </c>
      <c r="H6" s="3122">
        <v>816</v>
      </c>
      <c r="I6" s="3123" t="s">
        <v>797</v>
      </c>
      <c r="J6" s="3122">
        <v>62.84</v>
      </c>
      <c r="K6" s="3122" t="s">
        <v>806</v>
      </c>
      <c r="L6" s="3122" t="s">
        <v>799</v>
      </c>
      <c r="M6" s="3122">
        <f t="shared" si="0"/>
        <v>5.1277439999999999</v>
      </c>
      <c r="N6" s="3122">
        <f t="shared" si="1"/>
        <v>61.532927999999998</v>
      </c>
      <c r="O6" s="3122" t="s">
        <v>800</v>
      </c>
      <c r="P6" s="3122" t="s">
        <v>801</v>
      </c>
      <c r="Q6" s="3122"/>
      <c r="R6" s="3135"/>
      <c r="S6" s="3137">
        <v>43117</v>
      </c>
      <c r="T6" s="3137">
        <v>45310</v>
      </c>
      <c r="U6" s="3137">
        <f t="shared" si="2"/>
        <v>45310</v>
      </c>
      <c r="V6" s="3138">
        <f t="shared" si="3"/>
        <v>62.84</v>
      </c>
    </row>
    <row r="7" spans="1:30" ht="16.5">
      <c r="A7" s="3120">
        <v>16</v>
      </c>
      <c r="B7" s="3121" t="s">
        <v>793</v>
      </c>
      <c r="C7" s="3122" t="s">
        <v>794</v>
      </c>
      <c r="D7" s="3122" t="s">
        <v>807</v>
      </c>
      <c r="E7" s="3123" t="s">
        <v>796</v>
      </c>
      <c r="F7" s="3122">
        <v>760.51</v>
      </c>
      <c r="G7" s="3122">
        <v>63</v>
      </c>
      <c r="H7" s="3122">
        <v>816</v>
      </c>
      <c r="I7" s="3123" t="s">
        <v>797</v>
      </c>
      <c r="J7" s="3122">
        <v>62.84</v>
      </c>
      <c r="K7" s="3122" t="s">
        <v>806</v>
      </c>
      <c r="L7" s="3122" t="s">
        <v>799</v>
      </c>
      <c r="M7" s="3122">
        <f t="shared" si="0"/>
        <v>5.1277439999999999</v>
      </c>
      <c r="N7" s="3122">
        <f t="shared" si="1"/>
        <v>61.532927999999998</v>
      </c>
      <c r="O7" s="3122" t="s">
        <v>800</v>
      </c>
      <c r="P7" s="3122" t="s">
        <v>801</v>
      </c>
      <c r="Q7" s="3122"/>
      <c r="R7" s="3135"/>
      <c r="S7" s="3137">
        <v>43117</v>
      </c>
      <c r="T7" s="3137">
        <v>45310</v>
      </c>
      <c r="U7" s="3137">
        <f t="shared" si="2"/>
        <v>45310</v>
      </c>
      <c r="V7" s="3138">
        <f t="shared" si="3"/>
        <v>62.84</v>
      </c>
    </row>
    <row r="8" spans="1:30" ht="16.5">
      <c r="A8" s="3120">
        <v>17</v>
      </c>
      <c r="B8" s="3121" t="s">
        <v>793</v>
      </c>
      <c r="C8" s="3122" t="s">
        <v>794</v>
      </c>
      <c r="D8" s="3122" t="s">
        <v>808</v>
      </c>
      <c r="E8" s="3123" t="s">
        <v>796</v>
      </c>
      <c r="F8" s="3122">
        <v>760.51</v>
      </c>
      <c r="G8" s="3122">
        <v>63</v>
      </c>
      <c r="H8" s="3122">
        <v>816</v>
      </c>
      <c r="I8" s="3123" t="s">
        <v>797</v>
      </c>
      <c r="J8" s="3122">
        <v>62.84</v>
      </c>
      <c r="K8" s="3122" t="s">
        <v>806</v>
      </c>
      <c r="L8" s="3122" t="s">
        <v>799</v>
      </c>
      <c r="M8" s="3122">
        <f t="shared" si="0"/>
        <v>5.1277439999999999</v>
      </c>
      <c r="N8" s="3122">
        <f t="shared" si="1"/>
        <v>61.532927999999998</v>
      </c>
      <c r="O8" s="3122" t="s">
        <v>800</v>
      </c>
      <c r="P8" s="3122" t="s">
        <v>801</v>
      </c>
      <c r="Q8" s="3122"/>
      <c r="R8" s="3135"/>
      <c r="S8" s="3137">
        <v>43117</v>
      </c>
      <c r="T8" s="3137">
        <v>45310</v>
      </c>
      <c r="U8" s="3137">
        <f t="shared" si="2"/>
        <v>45310</v>
      </c>
      <c r="V8" s="3138">
        <f t="shared" si="3"/>
        <v>62.84</v>
      </c>
    </row>
    <row r="9" spans="1:30" ht="16.5">
      <c r="A9" s="3120">
        <v>18</v>
      </c>
      <c r="B9" s="3121" t="s">
        <v>793</v>
      </c>
      <c r="C9" s="3122" t="s">
        <v>794</v>
      </c>
      <c r="D9" s="3122" t="s">
        <v>809</v>
      </c>
      <c r="E9" s="3123" t="s">
        <v>796</v>
      </c>
      <c r="F9" s="3122">
        <v>764.97</v>
      </c>
      <c r="G9" s="3122">
        <v>63</v>
      </c>
      <c r="H9" s="3122">
        <v>722.77</v>
      </c>
      <c r="I9" s="3123" t="s">
        <v>797</v>
      </c>
      <c r="J9" s="3122">
        <v>62.84</v>
      </c>
      <c r="K9" s="3122" t="s">
        <v>798</v>
      </c>
      <c r="L9" s="3122" t="s">
        <v>799</v>
      </c>
      <c r="M9" s="3122">
        <f t="shared" si="0"/>
        <v>4.5418866800000002</v>
      </c>
      <c r="N9" s="3122">
        <f t="shared" si="1"/>
        <v>54.502640159999999</v>
      </c>
      <c r="O9" s="3122" t="s">
        <v>800</v>
      </c>
      <c r="P9" s="3122" t="s">
        <v>801</v>
      </c>
      <c r="Q9" s="3122"/>
      <c r="R9" s="3135"/>
      <c r="S9" s="3137">
        <v>42389</v>
      </c>
      <c r="T9" s="3137">
        <v>45310</v>
      </c>
      <c r="U9" s="3137">
        <f t="shared" si="2"/>
        <v>45310</v>
      </c>
      <c r="V9" s="3138">
        <f t="shared" si="3"/>
        <v>62.84</v>
      </c>
    </row>
    <row r="10" spans="1:30" ht="16.5">
      <c r="A10" s="3120">
        <v>19</v>
      </c>
      <c r="B10" s="3121" t="s">
        <v>793</v>
      </c>
      <c r="C10" s="3122" t="s">
        <v>794</v>
      </c>
      <c r="D10" s="3122" t="s">
        <v>810</v>
      </c>
      <c r="E10" s="3123" t="s">
        <v>796</v>
      </c>
      <c r="F10" s="3122">
        <v>135.75</v>
      </c>
      <c r="G10" s="3122">
        <v>63</v>
      </c>
      <c r="H10" s="3122">
        <v>135.75</v>
      </c>
      <c r="I10" s="3123" t="s">
        <v>797</v>
      </c>
      <c r="J10" s="3122">
        <v>62.84</v>
      </c>
      <c r="K10" s="3122" t="s">
        <v>798</v>
      </c>
      <c r="L10" s="3122" t="s">
        <v>799</v>
      </c>
      <c r="M10" s="3122">
        <f t="shared" si="0"/>
        <v>0.85305299999999995</v>
      </c>
      <c r="N10" s="3122">
        <f t="shared" si="1"/>
        <v>10.236636000000001</v>
      </c>
      <c r="O10" s="3122" t="s">
        <v>800</v>
      </c>
      <c r="P10" s="3122" t="s">
        <v>801</v>
      </c>
      <c r="Q10" s="3122" t="s">
        <v>615</v>
      </c>
      <c r="R10" s="3135"/>
      <c r="S10" s="3137">
        <v>42389</v>
      </c>
      <c r="T10" s="3137">
        <v>45310</v>
      </c>
      <c r="U10" s="3137">
        <f t="shared" si="2"/>
        <v>45310</v>
      </c>
      <c r="V10" s="3138">
        <f t="shared" si="3"/>
        <v>62.84</v>
      </c>
    </row>
    <row r="11" spans="1:30" s="3113" customFormat="1" ht="16.5">
      <c r="A11" s="3668" t="s">
        <v>811</v>
      </c>
      <c r="B11" s="3669"/>
      <c r="C11" s="3669"/>
      <c r="D11" s="3670"/>
      <c r="E11" s="3124"/>
      <c r="F11" s="3125">
        <f>SUM(F2:F10)</f>
        <v>5434.99</v>
      </c>
      <c r="G11" s="3125"/>
      <c r="H11" s="3125">
        <v>5435</v>
      </c>
      <c r="I11" s="3127"/>
      <c r="J11" s="3125"/>
      <c r="K11" s="3125"/>
      <c r="L11" s="3125"/>
      <c r="M11" s="3125">
        <f>SUM(M2:M10)</f>
        <v>34.153602839999998</v>
      </c>
      <c r="N11" s="3125">
        <f>SUM(N2:N10)</f>
        <v>409.84323408</v>
      </c>
      <c r="O11" s="3125"/>
      <c r="P11" s="3125"/>
      <c r="Q11" s="3125"/>
      <c r="R11" s="3139">
        <f>ROUND(N11*10000/365/F11,2)</f>
        <v>2.0699999999999998</v>
      </c>
      <c r="S11" t="s">
        <v>812</v>
      </c>
      <c r="T11" t="s">
        <v>812</v>
      </c>
    </row>
    <row r="12" spans="1:30" ht="16.5">
      <c r="A12" s="3120">
        <v>225</v>
      </c>
      <c r="B12" s="3122" t="s">
        <v>813</v>
      </c>
      <c r="C12" s="3122" t="s">
        <v>814</v>
      </c>
      <c r="D12" s="3122" t="s">
        <v>814</v>
      </c>
      <c r="E12" s="3123" t="s">
        <v>815</v>
      </c>
      <c r="F12" s="3122">
        <v>346.17</v>
      </c>
      <c r="G12" s="3122" t="s">
        <v>816</v>
      </c>
      <c r="H12" s="3122">
        <v>346.17</v>
      </c>
      <c r="I12" s="3123" t="s">
        <v>817</v>
      </c>
      <c r="J12" s="3122">
        <v>60</v>
      </c>
      <c r="K12" s="3122" t="s">
        <v>816</v>
      </c>
      <c r="L12" s="3122" t="s">
        <v>816</v>
      </c>
      <c r="M12" s="3122">
        <f>H12*J12/10000</f>
        <v>2.0770200000000001</v>
      </c>
      <c r="N12" s="3122">
        <f t="shared" ref="N12:N14" si="4">M12*12</f>
        <v>24.924240000000001</v>
      </c>
      <c r="O12" s="3122" t="s">
        <v>814</v>
      </c>
      <c r="P12" s="3122" t="s">
        <v>818</v>
      </c>
      <c r="Q12" s="3122"/>
      <c r="R12" s="3135"/>
      <c r="S12" t="s">
        <v>816</v>
      </c>
      <c r="T12" t="s">
        <v>816</v>
      </c>
    </row>
    <row r="13" spans="1:30" ht="16.5">
      <c r="A13" s="3120">
        <v>226</v>
      </c>
      <c r="B13" s="3122" t="s">
        <v>813</v>
      </c>
      <c r="C13" s="3122" t="s">
        <v>819</v>
      </c>
      <c r="D13" s="3122" t="s">
        <v>820</v>
      </c>
      <c r="E13" s="3123" t="s">
        <v>815</v>
      </c>
      <c r="F13" s="3122">
        <v>2359.0500000000002</v>
      </c>
      <c r="G13" s="3122">
        <v>65</v>
      </c>
      <c r="H13" s="3122">
        <v>2325.9</v>
      </c>
      <c r="I13" s="3123" t="s">
        <v>821</v>
      </c>
      <c r="J13" s="3128">
        <f>62.31*1.03</f>
        <v>64.179299999999998</v>
      </c>
      <c r="K13" s="3128" t="s">
        <v>822</v>
      </c>
      <c r="L13" s="3122" t="s">
        <v>823</v>
      </c>
      <c r="M13" s="3122">
        <f>J13*H13/10000</f>
        <v>14.927463387</v>
      </c>
      <c r="N13" s="3122">
        <f t="shared" si="4"/>
        <v>179.12956064400001</v>
      </c>
      <c r="O13" s="3122" t="s">
        <v>824</v>
      </c>
      <c r="P13" s="3122" t="s">
        <v>801</v>
      </c>
      <c r="Q13" s="3122"/>
      <c r="R13" s="3139">
        <f>ROUND(N13*10000/365/F13,2)</f>
        <v>2.08</v>
      </c>
      <c r="S13" s="3137">
        <v>44998</v>
      </c>
      <c r="T13" s="3137">
        <v>46824</v>
      </c>
      <c r="U13" s="3137">
        <v>45363</v>
      </c>
      <c r="V13" s="3140">
        <f>J13</f>
        <v>64.179299999999998</v>
      </c>
      <c r="W13" s="3137">
        <f>U13+365</f>
        <v>45728</v>
      </c>
      <c r="X13" s="3140">
        <f>V13*1.03</f>
        <v>66.104679000000004</v>
      </c>
      <c r="Y13" s="3137">
        <f>W13+365</f>
        <v>46093</v>
      </c>
      <c r="Z13" s="3140">
        <f>X13*1.03</f>
        <v>68.087819370000005</v>
      </c>
      <c r="AA13" s="3137">
        <f>Y13+365</f>
        <v>46458</v>
      </c>
      <c r="AB13" s="3140">
        <f>Z13*1.03</f>
        <v>70.130453951099994</v>
      </c>
      <c r="AC13" s="3137">
        <f>AA13+365+1</f>
        <v>46824</v>
      </c>
      <c r="AD13" s="3140">
        <f>AB13*1.03</f>
        <v>72.234367569632994</v>
      </c>
    </row>
    <row r="14" spans="1:30" ht="16.5">
      <c r="A14" s="3120">
        <v>227</v>
      </c>
      <c r="B14" s="3122" t="s">
        <v>813</v>
      </c>
      <c r="C14" s="3122" t="s">
        <v>825</v>
      </c>
      <c r="D14" s="3122" t="s">
        <v>826</v>
      </c>
      <c r="E14" s="3123" t="s">
        <v>815</v>
      </c>
      <c r="F14" s="3122">
        <v>6126.9</v>
      </c>
      <c r="G14" s="3122">
        <v>65</v>
      </c>
      <c r="H14" s="3122">
        <v>6205</v>
      </c>
      <c r="I14" s="3123" t="s">
        <v>827</v>
      </c>
      <c r="J14" s="3122">
        <v>58.85</v>
      </c>
      <c r="K14" s="3122" t="s">
        <v>828</v>
      </c>
      <c r="L14" s="3122" t="s">
        <v>829</v>
      </c>
      <c r="M14" s="3122">
        <f>J14*H14/10000</f>
        <v>36.516424999999998</v>
      </c>
      <c r="N14" s="3122">
        <f t="shared" si="4"/>
        <v>438.19709999999998</v>
      </c>
      <c r="O14" s="3122" t="s">
        <v>824</v>
      </c>
      <c r="P14" s="3122" t="s">
        <v>801</v>
      </c>
      <c r="Q14" s="3122"/>
      <c r="R14" s="3139">
        <f>ROUND(N14*10000/365/F14,2)</f>
        <v>1.96</v>
      </c>
      <c r="S14" s="3137">
        <v>44470</v>
      </c>
      <c r="T14" s="3137">
        <v>45565</v>
      </c>
      <c r="U14" s="3137">
        <f>T14</f>
        <v>45565</v>
      </c>
      <c r="V14" s="3138">
        <f>J14</f>
        <v>58.85</v>
      </c>
    </row>
    <row r="15" spans="1:30" s="3113" customFormat="1" ht="16.5">
      <c r="A15" s="3671" t="s">
        <v>830</v>
      </c>
      <c r="B15" s="3671"/>
      <c r="C15" s="3671"/>
      <c r="D15" s="3671"/>
      <c r="E15" s="3126"/>
      <c r="F15" s="3125">
        <f>SUM(F12:F14)</f>
        <v>8832.1200000000008</v>
      </c>
      <c r="G15" s="3125"/>
      <c r="H15" s="3125">
        <f>SUM(H12:H14)</f>
        <v>8877.07</v>
      </c>
      <c r="I15" s="3129"/>
      <c r="J15" s="3130"/>
      <c r="K15" s="3130"/>
      <c r="L15" s="3130"/>
      <c r="M15" s="3130"/>
      <c r="N15" s="3125"/>
      <c r="O15" s="3131"/>
      <c r="P15" s="3131"/>
      <c r="Q15" s="3125"/>
      <c r="R15" s="3130"/>
      <c r="S15" t="s">
        <v>812</v>
      </c>
      <c r="T15" t="s">
        <v>812</v>
      </c>
    </row>
    <row r="16" spans="1:30" s="3113" customFormat="1" ht="16.5">
      <c r="A16" s="3668" t="s">
        <v>831</v>
      </c>
      <c r="B16" s="3669"/>
      <c r="C16" s="3669"/>
      <c r="D16" s="3670"/>
      <c r="E16" s="3124"/>
      <c r="F16" s="3125">
        <f>F15+F11</f>
        <v>14267.11</v>
      </c>
      <c r="G16" s="3125"/>
      <c r="H16" s="3125">
        <f>H15+H11</f>
        <v>14312.07</v>
      </c>
      <c r="I16" s="3127"/>
      <c r="J16" s="3125"/>
      <c r="K16" s="3125"/>
      <c r="L16" s="3125"/>
      <c r="M16" s="3125"/>
      <c r="N16" s="3125"/>
      <c r="O16" s="3125"/>
      <c r="P16" s="3125"/>
      <c r="Q16" s="3125"/>
      <c r="R16" s="3130"/>
      <c r="S16" t="s">
        <v>812</v>
      </c>
      <c r="T16" t="s">
        <v>812</v>
      </c>
    </row>
    <row r="17" spans="1:28" ht="16.5">
      <c r="A17" s="3120">
        <v>115</v>
      </c>
      <c r="B17" s="3122" t="s">
        <v>832</v>
      </c>
      <c r="C17" s="3122" t="s">
        <v>833</v>
      </c>
      <c r="D17" s="3122" t="s">
        <v>558</v>
      </c>
      <c r="E17" s="3123" t="s">
        <v>834</v>
      </c>
      <c r="F17" s="3122">
        <v>3309.43</v>
      </c>
      <c r="G17" s="3122">
        <v>60</v>
      </c>
      <c r="H17" s="3122">
        <v>3468</v>
      </c>
      <c r="I17" s="3123" t="s">
        <v>835</v>
      </c>
      <c r="J17" s="3122">
        <v>60</v>
      </c>
      <c r="K17" s="3122" t="s">
        <v>836</v>
      </c>
      <c r="L17" s="3122" t="s">
        <v>837</v>
      </c>
      <c r="M17" s="3122">
        <f t="shared" ref="M17:M26" si="5">H17*J17/10000</f>
        <v>20.808</v>
      </c>
      <c r="N17" s="3122">
        <f t="shared" ref="N17:N30" si="6">M17*12</f>
        <v>249.696</v>
      </c>
      <c r="O17" s="3122" t="s">
        <v>824</v>
      </c>
      <c r="P17" s="3122" t="s">
        <v>801</v>
      </c>
      <c r="Q17" s="3122"/>
      <c r="R17" s="3139">
        <f>ROUND(N17*10000/365/F17,2)</f>
        <v>2.0699999999999998</v>
      </c>
      <c r="S17" s="3137">
        <v>44287</v>
      </c>
      <c r="T17" s="3137">
        <v>46112</v>
      </c>
      <c r="U17" s="3137">
        <f>T17</f>
        <v>46112</v>
      </c>
      <c r="V17" s="3138">
        <f t="shared" ref="V17:V28" si="7">J17</f>
        <v>60</v>
      </c>
    </row>
    <row r="18" spans="1:28" ht="16.5">
      <c r="A18" s="3120">
        <v>117</v>
      </c>
      <c r="B18" s="3122" t="s">
        <v>838</v>
      </c>
      <c r="C18" s="3122" t="s">
        <v>839</v>
      </c>
      <c r="D18" s="3122" t="s">
        <v>840</v>
      </c>
      <c r="E18" s="3123" t="s">
        <v>841</v>
      </c>
      <c r="F18" s="3122">
        <v>2572.41</v>
      </c>
      <c r="G18" s="3122">
        <v>66</v>
      </c>
      <c r="H18" s="3122">
        <v>2572.41</v>
      </c>
      <c r="I18" s="3123" t="s">
        <v>842</v>
      </c>
      <c r="J18" s="3122">
        <v>66</v>
      </c>
      <c r="K18" s="3122" t="s">
        <v>843</v>
      </c>
      <c r="L18" s="3122" t="s">
        <v>799</v>
      </c>
      <c r="M18" s="3122">
        <f t="shared" si="5"/>
        <v>16.977906000000001</v>
      </c>
      <c r="N18" s="3122">
        <f t="shared" si="6"/>
        <v>203.734872</v>
      </c>
      <c r="O18" s="3122" t="s">
        <v>824</v>
      </c>
      <c r="P18" s="3122" t="s">
        <v>801</v>
      </c>
      <c r="Q18" s="3122"/>
      <c r="R18" s="3139">
        <f t="shared" ref="R18:R37" si="8">ROUND(N18*10000/365/F18,2)</f>
        <v>2.17</v>
      </c>
      <c r="S18" s="3137">
        <v>44742</v>
      </c>
      <c r="T18" s="3137">
        <v>45837</v>
      </c>
      <c r="U18" s="3137">
        <f>T18</f>
        <v>45837</v>
      </c>
      <c r="V18" s="3138">
        <f t="shared" si="7"/>
        <v>66</v>
      </c>
    </row>
    <row r="19" spans="1:28" ht="16.5">
      <c r="A19" s="3120">
        <v>111</v>
      </c>
      <c r="B19" s="3122" t="s">
        <v>838</v>
      </c>
      <c r="C19" s="3122" t="s">
        <v>844</v>
      </c>
      <c r="D19" s="3122" t="s">
        <v>845</v>
      </c>
      <c r="E19" s="3123" t="s">
        <v>841</v>
      </c>
      <c r="F19" s="3122">
        <v>2572.41</v>
      </c>
      <c r="G19" s="3122">
        <v>60</v>
      </c>
      <c r="H19" s="3122">
        <v>2572.41</v>
      </c>
      <c r="I19" s="3123" t="s">
        <v>846</v>
      </c>
      <c r="J19" s="3132">
        <v>58.5</v>
      </c>
      <c r="K19" s="3132" t="s">
        <v>847</v>
      </c>
      <c r="L19" s="3122" t="s">
        <v>799</v>
      </c>
      <c r="M19" s="3122">
        <f t="shared" si="5"/>
        <v>15.048598500000001</v>
      </c>
      <c r="N19" s="3122">
        <f t="shared" si="6"/>
        <v>180.58318199999999</v>
      </c>
      <c r="O19" s="3122" t="s">
        <v>824</v>
      </c>
      <c r="P19" s="3122" t="s">
        <v>801</v>
      </c>
      <c r="Q19" s="3122"/>
      <c r="R19" s="3139">
        <f t="shared" si="8"/>
        <v>1.92</v>
      </c>
      <c r="S19" s="3137">
        <v>45036</v>
      </c>
      <c r="T19" s="3137">
        <v>46862</v>
      </c>
      <c r="U19" s="3137">
        <f>S19+2*365</f>
        <v>45766</v>
      </c>
      <c r="V19" s="3138">
        <f t="shared" si="7"/>
        <v>58.5</v>
      </c>
      <c r="W19" s="3137">
        <f>U19+365*2</f>
        <v>46496</v>
      </c>
      <c r="X19" s="3140">
        <f>V19*1.05</f>
        <v>61.424999999999997</v>
      </c>
      <c r="Y19" s="3137">
        <f>T19</f>
        <v>46862</v>
      </c>
      <c r="Z19" s="3140">
        <f>X19*1.05</f>
        <v>64.496250000000003</v>
      </c>
    </row>
    <row r="20" spans="1:28" ht="33">
      <c r="A20" s="3120">
        <v>112</v>
      </c>
      <c r="B20" s="3122" t="s">
        <v>838</v>
      </c>
      <c r="C20" s="3122" t="s">
        <v>848</v>
      </c>
      <c r="D20" s="3122" t="s">
        <v>849</v>
      </c>
      <c r="E20" s="3123" t="s">
        <v>841</v>
      </c>
      <c r="F20" s="3122">
        <v>2279.39</v>
      </c>
      <c r="G20" s="3122">
        <v>60</v>
      </c>
      <c r="H20" s="3122">
        <v>2279.39</v>
      </c>
      <c r="I20" s="3123" t="s">
        <v>850</v>
      </c>
      <c r="J20" s="3132">
        <v>63</v>
      </c>
      <c r="K20" s="3132" t="s">
        <v>851</v>
      </c>
      <c r="L20" s="3122" t="s">
        <v>799</v>
      </c>
      <c r="M20" s="3122">
        <f t="shared" si="5"/>
        <v>14.360156999999999</v>
      </c>
      <c r="N20" s="3122">
        <f t="shared" si="6"/>
        <v>172.32188400000001</v>
      </c>
      <c r="O20" s="3122" t="s">
        <v>824</v>
      </c>
      <c r="P20" s="3122" t="s">
        <v>801</v>
      </c>
      <c r="Q20" s="3122"/>
      <c r="R20" s="3139">
        <f t="shared" si="8"/>
        <v>2.0699999999999998</v>
      </c>
      <c r="S20" s="3137">
        <v>45108</v>
      </c>
      <c r="T20" s="3137">
        <v>46568</v>
      </c>
      <c r="U20" s="3137">
        <f>S20+2*365</f>
        <v>45838</v>
      </c>
      <c r="V20" s="3138">
        <f t="shared" si="7"/>
        <v>63</v>
      </c>
      <c r="W20" s="3137">
        <f>U20+365*2</f>
        <v>46568</v>
      </c>
      <c r="X20" s="3140">
        <f>V20*1.05</f>
        <v>66.150000000000006</v>
      </c>
    </row>
    <row r="21" spans="1:28" ht="16.5">
      <c r="A21" s="3120">
        <v>113</v>
      </c>
      <c r="B21" s="3122" t="s">
        <v>838</v>
      </c>
      <c r="C21" s="3122" t="s">
        <v>852</v>
      </c>
      <c r="D21" s="3122" t="s">
        <v>853</v>
      </c>
      <c r="E21" s="3123" t="s">
        <v>841</v>
      </c>
      <c r="F21" s="3122">
        <v>2168</v>
      </c>
      <c r="G21" s="3122">
        <v>60</v>
      </c>
      <c r="H21" s="3122">
        <v>2168.1799999999998</v>
      </c>
      <c r="I21" s="3123" t="s">
        <v>854</v>
      </c>
      <c r="J21" s="3122">
        <v>62</v>
      </c>
      <c r="K21" s="3122" t="s">
        <v>855</v>
      </c>
      <c r="L21" s="3122" t="s">
        <v>799</v>
      </c>
      <c r="M21" s="3122">
        <f t="shared" si="5"/>
        <v>13.442716000000001</v>
      </c>
      <c r="N21" s="3122">
        <f t="shared" si="6"/>
        <v>161.312592</v>
      </c>
      <c r="O21" s="3122" t="s">
        <v>824</v>
      </c>
      <c r="P21" s="3122" t="s">
        <v>801</v>
      </c>
      <c r="Q21" s="3122"/>
      <c r="R21" s="3139">
        <f t="shared" si="8"/>
        <v>2.04</v>
      </c>
      <c r="S21" s="3137">
        <v>44743</v>
      </c>
      <c r="T21" s="3137">
        <v>45838</v>
      </c>
      <c r="U21" s="3137">
        <f>S21+2*365</f>
        <v>45473</v>
      </c>
      <c r="V21" s="3138">
        <f t="shared" si="7"/>
        <v>62</v>
      </c>
      <c r="W21" s="3137">
        <f>T21</f>
        <v>45838</v>
      </c>
      <c r="X21" s="3140">
        <f>V21*1.05</f>
        <v>65.099999999999994</v>
      </c>
    </row>
    <row r="22" spans="1:28" ht="16.5">
      <c r="A22" s="3120">
        <v>116</v>
      </c>
      <c r="B22" s="3122" t="s">
        <v>856</v>
      </c>
      <c r="C22" s="3122" t="s">
        <v>857</v>
      </c>
      <c r="D22" s="3122" t="s">
        <v>858</v>
      </c>
      <c r="E22" s="3123" t="s">
        <v>859</v>
      </c>
      <c r="F22" s="3122">
        <v>1600.56</v>
      </c>
      <c r="G22" s="3122">
        <v>60</v>
      </c>
      <c r="H22" s="3122">
        <v>1600.56</v>
      </c>
      <c r="I22" s="3123" t="s">
        <v>860</v>
      </c>
      <c r="J22" s="3122">
        <v>66.8</v>
      </c>
      <c r="K22" s="3122" t="s">
        <v>861</v>
      </c>
      <c r="L22" s="3122" t="s">
        <v>799</v>
      </c>
      <c r="M22" s="3122">
        <f t="shared" si="5"/>
        <v>10.6917408</v>
      </c>
      <c r="N22" s="3122">
        <f t="shared" si="6"/>
        <v>128.3008896</v>
      </c>
      <c r="O22" s="3122" t="s">
        <v>824</v>
      </c>
      <c r="P22" s="3122" t="s">
        <v>801</v>
      </c>
      <c r="Q22" s="3122"/>
      <c r="R22" s="3139">
        <f t="shared" si="8"/>
        <v>2.2000000000000002</v>
      </c>
      <c r="S22" s="3137">
        <v>45153</v>
      </c>
      <c r="T22" s="3137">
        <v>46979</v>
      </c>
      <c r="U22" s="3137">
        <f>S22+2*365</f>
        <v>45883</v>
      </c>
      <c r="V22" s="3138">
        <f t="shared" si="7"/>
        <v>66.8</v>
      </c>
      <c r="W22" s="3137">
        <f>U22+365*2</f>
        <v>46613</v>
      </c>
      <c r="X22" s="3140">
        <f>V22*1.05</f>
        <v>70.14</v>
      </c>
      <c r="Y22" s="3137">
        <f>T22</f>
        <v>46979</v>
      </c>
      <c r="Z22" s="3140">
        <f>X22*1.05</f>
        <v>73.647000000000006</v>
      </c>
    </row>
    <row r="23" spans="1:28" ht="16.5">
      <c r="A23" s="3120">
        <v>117</v>
      </c>
      <c r="B23" s="3122" t="s">
        <v>856</v>
      </c>
      <c r="C23" s="3122" t="s">
        <v>862</v>
      </c>
      <c r="D23" s="3122" t="s">
        <v>863</v>
      </c>
      <c r="E23" s="3123" t="s">
        <v>859</v>
      </c>
      <c r="F23" s="3122">
        <v>1600.56</v>
      </c>
      <c r="G23" s="3122">
        <v>60</v>
      </c>
      <c r="H23" s="3122">
        <v>1600.56</v>
      </c>
      <c r="I23" s="3123" t="s">
        <v>864</v>
      </c>
      <c r="J23" s="3122">
        <v>66.8</v>
      </c>
      <c r="K23" s="3122" t="s">
        <v>865</v>
      </c>
      <c r="L23" s="3122" t="s">
        <v>799</v>
      </c>
      <c r="M23" s="3122">
        <f t="shared" si="5"/>
        <v>10.6917408</v>
      </c>
      <c r="N23" s="3122">
        <f t="shared" si="6"/>
        <v>128.3008896</v>
      </c>
      <c r="O23" s="3122" t="s">
        <v>824</v>
      </c>
      <c r="P23" s="3122" t="s">
        <v>801</v>
      </c>
      <c r="Q23" s="3122"/>
      <c r="R23" s="3139">
        <f t="shared" si="8"/>
        <v>2.2000000000000002</v>
      </c>
      <c r="S23" s="3137">
        <v>45061</v>
      </c>
      <c r="T23" s="3137">
        <v>47982</v>
      </c>
      <c r="U23" s="3137">
        <f>S23+2*365</f>
        <v>45791</v>
      </c>
      <c r="V23" s="3138">
        <f t="shared" si="7"/>
        <v>66.8</v>
      </c>
      <c r="W23" s="3137">
        <f>U23+365*2</f>
        <v>46521</v>
      </c>
      <c r="X23" s="3140">
        <f t="shared" ref="X23:X26" si="9">V23*1.05</f>
        <v>70.14</v>
      </c>
      <c r="Y23" s="3137">
        <f>W23+365*2+1</f>
        <v>47252</v>
      </c>
      <c r="Z23" s="3140">
        <f t="shared" ref="Z23" si="10">X23*1.05</f>
        <v>73.647000000000006</v>
      </c>
      <c r="AA23" s="3137">
        <f>Y23+365*2</f>
        <v>47982</v>
      </c>
      <c r="AB23" s="3140">
        <f t="shared" ref="AB23" si="11">Z23*1.05</f>
        <v>77.329350000000005</v>
      </c>
    </row>
    <row r="24" spans="1:28" ht="16.5">
      <c r="A24" s="3120">
        <v>118</v>
      </c>
      <c r="B24" s="3122" t="s">
        <v>856</v>
      </c>
      <c r="C24" s="3122" t="s">
        <v>866</v>
      </c>
      <c r="D24" s="3122" t="s">
        <v>867</v>
      </c>
      <c r="E24" s="3123" t="s">
        <v>859</v>
      </c>
      <c r="F24" s="3122">
        <v>1000</v>
      </c>
      <c r="G24" s="3122">
        <v>60</v>
      </c>
      <c r="H24" s="3122">
        <v>1000</v>
      </c>
      <c r="I24" s="3123" t="s">
        <v>868</v>
      </c>
      <c r="J24" s="3122">
        <v>60</v>
      </c>
      <c r="K24" s="3122" t="s">
        <v>869</v>
      </c>
      <c r="L24" s="3122" t="s">
        <v>870</v>
      </c>
      <c r="M24" s="3122">
        <f t="shared" si="5"/>
        <v>6</v>
      </c>
      <c r="N24" s="3122">
        <f t="shared" si="6"/>
        <v>72</v>
      </c>
      <c r="O24" s="3122" t="s">
        <v>824</v>
      </c>
      <c r="P24" s="3122" t="s">
        <v>801</v>
      </c>
      <c r="Q24" s="3122"/>
      <c r="R24" s="3139">
        <f t="shared" si="8"/>
        <v>1.97</v>
      </c>
      <c r="S24" s="3137">
        <v>44805</v>
      </c>
      <c r="T24" s="3137">
        <v>46630</v>
      </c>
      <c r="U24" s="3137">
        <f t="shared" ref="U24:U26" si="12">S24+2*365</f>
        <v>45535</v>
      </c>
      <c r="V24" s="3138">
        <f t="shared" si="7"/>
        <v>60</v>
      </c>
      <c r="W24" s="3137">
        <f t="shared" ref="W24" si="13">U24+365*2</f>
        <v>46265</v>
      </c>
      <c r="X24" s="3140">
        <f>V24*1.06</f>
        <v>63.6</v>
      </c>
      <c r="Y24" s="3137">
        <f>T24</f>
        <v>46630</v>
      </c>
      <c r="Z24" s="3140">
        <f>X24*1.06</f>
        <v>67.415999999999997</v>
      </c>
    </row>
    <row r="25" spans="1:28" ht="16.5">
      <c r="A25" s="3120">
        <v>119</v>
      </c>
      <c r="B25" s="3122" t="s">
        <v>838</v>
      </c>
      <c r="C25" s="3122" t="s">
        <v>871</v>
      </c>
      <c r="D25" s="3122" t="s">
        <v>872</v>
      </c>
      <c r="E25" s="3123" t="s">
        <v>841</v>
      </c>
      <c r="F25" s="3122">
        <v>1286.21</v>
      </c>
      <c r="G25" s="3122">
        <v>60</v>
      </c>
      <c r="H25" s="3122">
        <v>1286.21</v>
      </c>
      <c r="I25" s="3123" t="s">
        <v>873</v>
      </c>
      <c r="J25" s="3122">
        <v>65</v>
      </c>
      <c r="K25" s="3122" t="s">
        <v>874</v>
      </c>
      <c r="L25" s="3122" t="s">
        <v>799</v>
      </c>
      <c r="M25" s="3122">
        <f t="shared" si="5"/>
        <v>8.3603649999999998</v>
      </c>
      <c r="N25" s="3122">
        <f t="shared" si="6"/>
        <v>100.32438</v>
      </c>
      <c r="O25" s="3122" t="s">
        <v>824</v>
      </c>
      <c r="P25" s="3122" t="s">
        <v>801</v>
      </c>
      <c r="Q25" s="3122"/>
      <c r="R25" s="3139">
        <f t="shared" si="8"/>
        <v>2.14</v>
      </c>
      <c r="S25" s="3137">
        <v>44829</v>
      </c>
      <c r="T25" s="3137">
        <v>45924</v>
      </c>
      <c r="U25" s="3137">
        <f t="shared" si="12"/>
        <v>45559</v>
      </c>
      <c r="V25" s="3138">
        <f t="shared" si="7"/>
        <v>65</v>
      </c>
      <c r="W25" s="3137">
        <f>T25</f>
        <v>45924</v>
      </c>
      <c r="X25" s="3140">
        <f t="shared" si="9"/>
        <v>68.25</v>
      </c>
    </row>
    <row r="26" spans="1:28" ht="16.5">
      <c r="A26" s="3120">
        <v>116</v>
      </c>
      <c r="B26" s="3122" t="s">
        <v>838</v>
      </c>
      <c r="C26" s="3122" t="s">
        <v>875</v>
      </c>
      <c r="D26" s="3122" t="s">
        <v>876</v>
      </c>
      <c r="E26" s="3123" t="s">
        <v>841</v>
      </c>
      <c r="F26" s="3122">
        <v>892.47</v>
      </c>
      <c r="G26" s="3122">
        <v>60</v>
      </c>
      <c r="H26" s="3122">
        <v>892.47</v>
      </c>
      <c r="I26" s="3123" t="s">
        <v>877</v>
      </c>
      <c r="J26" s="3122">
        <v>60</v>
      </c>
      <c r="K26" s="3122" t="s">
        <v>878</v>
      </c>
      <c r="L26" s="3122" t="s">
        <v>799</v>
      </c>
      <c r="M26" s="3122">
        <f t="shared" si="5"/>
        <v>5.3548200000000001</v>
      </c>
      <c r="N26" s="3122">
        <f t="shared" si="6"/>
        <v>64.257840000000002</v>
      </c>
      <c r="O26" s="3122" t="s">
        <v>824</v>
      </c>
      <c r="P26" s="3122" t="s">
        <v>801</v>
      </c>
      <c r="Q26" s="3122"/>
      <c r="R26" s="3139">
        <f t="shared" si="8"/>
        <v>1.97</v>
      </c>
      <c r="S26" s="3137">
        <v>44652</v>
      </c>
      <c r="T26" s="3137">
        <v>45747</v>
      </c>
      <c r="U26" s="3137">
        <f t="shared" si="12"/>
        <v>45382</v>
      </c>
      <c r="V26" s="3138">
        <f t="shared" si="7"/>
        <v>60</v>
      </c>
      <c r="W26" s="3137">
        <f>T26</f>
        <v>45747</v>
      </c>
      <c r="X26" s="3140">
        <f t="shared" si="9"/>
        <v>63</v>
      </c>
    </row>
    <row r="27" spans="1:28" ht="33">
      <c r="A27" s="3120">
        <v>121</v>
      </c>
      <c r="B27" s="3122" t="s">
        <v>838</v>
      </c>
      <c r="C27" s="3122" t="s">
        <v>879</v>
      </c>
      <c r="D27" s="3122" t="s">
        <v>880</v>
      </c>
      <c r="E27" s="3123" t="s">
        <v>841</v>
      </c>
      <c r="F27" s="3122">
        <v>2288.4499999999998</v>
      </c>
      <c r="G27" s="3122">
        <v>60</v>
      </c>
      <c r="H27" s="3122">
        <v>2288.4499999999998</v>
      </c>
      <c r="I27" s="3123" t="s">
        <v>881</v>
      </c>
      <c r="J27" s="3122">
        <v>60</v>
      </c>
      <c r="K27" s="3122" t="s">
        <v>882</v>
      </c>
      <c r="L27" s="3122" t="s">
        <v>883</v>
      </c>
      <c r="M27" s="3122">
        <f t="shared" ref="M27:M30" si="14">J27*H27/10000</f>
        <v>13.730700000000001</v>
      </c>
      <c r="N27" s="3122">
        <f t="shared" si="6"/>
        <v>164.76840000000001</v>
      </c>
      <c r="O27" s="3122" t="s">
        <v>824</v>
      </c>
      <c r="P27" s="3122" t="s">
        <v>801</v>
      </c>
      <c r="Q27" s="3122"/>
      <c r="R27" s="3139">
        <f t="shared" si="8"/>
        <v>1.97</v>
      </c>
      <c r="S27" s="3137">
        <v>44872</v>
      </c>
      <c r="T27" s="3137">
        <v>45967</v>
      </c>
      <c r="U27" s="3137">
        <f>T27</f>
        <v>45967</v>
      </c>
      <c r="V27" s="3138">
        <f t="shared" si="7"/>
        <v>60</v>
      </c>
      <c r="X27" s="3140"/>
    </row>
    <row r="28" spans="1:28" ht="33">
      <c r="A28" s="3120">
        <v>122</v>
      </c>
      <c r="B28" s="3122" t="s">
        <v>838</v>
      </c>
      <c r="C28" s="3122" t="s">
        <v>884</v>
      </c>
      <c r="D28" s="3122" t="s">
        <v>885</v>
      </c>
      <c r="E28" s="3123" t="s">
        <v>841</v>
      </c>
      <c r="F28" s="3122">
        <v>2288.4499999999998</v>
      </c>
      <c r="G28" s="3122">
        <v>60</v>
      </c>
      <c r="H28" s="3122">
        <v>2288.4499999999998</v>
      </c>
      <c r="I28" s="3123" t="s">
        <v>881</v>
      </c>
      <c r="J28" s="3122">
        <v>60</v>
      </c>
      <c r="K28" s="3122" t="s">
        <v>882</v>
      </c>
      <c r="L28" s="3122" t="s">
        <v>883</v>
      </c>
      <c r="M28" s="3122">
        <f t="shared" si="14"/>
        <v>13.730700000000001</v>
      </c>
      <c r="N28" s="3122">
        <f t="shared" si="6"/>
        <v>164.76840000000001</v>
      </c>
      <c r="O28" s="3122" t="s">
        <v>824</v>
      </c>
      <c r="P28" s="3122" t="s">
        <v>801</v>
      </c>
      <c r="Q28" s="3122"/>
      <c r="R28" s="3139">
        <f t="shared" si="8"/>
        <v>1.97</v>
      </c>
      <c r="S28" s="3137">
        <v>44872</v>
      </c>
      <c r="T28" s="3137">
        <v>45967</v>
      </c>
      <c r="U28" s="3137">
        <f>T28</f>
        <v>45967</v>
      </c>
      <c r="V28" s="3138">
        <f t="shared" si="7"/>
        <v>60</v>
      </c>
    </row>
    <row r="29" spans="1:28" ht="16.5">
      <c r="A29" s="3120">
        <v>123</v>
      </c>
      <c r="B29" s="3122" t="s">
        <v>838</v>
      </c>
      <c r="C29" s="3122" t="s">
        <v>886</v>
      </c>
      <c r="D29" s="3122" t="s">
        <v>887</v>
      </c>
      <c r="E29" s="3123" t="s">
        <v>841</v>
      </c>
      <c r="F29" s="3122">
        <v>2463.4699999999998</v>
      </c>
      <c r="G29" s="3122">
        <v>60</v>
      </c>
      <c r="H29" s="3122">
        <v>2463.4699999999998</v>
      </c>
      <c r="I29" s="3133" t="s">
        <v>888</v>
      </c>
      <c r="J29" s="3132">
        <v>68</v>
      </c>
      <c r="K29" s="3132" t="s">
        <v>889</v>
      </c>
      <c r="L29" s="3122" t="s">
        <v>799</v>
      </c>
      <c r="M29" s="3122">
        <f>H29*J29/10000</f>
        <v>16.751595999999999</v>
      </c>
      <c r="N29" s="3122">
        <f t="shared" si="6"/>
        <v>201.01915199999999</v>
      </c>
      <c r="O29" s="3122" t="s">
        <v>824</v>
      </c>
      <c r="P29" s="3122" t="s">
        <v>801</v>
      </c>
      <c r="Q29" s="3122" t="s">
        <v>890</v>
      </c>
      <c r="R29" s="3139">
        <f t="shared" si="8"/>
        <v>2.2400000000000002</v>
      </c>
      <c r="S29" s="3137">
        <v>45275</v>
      </c>
      <c r="T29" s="3137">
        <v>47101</v>
      </c>
      <c r="U29" s="3137">
        <f>S29+2*365+1</f>
        <v>46006</v>
      </c>
      <c r="V29" s="3138">
        <f t="shared" ref="V29:V33" si="15">J29</f>
        <v>68</v>
      </c>
      <c r="W29" s="3137">
        <f t="shared" ref="W29:W31" si="16">U29+365*2</f>
        <v>46736</v>
      </c>
      <c r="X29" s="3140">
        <f>V29*1.05</f>
        <v>71.400000000000006</v>
      </c>
      <c r="Y29" s="3137">
        <f>T29</f>
        <v>47101</v>
      </c>
      <c r="Z29" s="3140">
        <f>X29*1.05</f>
        <v>74.97</v>
      </c>
    </row>
    <row r="30" spans="1:28" ht="16.5">
      <c r="A30" s="3120">
        <v>124</v>
      </c>
      <c r="B30" s="3122" t="s">
        <v>856</v>
      </c>
      <c r="C30" s="3122" t="s">
        <v>891</v>
      </c>
      <c r="D30" s="3122" t="s">
        <v>892</v>
      </c>
      <c r="E30" s="3123" t="s">
        <v>859</v>
      </c>
      <c r="F30" s="3122">
        <v>2834.09</v>
      </c>
      <c r="G30" s="3122">
        <v>60</v>
      </c>
      <c r="H30" s="3122">
        <v>2834.09</v>
      </c>
      <c r="I30" s="3123" t="s">
        <v>893</v>
      </c>
      <c r="J30" s="3122">
        <v>60</v>
      </c>
      <c r="K30" s="3122" t="s">
        <v>894</v>
      </c>
      <c r="L30" s="3122" t="s">
        <v>799</v>
      </c>
      <c r="M30" s="3122">
        <f t="shared" si="14"/>
        <v>17.004539999999999</v>
      </c>
      <c r="N30" s="3122">
        <f t="shared" si="6"/>
        <v>204.05448000000001</v>
      </c>
      <c r="O30" s="3122" t="s">
        <v>824</v>
      </c>
      <c r="P30" s="3122" t="s">
        <v>801</v>
      </c>
      <c r="Q30" s="3122"/>
      <c r="R30" s="3139">
        <f t="shared" si="8"/>
        <v>1.97</v>
      </c>
      <c r="S30" s="3137">
        <v>44819</v>
      </c>
      <c r="T30" s="3137">
        <v>46644</v>
      </c>
      <c r="U30" s="3137">
        <f>S30+2*365</f>
        <v>45549</v>
      </c>
      <c r="V30" s="3138">
        <f t="shared" si="15"/>
        <v>60</v>
      </c>
      <c r="W30" s="3137">
        <f t="shared" si="16"/>
        <v>46279</v>
      </c>
      <c r="X30" s="3140">
        <f>V30*1.05</f>
        <v>63</v>
      </c>
      <c r="Y30" s="3137">
        <f>T30</f>
        <v>46644</v>
      </c>
      <c r="Z30" s="3140">
        <f>X30*1.05</f>
        <v>66.150000000000006</v>
      </c>
    </row>
    <row r="31" spans="1:28" ht="16.5">
      <c r="A31" s="3120">
        <v>125</v>
      </c>
      <c r="B31" s="3122" t="s">
        <v>856</v>
      </c>
      <c r="C31" s="3122" t="s">
        <v>895</v>
      </c>
      <c r="D31" s="3122" t="s">
        <v>896</v>
      </c>
      <c r="E31" s="3123" t="s">
        <v>859</v>
      </c>
      <c r="F31" s="3122">
        <v>431.56</v>
      </c>
      <c r="G31" s="3122">
        <v>60</v>
      </c>
      <c r="H31" s="3122">
        <v>431.56</v>
      </c>
      <c r="I31" s="3123" t="s">
        <v>897</v>
      </c>
      <c r="J31" s="3122">
        <v>60</v>
      </c>
      <c r="K31" s="3122" t="s">
        <v>898</v>
      </c>
      <c r="L31" s="3122" t="s">
        <v>799</v>
      </c>
      <c r="M31" s="3122">
        <v>2.5893600000000001</v>
      </c>
      <c r="N31" s="3122">
        <v>31.072320000000001</v>
      </c>
      <c r="O31" s="3122" t="s">
        <v>824</v>
      </c>
      <c r="P31" s="3122" t="s">
        <v>801</v>
      </c>
      <c r="Q31" s="3122"/>
      <c r="R31" s="3139">
        <f t="shared" si="8"/>
        <v>1.97</v>
      </c>
      <c r="S31" s="3137">
        <v>44920</v>
      </c>
      <c r="T31" s="3137">
        <v>47841</v>
      </c>
      <c r="U31" s="3137">
        <f>S31+2*365</f>
        <v>45650</v>
      </c>
      <c r="V31" s="3138">
        <f t="shared" si="15"/>
        <v>60</v>
      </c>
      <c r="W31" s="3137">
        <f t="shared" si="16"/>
        <v>46380</v>
      </c>
      <c r="X31" s="3140">
        <f t="shared" ref="X31:X32" si="17">V31*1.05</f>
        <v>63</v>
      </c>
      <c r="Y31" s="3137">
        <f>W31+365*2+1</f>
        <v>47111</v>
      </c>
      <c r="Z31" s="3140">
        <f t="shared" ref="Z31:Z32" si="18">X31*1.05</f>
        <v>66.150000000000006</v>
      </c>
      <c r="AA31" s="3137">
        <f>Y31+365*2</f>
        <v>47841</v>
      </c>
      <c r="AB31" s="3140">
        <f t="shared" ref="AB31:AB32" si="19">Z31*1.05</f>
        <v>69.457499999999996</v>
      </c>
    </row>
    <row r="32" spans="1:28" ht="16.5">
      <c r="A32" s="3120">
        <v>126</v>
      </c>
      <c r="B32" s="3122" t="s">
        <v>856</v>
      </c>
      <c r="C32" s="3122" t="s">
        <v>899</v>
      </c>
      <c r="D32" s="3122" t="s">
        <v>900</v>
      </c>
      <c r="E32" s="3123" t="s">
        <v>859</v>
      </c>
      <c r="F32" s="3122">
        <v>1600.56</v>
      </c>
      <c r="G32" s="3122">
        <v>60</v>
      </c>
      <c r="H32" s="3122">
        <v>1600.56</v>
      </c>
      <c r="I32" s="3123" t="s">
        <v>897</v>
      </c>
      <c r="J32" s="3122">
        <v>60</v>
      </c>
      <c r="K32" s="3122" t="s">
        <v>898</v>
      </c>
      <c r="L32" s="3122" t="s">
        <v>799</v>
      </c>
      <c r="M32" s="3122">
        <v>9.6033600000000003</v>
      </c>
      <c r="N32" s="3122">
        <v>115.24032</v>
      </c>
      <c r="O32" s="3122" t="s">
        <v>824</v>
      </c>
      <c r="P32" s="3122" t="s">
        <v>801</v>
      </c>
      <c r="Q32" s="3122"/>
      <c r="R32" s="3139">
        <f t="shared" si="8"/>
        <v>1.97</v>
      </c>
      <c r="S32" s="3137">
        <v>44920</v>
      </c>
      <c r="T32" s="3137">
        <v>47841</v>
      </c>
      <c r="U32" s="3137">
        <f>S32+2*365</f>
        <v>45650</v>
      </c>
      <c r="V32" s="3138">
        <f t="shared" si="15"/>
        <v>60</v>
      </c>
      <c r="W32" s="3137">
        <f t="shared" ref="W32:W33" si="20">U32+365*2</f>
        <v>46380</v>
      </c>
      <c r="X32" s="3140">
        <f t="shared" si="17"/>
        <v>63</v>
      </c>
      <c r="Y32" s="3137">
        <f>W32+365*2+1</f>
        <v>47111</v>
      </c>
      <c r="Z32" s="3140">
        <f t="shared" si="18"/>
        <v>66.150000000000006</v>
      </c>
      <c r="AA32" s="3137">
        <f t="shared" ref="AA32" si="21">Y32+365*2</f>
        <v>47841</v>
      </c>
      <c r="AB32" s="3140">
        <f t="shared" si="19"/>
        <v>69.457499999999996</v>
      </c>
    </row>
    <row r="33" spans="1:32" ht="16.5">
      <c r="A33" s="3120">
        <v>127</v>
      </c>
      <c r="B33" s="3122" t="s">
        <v>856</v>
      </c>
      <c r="C33" s="3122" t="s">
        <v>901</v>
      </c>
      <c r="D33" s="3122" t="s">
        <v>902</v>
      </c>
      <c r="E33" s="3123" t="s">
        <v>859</v>
      </c>
      <c r="F33" s="3122">
        <v>2271.94</v>
      </c>
      <c r="G33" s="3122">
        <v>60</v>
      </c>
      <c r="H33" s="3122">
        <v>2271.94</v>
      </c>
      <c r="I33" s="3123" t="s">
        <v>860</v>
      </c>
      <c r="J33" s="3122">
        <v>66</v>
      </c>
      <c r="K33" s="3122" t="s">
        <v>903</v>
      </c>
      <c r="L33" s="3122" t="s">
        <v>904</v>
      </c>
      <c r="M33" s="3122">
        <f t="shared" ref="M33:M37" si="22">J33*H33/10000</f>
        <v>14.994804</v>
      </c>
      <c r="N33" s="3122">
        <f t="shared" ref="N33:N37" si="23">M33*12</f>
        <v>179.937648</v>
      </c>
      <c r="O33" s="3122" t="s">
        <v>824</v>
      </c>
      <c r="P33" s="3122" t="s">
        <v>801</v>
      </c>
      <c r="Q33" s="3122"/>
      <c r="R33" s="3139">
        <f t="shared" si="8"/>
        <v>2.17</v>
      </c>
      <c r="S33" s="3137">
        <v>45153</v>
      </c>
      <c r="T33" s="3137">
        <v>46979</v>
      </c>
      <c r="U33" s="3137">
        <f>S33+2*365</f>
        <v>45883</v>
      </c>
      <c r="V33" s="3138">
        <f t="shared" si="15"/>
        <v>66</v>
      </c>
      <c r="W33" s="3137">
        <f t="shared" si="20"/>
        <v>46613</v>
      </c>
      <c r="X33" s="3140">
        <f>V33*1.06</f>
        <v>69.959999999999994</v>
      </c>
      <c r="Y33" s="3137">
        <f>T33</f>
        <v>46979</v>
      </c>
      <c r="Z33" s="3140">
        <f>X33*1.06</f>
        <v>74.157600000000002</v>
      </c>
    </row>
    <row r="34" spans="1:32" s="3113" customFormat="1" ht="16.5">
      <c r="A34" s="3668" t="s">
        <v>905</v>
      </c>
      <c r="B34" s="3669"/>
      <c r="C34" s="3669"/>
      <c r="D34" s="3670"/>
      <c r="E34" s="3127"/>
      <c r="F34" s="3125">
        <f>SUM(F17:F33)</f>
        <v>33459.96</v>
      </c>
      <c r="G34" s="3125"/>
      <c r="H34" s="3125">
        <f>SUM(H22:H33)</f>
        <v>20558.32</v>
      </c>
      <c r="I34" s="3127"/>
      <c r="J34" s="3125"/>
      <c r="K34" s="3125"/>
      <c r="L34" s="3125"/>
      <c r="M34" s="3125"/>
      <c r="N34" s="3125"/>
      <c r="O34" s="3125"/>
      <c r="P34" s="3125"/>
      <c r="Q34" s="3125"/>
      <c r="R34" s="3139">
        <f t="shared" si="8"/>
        <v>0</v>
      </c>
      <c r="S34" t="s">
        <v>812</v>
      </c>
      <c r="T34" t="s">
        <v>812</v>
      </c>
    </row>
    <row r="35" spans="1:32" ht="16.5">
      <c r="A35" s="3120">
        <v>127</v>
      </c>
      <c r="B35" s="3122" t="s">
        <v>832</v>
      </c>
      <c r="C35" s="3122" t="s">
        <v>833</v>
      </c>
      <c r="D35" s="3122" t="s">
        <v>906</v>
      </c>
      <c r="E35" s="3123" t="s">
        <v>907</v>
      </c>
      <c r="F35" s="3122">
        <v>1126.82</v>
      </c>
      <c r="G35" s="3122">
        <v>60</v>
      </c>
      <c r="H35" s="3122">
        <v>1126.82</v>
      </c>
      <c r="I35" s="3123" t="s">
        <v>908</v>
      </c>
      <c r="J35" s="3122">
        <v>66</v>
      </c>
      <c r="K35" s="3122" t="s">
        <v>909</v>
      </c>
      <c r="L35" s="3122" t="s">
        <v>904</v>
      </c>
      <c r="M35" s="3122">
        <f t="shared" si="22"/>
        <v>7.4370120000000002</v>
      </c>
      <c r="N35" s="3122">
        <f t="shared" si="23"/>
        <v>89.244144000000006</v>
      </c>
      <c r="O35" s="3122" t="s">
        <v>824</v>
      </c>
      <c r="P35" s="3122" t="s">
        <v>801</v>
      </c>
      <c r="Q35" s="3122"/>
      <c r="R35" s="3139">
        <f t="shared" si="8"/>
        <v>2.17</v>
      </c>
      <c r="S35" s="3137">
        <v>45000</v>
      </c>
      <c r="T35" s="3137">
        <v>47191</v>
      </c>
      <c r="U35" s="3137">
        <f>S35+2*365</f>
        <v>45730</v>
      </c>
      <c r="V35" s="3138">
        <f t="shared" ref="V35:V37" si="24">J35</f>
        <v>66</v>
      </c>
      <c r="W35" s="3137">
        <f>U35+365*2</f>
        <v>46460</v>
      </c>
      <c r="X35" s="3140">
        <f>V35*1.06</f>
        <v>69.959999999999994</v>
      </c>
      <c r="Y35" s="3137">
        <f>T35</f>
        <v>47191</v>
      </c>
      <c r="Z35" s="3140">
        <f>X35*1.06</f>
        <v>74.157600000000002</v>
      </c>
    </row>
    <row r="36" spans="1:32" ht="16.5">
      <c r="A36" s="3120">
        <v>128</v>
      </c>
      <c r="B36" s="3122" t="s">
        <v>832</v>
      </c>
      <c r="C36" s="3122" t="s">
        <v>833</v>
      </c>
      <c r="D36" s="3122" t="s">
        <v>910</v>
      </c>
      <c r="E36" s="3123" t="s">
        <v>907</v>
      </c>
      <c r="F36" s="3122">
        <v>1126.82</v>
      </c>
      <c r="G36" s="3122">
        <v>60</v>
      </c>
      <c r="H36" s="3122">
        <v>1126.82</v>
      </c>
      <c r="I36" s="3123" t="s">
        <v>908</v>
      </c>
      <c r="J36" s="3122">
        <v>66</v>
      </c>
      <c r="K36" s="3122" t="s">
        <v>909</v>
      </c>
      <c r="L36" s="3122" t="s">
        <v>904</v>
      </c>
      <c r="M36" s="3122">
        <f t="shared" si="22"/>
        <v>7.4370120000000002</v>
      </c>
      <c r="N36" s="3122">
        <f t="shared" si="23"/>
        <v>89.244144000000006</v>
      </c>
      <c r="O36" s="3122" t="s">
        <v>824</v>
      </c>
      <c r="P36" s="3122" t="s">
        <v>801</v>
      </c>
      <c r="Q36" s="3122"/>
      <c r="R36" s="3139">
        <f t="shared" si="8"/>
        <v>2.17</v>
      </c>
      <c r="S36" s="3137">
        <v>45000</v>
      </c>
      <c r="T36" s="3137">
        <v>47191</v>
      </c>
      <c r="U36" s="3137">
        <f t="shared" ref="U36:U37" si="25">S36+2*365</f>
        <v>45730</v>
      </c>
      <c r="V36" s="3138">
        <f t="shared" si="24"/>
        <v>66</v>
      </c>
      <c r="W36" s="3137">
        <f t="shared" ref="W36:W37" si="26">U36+365*2</f>
        <v>46460</v>
      </c>
      <c r="X36" s="3140">
        <f t="shared" ref="X36:X37" si="27">V36*1.06</f>
        <v>69.959999999999994</v>
      </c>
      <c r="Y36" s="3137">
        <f t="shared" ref="Y36:Y37" si="28">T36</f>
        <v>47191</v>
      </c>
      <c r="Z36" s="3140">
        <f t="shared" ref="Z36:Z37" si="29">X36*1.06</f>
        <v>74.157600000000002</v>
      </c>
    </row>
    <row r="37" spans="1:32" ht="16.5">
      <c r="A37" s="3120">
        <v>129</v>
      </c>
      <c r="B37" s="3122" t="s">
        <v>856</v>
      </c>
      <c r="C37" s="3122" t="s">
        <v>866</v>
      </c>
      <c r="D37" s="3122" t="s">
        <v>911</v>
      </c>
      <c r="E37" s="3123" t="s">
        <v>859</v>
      </c>
      <c r="F37" s="3122">
        <v>1581.11</v>
      </c>
      <c r="G37" s="3122">
        <v>60</v>
      </c>
      <c r="H37" s="3122">
        <v>1581.11</v>
      </c>
      <c r="I37" s="3123" t="s">
        <v>908</v>
      </c>
      <c r="J37" s="3122">
        <v>66</v>
      </c>
      <c r="K37" s="3122" t="s">
        <v>909</v>
      </c>
      <c r="L37" s="3122" t="s">
        <v>904</v>
      </c>
      <c r="M37" s="3122">
        <f t="shared" si="22"/>
        <v>10.435326</v>
      </c>
      <c r="N37" s="3122">
        <f t="shared" si="23"/>
        <v>125.223912</v>
      </c>
      <c r="O37" s="3122" t="s">
        <v>824</v>
      </c>
      <c r="P37" s="3122" t="s">
        <v>801</v>
      </c>
      <c r="Q37" s="3122"/>
      <c r="R37" s="3139">
        <f t="shared" si="8"/>
        <v>2.17</v>
      </c>
      <c r="S37" s="3137">
        <v>45000</v>
      </c>
      <c r="T37" s="3137">
        <v>47191</v>
      </c>
      <c r="U37" s="3137">
        <f t="shared" si="25"/>
        <v>45730</v>
      </c>
      <c r="V37" s="3138">
        <f t="shared" si="24"/>
        <v>66</v>
      </c>
      <c r="W37" s="3137">
        <f t="shared" si="26"/>
        <v>46460</v>
      </c>
      <c r="X37" s="3140">
        <f t="shared" si="27"/>
        <v>69.959999999999994</v>
      </c>
      <c r="Y37" s="3137">
        <f t="shared" si="28"/>
        <v>47191</v>
      </c>
      <c r="Z37" s="3140">
        <f t="shared" si="29"/>
        <v>74.157600000000002</v>
      </c>
    </row>
    <row r="38" spans="1:32" s="3113" customFormat="1" ht="16.5">
      <c r="A38" s="3668" t="s">
        <v>905</v>
      </c>
      <c r="B38" s="3669"/>
      <c r="C38" s="3669"/>
      <c r="D38" s="3670"/>
      <c r="E38" s="3127"/>
      <c r="F38" s="3125">
        <f>SUM(F35:F37)</f>
        <v>3834.75</v>
      </c>
      <c r="G38" s="3125"/>
      <c r="H38" s="3125">
        <f>SUM(H35:H37)</f>
        <v>3834.75</v>
      </c>
      <c r="I38" s="3127"/>
      <c r="J38" s="3125"/>
      <c r="K38" s="3125"/>
      <c r="L38" s="3125"/>
      <c r="M38" s="3125"/>
      <c r="N38" s="3125"/>
      <c r="O38" s="3125"/>
      <c r="P38" s="3125"/>
      <c r="Q38" s="3125"/>
      <c r="R38" s="3130"/>
      <c r="S38" t="s">
        <v>812</v>
      </c>
      <c r="T38" t="s">
        <v>812</v>
      </c>
    </row>
    <row r="39" spans="1:32" ht="49.5">
      <c r="A39" s="3120">
        <v>192</v>
      </c>
      <c r="B39" s="3122" t="s">
        <v>912</v>
      </c>
      <c r="C39" s="3122" t="s">
        <v>913</v>
      </c>
      <c r="D39" s="3122" t="s">
        <v>914</v>
      </c>
      <c r="E39" s="3123" t="s">
        <v>915</v>
      </c>
      <c r="F39" s="3122">
        <v>85.37</v>
      </c>
      <c r="G39" s="3122">
        <v>120</v>
      </c>
      <c r="H39" s="3122">
        <v>85.37</v>
      </c>
      <c r="I39" s="3123" t="s">
        <v>916</v>
      </c>
      <c r="J39" s="3122">
        <v>74.52</v>
      </c>
      <c r="K39" s="3128" t="s">
        <v>917</v>
      </c>
      <c r="L39" s="3122" t="s">
        <v>918</v>
      </c>
      <c r="M39" s="3122">
        <f t="shared" ref="M39:M44" si="30">J39*H39/10000</f>
        <v>0.63617723999999998</v>
      </c>
      <c r="N39" s="3122">
        <f t="shared" ref="N39:N85" si="31">M39*12</f>
        <v>7.6341268800000002</v>
      </c>
      <c r="O39" s="3122" t="s">
        <v>919</v>
      </c>
      <c r="P39" s="3122" t="s">
        <v>801</v>
      </c>
      <c r="Q39" s="3122"/>
      <c r="R39" s="3139">
        <f>ROUND(N39*10000/365/F39,2)</f>
        <v>2.4500000000000002</v>
      </c>
      <c r="S39" s="3137">
        <v>45054</v>
      </c>
      <c r="T39" s="3137">
        <v>47975</v>
      </c>
      <c r="U39" s="3137">
        <f>S39+3*365</f>
        <v>46149</v>
      </c>
      <c r="V39" s="3138">
        <f t="shared" ref="V39:V48" si="32">J39</f>
        <v>74.52</v>
      </c>
      <c r="W39" s="3137">
        <f>U39+365</f>
        <v>46514</v>
      </c>
      <c r="X39" s="3140">
        <f>V39*1.03</f>
        <v>76.755600000000001</v>
      </c>
      <c r="Y39" s="3137">
        <f>W39+365+1</f>
        <v>46880</v>
      </c>
      <c r="Z39" s="3140">
        <f>X39*1.03</f>
        <v>79.058267999999998</v>
      </c>
      <c r="AA39" s="3137">
        <f>Y39+365</f>
        <v>47245</v>
      </c>
      <c r="AB39" s="3140">
        <f>Z39*1.03</f>
        <v>81.430016039999998</v>
      </c>
      <c r="AC39" s="3137">
        <f>AA39+365</f>
        <v>47610</v>
      </c>
      <c r="AD39" s="3140">
        <f>AB39*1.03</f>
        <v>83.872916521199997</v>
      </c>
      <c r="AE39" s="3137">
        <f>AC39+365</f>
        <v>47975</v>
      </c>
      <c r="AF39" s="3140">
        <f>AD39*1.03</f>
        <v>86.389104016836001</v>
      </c>
    </row>
    <row r="40" spans="1:32" ht="49.5">
      <c r="A40" s="3120">
        <v>193</v>
      </c>
      <c r="B40" s="3122" t="s">
        <v>912</v>
      </c>
      <c r="C40" s="3122" t="s">
        <v>913</v>
      </c>
      <c r="D40" s="3122" t="s">
        <v>920</v>
      </c>
      <c r="E40" s="3123" t="s">
        <v>915</v>
      </c>
      <c r="F40" s="3122">
        <v>81.16</v>
      </c>
      <c r="G40" s="3122">
        <v>120</v>
      </c>
      <c r="H40" s="3122">
        <v>81.16</v>
      </c>
      <c r="I40" s="3123" t="s">
        <v>916</v>
      </c>
      <c r="J40" s="3122">
        <v>74.52</v>
      </c>
      <c r="K40" s="3128" t="s">
        <v>917</v>
      </c>
      <c r="L40" s="3122" t="s">
        <v>918</v>
      </c>
      <c r="M40" s="3122">
        <f t="shared" si="30"/>
        <v>0.60480431999999995</v>
      </c>
      <c r="N40" s="3122">
        <f t="shared" si="31"/>
        <v>7.2576518400000003</v>
      </c>
      <c r="O40" s="3122" t="s">
        <v>919</v>
      </c>
      <c r="P40" s="3122" t="s">
        <v>801</v>
      </c>
      <c r="Q40" s="3122"/>
      <c r="R40" s="3139">
        <f t="shared" ref="R40:R48" si="33">ROUND(N40*10000/365/F40,2)</f>
        <v>2.4500000000000002</v>
      </c>
      <c r="S40" s="3137">
        <v>45054</v>
      </c>
      <c r="T40" s="3137">
        <v>47975</v>
      </c>
      <c r="U40" s="3137">
        <f t="shared" ref="U40:U41" si="34">S40+3*365</f>
        <v>46149</v>
      </c>
      <c r="V40" s="3138">
        <f t="shared" si="32"/>
        <v>74.52</v>
      </c>
      <c r="W40" s="3137">
        <f t="shared" ref="W40:W41" si="35">U40+365</f>
        <v>46514</v>
      </c>
      <c r="X40" s="3140">
        <f t="shared" ref="X40:X41" si="36">V40*1.03</f>
        <v>76.755600000000001</v>
      </c>
      <c r="Y40" s="3137">
        <f t="shared" ref="Y40:Y41" si="37">W40+365+1</f>
        <v>46880</v>
      </c>
      <c r="Z40" s="3140">
        <f t="shared" ref="Z40:Z41" si="38">X40*1.03</f>
        <v>79.058267999999998</v>
      </c>
      <c r="AA40" s="3137">
        <f t="shared" ref="AA40:AA41" si="39">Y40+365</f>
        <v>47245</v>
      </c>
      <c r="AB40" s="3140">
        <f t="shared" ref="AB40:AB41" si="40">Z40*1.03</f>
        <v>81.430016039999998</v>
      </c>
      <c r="AC40" s="3137">
        <f t="shared" ref="AC40:AC41" si="41">AA40+365</f>
        <v>47610</v>
      </c>
      <c r="AD40" s="3140">
        <f t="shared" ref="AD40:AD41" si="42">AB40*1.03</f>
        <v>83.872916521199997</v>
      </c>
      <c r="AE40" s="3137">
        <f t="shared" ref="AE40:AE41" si="43">AC40+365</f>
        <v>47975</v>
      </c>
      <c r="AF40" s="3140">
        <f t="shared" ref="AF40:AF41" si="44">AD40*1.03</f>
        <v>86.389104016836001</v>
      </c>
    </row>
    <row r="41" spans="1:32" ht="49.5">
      <c r="A41" s="3120">
        <v>194</v>
      </c>
      <c r="B41" s="3122" t="s">
        <v>912</v>
      </c>
      <c r="C41" s="3122" t="s">
        <v>913</v>
      </c>
      <c r="D41" s="3122" t="s">
        <v>921</v>
      </c>
      <c r="E41" s="3123" t="s">
        <v>915</v>
      </c>
      <c r="F41" s="3122">
        <v>33.79</v>
      </c>
      <c r="G41" s="3122">
        <v>90</v>
      </c>
      <c r="H41" s="3122">
        <v>33.79</v>
      </c>
      <c r="I41" s="3123" t="s">
        <v>916</v>
      </c>
      <c r="J41" s="3122">
        <v>74.52</v>
      </c>
      <c r="K41" s="3128" t="s">
        <v>917</v>
      </c>
      <c r="L41" s="3122" t="s">
        <v>918</v>
      </c>
      <c r="M41" s="3122">
        <f t="shared" si="30"/>
        <v>0.25180308000000001</v>
      </c>
      <c r="N41" s="3122">
        <f t="shared" si="31"/>
        <v>3.0216369599999999</v>
      </c>
      <c r="O41" s="3122" t="s">
        <v>919</v>
      </c>
      <c r="P41" s="3122" t="s">
        <v>801</v>
      </c>
      <c r="Q41" s="3122"/>
      <c r="R41" s="3139">
        <f t="shared" si="33"/>
        <v>2.4500000000000002</v>
      </c>
      <c r="S41" s="3137">
        <v>45054</v>
      </c>
      <c r="T41" s="3137">
        <v>47975</v>
      </c>
      <c r="U41" s="3137">
        <f t="shared" si="34"/>
        <v>46149</v>
      </c>
      <c r="V41" s="3138">
        <f t="shared" si="32"/>
        <v>74.52</v>
      </c>
      <c r="W41" s="3137">
        <f t="shared" si="35"/>
        <v>46514</v>
      </c>
      <c r="X41" s="3140">
        <f t="shared" si="36"/>
        <v>76.755600000000001</v>
      </c>
      <c r="Y41" s="3137">
        <f t="shared" si="37"/>
        <v>46880</v>
      </c>
      <c r="Z41" s="3140">
        <f t="shared" si="38"/>
        <v>79.058267999999998</v>
      </c>
      <c r="AA41" s="3137">
        <f t="shared" si="39"/>
        <v>47245</v>
      </c>
      <c r="AB41" s="3140">
        <f t="shared" si="40"/>
        <v>81.430016039999998</v>
      </c>
      <c r="AC41" s="3137">
        <f t="shared" si="41"/>
        <v>47610</v>
      </c>
      <c r="AD41" s="3140">
        <f t="shared" si="42"/>
        <v>83.872916521199997</v>
      </c>
      <c r="AE41" s="3137">
        <f t="shared" si="43"/>
        <v>47975</v>
      </c>
      <c r="AF41" s="3140">
        <f t="shared" si="44"/>
        <v>86.389104016836001</v>
      </c>
    </row>
    <row r="42" spans="1:32" ht="49.5">
      <c r="A42" s="3120">
        <v>189</v>
      </c>
      <c r="B42" s="3122" t="s">
        <v>912</v>
      </c>
      <c r="C42" s="3122" t="s">
        <v>913</v>
      </c>
      <c r="D42" s="3122" t="s">
        <v>922</v>
      </c>
      <c r="E42" s="3123" t="s">
        <v>915</v>
      </c>
      <c r="F42" s="3122">
        <v>33.14</v>
      </c>
      <c r="G42" s="3122">
        <v>90</v>
      </c>
      <c r="H42" s="3122">
        <v>33.14</v>
      </c>
      <c r="I42" s="3123" t="s">
        <v>916</v>
      </c>
      <c r="J42" s="3122">
        <v>74.52</v>
      </c>
      <c r="K42" s="3122" t="s">
        <v>923</v>
      </c>
      <c r="L42" s="3122" t="s">
        <v>799</v>
      </c>
      <c r="M42" s="3122">
        <f t="shared" si="30"/>
        <v>0.24695928</v>
      </c>
      <c r="N42" s="3122">
        <f t="shared" si="31"/>
        <v>2.96351136</v>
      </c>
      <c r="O42" s="3122" t="s">
        <v>919</v>
      </c>
      <c r="P42" s="3122" t="s">
        <v>801</v>
      </c>
      <c r="Q42" s="3122"/>
      <c r="R42" s="3139">
        <f t="shared" si="33"/>
        <v>2.4500000000000002</v>
      </c>
      <c r="S42" s="3137">
        <v>45054</v>
      </c>
      <c r="T42" s="3137">
        <v>46880</v>
      </c>
      <c r="U42" s="3137">
        <f t="shared" ref="U42:U48" si="45">S42+2*365</f>
        <v>45784</v>
      </c>
      <c r="V42" s="3138">
        <f t="shared" si="32"/>
        <v>74.52</v>
      </c>
      <c r="W42" s="3137">
        <f t="shared" ref="W42:W48" si="46">U42+365*2</f>
        <v>46514</v>
      </c>
      <c r="X42" s="3140">
        <f>V42*1.05</f>
        <v>78.245999999999995</v>
      </c>
      <c r="Y42" s="3137">
        <f t="shared" ref="Y42:Y48" si="47">T42</f>
        <v>46880</v>
      </c>
      <c r="Z42" s="3140">
        <f>X42*1.05</f>
        <v>82.158299999999997</v>
      </c>
    </row>
    <row r="43" spans="1:32" ht="49.5">
      <c r="A43" s="3120">
        <v>190</v>
      </c>
      <c r="B43" s="3122" t="s">
        <v>912</v>
      </c>
      <c r="C43" s="3122" t="s">
        <v>913</v>
      </c>
      <c r="D43" s="3122" t="s">
        <v>924</v>
      </c>
      <c r="E43" s="3123" t="s">
        <v>915</v>
      </c>
      <c r="F43" s="3122">
        <v>32.11</v>
      </c>
      <c r="G43" s="3122">
        <v>90</v>
      </c>
      <c r="H43" s="3122">
        <v>32.11</v>
      </c>
      <c r="I43" s="3123" t="s">
        <v>916</v>
      </c>
      <c r="J43" s="3122">
        <v>74.52</v>
      </c>
      <c r="K43" s="3122" t="s">
        <v>923</v>
      </c>
      <c r="L43" s="3122" t="s">
        <v>799</v>
      </c>
      <c r="M43" s="3122">
        <f t="shared" si="30"/>
        <v>0.23928372000000001</v>
      </c>
      <c r="N43" s="3122">
        <f t="shared" si="31"/>
        <v>2.8714046400000002</v>
      </c>
      <c r="O43" s="3122" t="s">
        <v>919</v>
      </c>
      <c r="P43" s="3122" t="s">
        <v>801</v>
      </c>
      <c r="Q43" s="3122"/>
      <c r="R43" s="3139">
        <f t="shared" si="33"/>
        <v>2.4500000000000002</v>
      </c>
      <c r="S43" s="3137">
        <v>45054</v>
      </c>
      <c r="T43" s="3137">
        <v>46880</v>
      </c>
      <c r="U43" s="3137">
        <f t="shared" si="45"/>
        <v>45784</v>
      </c>
      <c r="V43" s="3138">
        <f t="shared" si="32"/>
        <v>74.52</v>
      </c>
      <c r="W43" s="3137">
        <f t="shared" si="46"/>
        <v>46514</v>
      </c>
      <c r="X43" s="3140">
        <f t="shared" ref="X43:X48" si="48">V43*1.05</f>
        <v>78.245999999999995</v>
      </c>
      <c r="Y43" s="3137">
        <f t="shared" si="47"/>
        <v>46880</v>
      </c>
      <c r="Z43" s="3140">
        <f t="shared" ref="Z43:Z48" si="49">X43*1.05</f>
        <v>82.158299999999997</v>
      </c>
    </row>
    <row r="44" spans="1:32" ht="49.5">
      <c r="A44" s="3120">
        <v>191</v>
      </c>
      <c r="B44" s="3122" t="s">
        <v>912</v>
      </c>
      <c r="C44" s="3122" t="s">
        <v>913</v>
      </c>
      <c r="D44" s="3122" t="s">
        <v>925</v>
      </c>
      <c r="E44" s="3123" t="s">
        <v>915</v>
      </c>
      <c r="F44" s="3122">
        <v>23</v>
      </c>
      <c r="G44" s="3122">
        <v>90</v>
      </c>
      <c r="H44" s="3122">
        <v>23</v>
      </c>
      <c r="I44" s="3123" t="s">
        <v>916</v>
      </c>
      <c r="J44" s="3122">
        <v>74.52</v>
      </c>
      <c r="K44" s="3122" t="s">
        <v>923</v>
      </c>
      <c r="L44" s="3122" t="s">
        <v>799</v>
      </c>
      <c r="M44" s="3122">
        <f t="shared" si="30"/>
        <v>0.17139599999999999</v>
      </c>
      <c r="N44" s="3122">
        <f t="shared" si="31"/>
        <v>2.0567519999999999</v>
      </c>
      <c r="O44" s="3122" t="s">
        <v>919</v>
      </c>
      <c r="P44" s="3122" t="s">
        <v>801</v>
      </c>
      <c r="Q44" s="3122"/>
      <c r="R44" s="3139">
        <f t="shared" si="33"/>
        <v>2.4500000000000002</v>
      </c>
      <c r="S44" s="3137">
        <v>45054</v>
      </c>
      <c r="T44" s="3137">
        <v>46880</v>
      </c>
      <c r="U44" s="3137">
        <f t="shared" si="45"/>
        <v>45784</v>
      </c>
      <c r="V44" s="3138">
        <f t="shared" si="32"/>
        <v>74.52</v>
      </c>
      <c r="W44" s="3137">
        <f t="shared" si="46"/>
        <v>46514</v>
      </c>
      <c r="X44" s="3140">
        <f t="shared" si="48"/>
        <v>78.245999999999995</v>
      </c>
      <c r="Y44" s="3137">
        <f t="shared" si="47"/>
        <v>46880</v>
      </c>
      <c r="Z44" s="3140">
        <f t="shared" si="49"/>
        <v>82.158299999999997</v>
      </c>
    </row>
    <row r="45" spans="1:32" ht="49.5">
      <c r="A45" s="3120">
        <v>160</v>
      </c>
      <c r="B45" s="3122" t="s">
        <v>912</v>
      </c>
      <c r="C45" s="3122" t="s">
        <v>913</v>
      </c>
      <c r="D45" s="3122" t="s">
        <v>926</v>
      </c>
      <c r="E45" s="3123" t="s">
        <v>915</v>
      </c>
      <c r="F45" s="3122">
        <v>620.09</v>
      </c>
      <c r="G45" s="3122">
        <v>60</v>
      </c>
      <c r="H45" s="3122">
        <v>620.09</v>
      </c>
      <c r="I45" s="3123" t="s">
        <v>927</v>
      </c>
      <c r="J45" s="3122">
        <v>49.2</v>
      </c>
      <c r="K45" s="3122" t="s">
        <v>928</v>
      </c>
      <c r="L45" s="3122" t="s">
        <v>799</v>
      </c>
      <c r="M45" s="3122">
        <f t="shared" ref="M45:M85" si="50">H45*J45/10000</f>
        <v>3.0508427999999999</v>
      </c>
      <c r="N45" s="3122">
        <f t="shared" si="31"/>
        <v>36.610113599999998</v>
      </c>
      <c r="O45" s="3122" t="s">
        <v>824</v>
      </c>
      <c r="P45" s="3122" t="s">
        <v>801</v>
      </c>
      <c r="Q45" s="3122"/>
      <c r="R45" s="3139">
        <f t="shared" si="33"/>
        <v>1.62</v>
      </c>
      <c r="S45" s="3137">
        <v>44986</v>
      </c>
      <c r="T45" s="3137">
        <v>46812</v>
      </c>
      <c r="U45" s="3137">
        <f t="shared" si="45"/>
        <v>45716</v>
      </c>
      <c r="V45" s="3138">
        <f t="shared" si="32"/>
        <v>49.2</v>
      </c>
      <c r="W45" s="3137">
        <f t="shared" si="46"/>
        <v>46446</v>
      </c>
      <c r="X45" s="3140">
        <f t="shared" si="48"/>
        <v>51.66</v>
      </c>
      <c r="Y45" s="3137">
        <f t="shared" si="47"/>
        <v>46812</v>
      </c>
      <c r="Z45" s="3140">
        <f t="shared" si="49"/>
        <v>54.243000000000002</v>
      </c>
    </row>
    <row r="46" spans="1:32" ht="49.5">
      <c r="A46" s="3120">
        <v>161</v>
      </c>
      <c r="B46" s="3122" t="s">
        <v>912</v>
      </c>
      <c r="C46" s="3122" t="s">
        <v>913</v>
      </c>
      <c r="D46" s="3122" t="s">
        <v>929</v>
      </c>
      <c r="E46" s="3123" t="s">
        <v>915</v>
      </c>
      <c r="F46" s="3122">
        <v>654.54</v>
      </c>
      <c r="G46" s="3122">
        <v>60</v>
      </c>
      <c r="H46" s="3122">
        <v>654.54</v>
      </c>
      <c r="I46" s="3123" t="s">
        <v>927</v>
      </c>
      <c r="J46" s="3122">
        <v>49.2</v>
      </c>
      <c r="K46" s="3122" t="s">
        <v>928</v>
      </c>
      <c r="L46" s="3122" t="s">
        <v>799</v>
      </c>
      <c r="M46" s="3122">
        <f t="shared" si="50"/>
        <v>3.2203368000000001</v>
      </c>
      <c r="N46" s="3122">
        <f t="shared" si="31"/>
        <v>38.644041600000001</v>
      </c>
      <c r="O46" s="3122" t="s">
        <v>824</v>
      </c>
      <c r="P46" s="3122" t="s">
        <v>801</v>
      </c>
      <c r="Q46" s="3122"/>
      <c r="R46" s="3139">
        <f t="shared" si="33"/>
        <v>1.62</v>
      </c>
      <c r="S46" s="3137">
        <v>44986</v>
      </c>
      <c r="T46" s="3137">
        <v>46812</v>
      </c>
      <c r="U46" s="3137">
        <f t="shared" si="45"/>
        <v>45716</v>
      </c>
      <c r="V46" s="3138">
        <f t="shared" si="32"/>
        <v>49.2</v>
      </c>
      <c r="W46" s="3137">
        <f t="shared" si="46"/>
        <v>46446</v>
      </c>
      <c r="X46" s="3140">
        <f t="shared" si="48"/>
        <v>51.66</v>
      </c>
      <c r="Y46" s="3137">
        <f t="shared" si="47"/>
        <v>46812</v>
      </c>
      <c r="Z46" s="3140">
        <f t="shared" si="49"/>
        <v>54.243000000000002</v>
      </c>
    </row>
    <row r="47" spans="1:32" ht="49.5">
      <c r="A47" s="3120">
        <v>158</v>
      </c>
      <c r="B47" s="3122" t="s">
        <v>912</v>
      </c>
      <c r="C47" s="3122" t="s">
        <v>913</v>
      </c>
      <c r="D47" s="3122" t="s">
        <v>930</v>
      </c>
      <c r="E47" s="3123" t="s">
        <v>915</v>
      </c>
      <c r="F47" s="3122">
        <v>645.08000000000004</v>
      </c>
      <c r="G47" s="3122">
        <v>90</v>
      </c>
      <c r="H47" s="3122">
        <v>645.08000000000004</v>
      </c>
      <c r="I47" s="3123" t="s">
        <v>927</v>
      </c>
      <c r="J47" s="3122">
        <v>49.2</v>
      </c>
      <c r="K47" s="3122" t="s">
        <v>928</v>
      </c>
      <c r="L47" s="3122" t="s">
        <v>799</v>
      </c>
      <c r="M47" s="3122">
        <f t="shared" si="50"/>
        <v>3.1737936000000002</v>
      </c>
      <c r="N47" s="3122">
        <f t="shared" si="31"/>
        <v>38.085523199999997</v>
      </c>
      <c r="O47" s="3122" t="s">
        <v>824</v>
      </c>
      <c r="P47" s="3122" t="s">
        <v>801</v>
      </c>
      <c r="Q47" s="3122"/>
      <c r="R47" s="3139">
        <f t="shared" si="33"/>
        <v>1.62</v>
      </c>
      <c r="S47" s="3137">
        <v>44986</v>
      </c>
      <c r="T47" s="3137">
        <v>46812</v>
      </c>
      <c r="U47" s="3137">
        <f t="shared" si="45"/>
        <v>45716</v>
      </c>
      <c r="V47" s="3138">
        <f t="shared" si="32"/>
        <v>49.2</v>
      </c>
      <c r="W47" s="3137">
        <f t="shared" si="46"/>
        <v>46446</v>
      </c>
      <c r="X47" s="3140">
        <f t="shared" si="48"/>
        <v>51.66</v>
      </c>
      <c r="Y47" s="3137">
        <f t="shared" si="47"/>
        <v>46812</v>
      </c>
      <c r="Z47" s="3140">
        <f t="shared" si="49"/>
        <v>54.243000000000002</v>
      </c>
    </row>
    <row r="48" spans="1:32" ht="49.5">
      <c r="A48" s="3120">
        <v>159</v>
      </c>
      <c r="B48" s="3122" t="s">
        <v>912</v>
      </c>
      <c r="C48" s="3122" t="s">
        <v>913</v>
      </c>
      <c r="D48" s="3122" t="s">
        <v>931</v>
      </c>
      <c r="E48" s="3123" t="s">
        <v>915</v>
      </c>
      <c r="F48" s="3122">
        <v>654.69000000000005</v>
      </c>
      <c r="G48" s="3122">
        <v>90</v>
      </c>
      <c r="H48" s="3122">
        <v>654.69000000000005</v>
      </c>
      <c r="I48" s="3123" t="s">
        <v>927</v>
      </c>
      <c r="J48" s="3122">
        <v>49.2</v>
      </c>
      <c r="K48" s="3122" t="s">
        <v>928</v>
      </c>
      <c r="L48" s="3122" t="s">
        <v>799</v>
      </c>
      <c r="M48" s="3122">
        <f t="shared" si="50"/>
        <v>3.2210747999999998</v>
      </c>
      <c r="N48" s="3122">
        <f t="shared" si="31"/>
        <v>38.652897600000003</v>
      </c>
      <c r="O48" s="3122" t="s">
        <v>824</v>
      </c>
      <c r="P48" s="3122" t="s">
        <v>801</v>
      </c>
      <c r="Q48" s="3122"/>
      <c r="R48" s="3139">
        <f t="shared" si="33"/>
        <v>1.62</v>
      </c>
      <c r="S48" s="3137">
        <v>44986</v>
      </c>
      <c r="T48" s="3137">
        <v>46812</v>
      </c>
      <c r="U48" s="3137">
        <f t="shared" si="45"/>
        <v>45716</v>
      </c>
      <c r="V48" s="3138">
        <f t="shared" si="32"/>
        <v>49.2</v>
      </c>
      <c r="W48" s="3137">
        <f t="shared" si="46"/>
        <v>46446</v>
      </c>
      <c r="X48" s="3140">
        <f t="shared" si="48"/>
        <v>51.66</v>
      </c>
      <c r="Y48" s="3137">
        <f t="shared" si="47"/>
        <v>46812</v>
      </c>
      <c r="Z48" s="3140">
        <f t="shared" si="49"/>
        <v>54.243000000000002</v>
      </c>
    </row>
    <row r="49" spans="1:32" ht="49.5">
      <c r="A49" s="3120">
        <v>159</v>
      </c>
      <c r="B49" s="3122" t="s">
        <v>912</v>
      </c>
      <c r="C49" s="3122" t="s">
        <v>913</v>
      </c>
      <c r="D49" s="3122" t="s">
        <v>932</v>
      </c>
      <c r="E49" s="3123" t="s">
        <v>915</v>
      </c>
      <c r="F49" s="3122">
        <v>644.84</v>
      </c>
      <c r="G49" s="3122">
        <v>60</v>
      </c>
      <c r="H49" s="3122">
        <v>644.84</v>
      </c>
      <c r="I49" s="3123" t="s">
        <v>933</v>
      </c>
      <c r="J49" s="3122">
        <v>60</v>
      </c>
      <c r="K49" s="3122" t="s">
        <v>816</v>
      </c>
      <c r="L49" s="3122" t="s">
        <v>816</v>
      </c>
      <c r="M49" s="3122">
        <f t="shared" si="50"/>
        <v>3.86904</v>
      </c>
      <c r="N49" s="3122">
        <f t="shared" si="31"/>
        <v>46.42848</v>
      </c>
      <c r="O49" s="3122" t="s">
        <v>824</v>
      </c>
      <c r="P49" s="3122" t="s">
        <v>933</v>
      </c>
      <c r="Q49" s="3122"/>
      <c r="R49" s="3122"/>
      <c r="S49" s="3122" t="s">
        <v>933</v>
      </c>
      <c r="T49" t="s">
        <v>816</v>
      </c>
    </row>
    <row r="50" spans="1:32" ht="49.5">
      <c r="A50" s="3120">
        <v>160</v>
      </c>
      <c r="B50" s="3122" t="s">
        <v>912</v>
      </c>
      <c r="C50" s="3122" t="s">
        <v>913</v>
      </c>
      <c r="D50" s="3122" t="s">
        <v>934</v>
      </c>
      <c r="E50" s="3123" t="s">
        <v>915</v>
      </c>
      <c r="F50" s="3122">
        <v>649.16</v>
      </c>
      <c r="G50" s="3122">
        <v>60</v>
      </c>
      <c r="H50" s="3122">
        <v>649.16</v>
      </c>
      <c r="I50" s="3123" t="s">
        <v>933</v>
      </c>
      <c r="J50" s="3122">
        <v>60</v>
      </c>
      <c r="K50" s="3122" t="s">
        <v>816</v>
      </c>
      <c r="L50" s="3122" t="s">
        <v>816</v>
      </c>
      <c r="M50" s="3122">
        <f t="shared" si="50"/>
        <v>3.8949600000000002</v>
      </c>
      <c r="N50" s="3122">
        <f t="shared" si="31"/>
        <v>46.739519999999999</v>
      </c>
      <c r="O50" s="3122" t="s">
        <v>824</v>
      </c>
      <c r="P50" s="3122" t="s">
        <v>933</v>
      </c>
      <c r="Q50" s="3122"/>
      <c r="R50" s="3122"/>
      <c r="S50" s="3122" t="s">
        <v>933</v>
      </c>
      <c r="T50" t="s">
        <v>816</v>
      </c>
    </row>
    <row r="51" spans="1:32" ht="49.5">
      <c r="A51" s="3120">
        <v>163</v>
      </c>
      <c r="B51" s="3122" t="s">
        <v>912</v>
      </c>
      <c r="C51" s="3122" t="s">
        <v>913</v>
      </c>
      <c r="D51" s="3122" t="s">
        <v>935</v>
      </c>
      <c r="E51" s="3123" t="s">
        <v>915</v>
      </c>
      <c r="F51" s="3122">
        <v>534.46</v>
      </c>
      <c r="G51" s="3122">
        <v>60</v>
      </c>
      <c r="H51" s="3122">
        <v>534.46</v>
      </c>
      <c r="I51" s="3123" t="s">
        <v>927</v>
      </c>
      <c r="J51" s="3122">
        <v>49.2</v>
      </c>
      <c r="K51" s="3122" t="s">
        <v>928</v>
      </c>
      <c r="L51" s="3122" t="s">
        <v>799</v>
      </c>
      <c r="M51" s="3122">
        <f t="shared" si="50"/>
        <v>2.6295432000000001</v>
      </c>
      <c r="N51" s="3122">
        <f t="shared" si="31"/>
        <v>31.554518399999999</v>
      </c>
      <c r="O51" s="3122" t="s">
        <v>824</v>
      </c>
      <c r="P51" s="3122" t="s">
        <v>801</v>
      </c>
      <c r="Q51" s="3122"/>
      <c r="R51" s="3139">
        <f>ROUND(N51*10000/365/F51,2)</f>
        <v>1.62</v>
      </c>
      <c r="S51" s="3137">
        <v>44986</v>
      </c>
      <c r="T51" s="3137">
        <v>46812</v>
      </c>
      <c r="U51" s="3137">
        <f t="shared" ref="U51:U54" si="51">S51+2*365</f>
        <v>45716</v>
      </c>
      <c r="V51" s="3138">
        <f t="shared" ref="V51:V54" si="52">J51</f>
        <v>49.2</v>
      </c>
      <c r="W51" s="3137">
        <f t="shared" ref="W51:W54" si="53">U51+365*2</f>
        <v>46446</v>
      </c>
      <c r="X51" s="3140">
        <f t="shared" ref="X51:X54" si="54">V51*1.05</f>
        <v>51.66</v>
      </c>
      <c r="Y51" s="3137">
        <f t="shared" ref="Y51:Y54" si="55">T51</f>
        <v>46812</v>
      </c>
      <c r="Z51" s="3140">
        <f t="shared" ref="Z51:Z54" si="56">X51*1.05</f>
        <v>54.243000000000002</v>
      </c>
    </row>
    <row r="52" spans="1:32" ht="49.5">
      <c r="A52" s="3120">
        <v>164</v>
      </c>
      <c r="B52" s="3122" t="s">
        <v>912</v>
      </c>
      <c r="C52" s="3122" t="s">
        <v>913</v>
      </c>
      <c r="D52" s="3122" t="s">
        <v>936</v>
      </c>
      <c r="E52" s="3123" t="s">
        <v>915</v>
      </c>
      <c r="F52" s="3122">
        <v>539.95000000000005</v>
      </c>
      <c r="G52" s="3122">
        <v>60</v>
      </c>
      <c r="H52" s="3122">
        <v>539.95000000000005</v>
      </c>
      <c r="I52" s="3123" t="s">
        <v>927</v>
      </c>
      <c r="J52" s="3122">
        <v>49.2</v>
      </c>
      <c r="K52" s="3122" t="s">
        <v>928</v>
      </c>
      <c r="L52" s="3122" t="s">
        <v>799</v>
      </c>
      <c r="M52" s="3122">
        <f t="shared" si="50"/>
        <v>2.6565539999999999</v>
      </c>
      <c r="N52" s="3122">
        <f t="shared" si="31"/>
        <v>31.878647999999998</v>
      </c>
      <c r="O52" s="3122" t="s">
        <v>824</v>
      </c>
      <c r="P52" s="3122" t="s">
        <v>801</v>
      </c>
      <c r="Q52" s="3122"/>
      <c r="R52" s="3139">
        <f t="shared" ref="R52:R115" si="57">ROUND(N52*10000/365/F52,2)</f>
        <v>1.62</v>
      </c>
      <c r="S52" s="3137">
        <v>44986</v>
      </c>
      <c r="T52" s="3137">
        <v>46812</v>
      </c>
      <c r="U52" s="3137">
        <f t="shared" si="51"/>
        <v>45716</v>
      </c>
      <c r="V52" s="3138">
        <f t="shared" si="52"/>
        <v>49.2</v>
      </c>
      <c r="W52" s="3137">
        <f t="shared" si="53"/>
        <v>46446</v>
      </c>
      <c r="X52" s="3140">
        <f t="shared" si="54"/>
        <v>51.66</v>
      </c>
      <c r="Y52" s="3137">
        <f t="shared" si="55"/>
        <v>46812</v>
      </c>
      <c r="Z52" s="3140">
        <f t="shared" si="56"/>
        <v>54.243000000000002</v>
      </c>
    </row>
    <row r="53" spans="1:32" ht="49.5">
      <c r="A53" s="3120">
        <v>165</v>
      </c>
      <c r="B53" s="3122" t="s">
        <v>912</v>
      </c>
      <c r="C53" s="3122" t="s">
        <v>913</v>
      </c>
      <c r="D53" s="3122" t="s">
        <v>616</v>
      </c>
      <c r="E53" s="3123" t="s">
        <v>915</v>
      </c>
      <c r="F53" s="3122">
        <v>0</v>
      </c>
      <c r="G53" s="3122">
        <v>50</v>
      </c>
      <c r="H53" s="3122">
        <v>1074.4100000000001</v>
      </c>
      <c r="I53" s="3123" t="s">
        <v>927</v>
      </c>
      <c r="J53" s="3122">
        <v>49.2</v>
      </c>
      <c r="K53" s="3122" t="s">
        <v>928</v>
      </c>
      <c r="L53" s="3122" t="s">
        <v>799</v>
      </c>
      <c r="M53" s="3122">
        <f t="shared" si="50"/>
        <v>5.2860972000000004</v>
      </c>
      <c r="N53" s="3122">
        <f t="shared" si="31"/>
        <v>63.433166399999998</v>
      </c>
      <c r="O53" s="3122" t="s">
        <v>824</v>
      </c>
      <c r="P53" s="3122" t="s">
        <v>801</v>
      </c>
      <c r="Q53" s="3122"/>
      <c r="R53" s="3139"/>
      <c r="S53" s="3137">
        <v>44986</v>
      </c>
      <c r="T53" s="3137">
        <v>46812</v>
      </c>
      <c r="U53" s="3137">
        <f t="shared" si="51"/>
        <v>45716</v>
      </c>
      <c r="V53" s="3138">
        <f t="shared" si="52"/>
        <v>49.2</v>
      </c>
      <c r="W53" s="3137">
        <f t="shared" si="53"/>
        <v>46446</v>
      </c>
      <c r="X53" s="3140">
        <f t="shared" si="54"/>
        <v>51.66</v>
      </c>
      <c r="Y53" s="3137">
        <f t="shared" si="55"/>
        <v>46812</v>
      </c>
      <c r="Z53" s="3140">
        <f t="shared" si="56"/>
        <v>54.243000000000002</v>
      </c>
    </row>
    <row r="54" spans="1:32" ht="49.5">
      <c r="A54" s="3120">
        <v>162</v>
      </c>
      <c r="B54" s="3122" t="s">
        <v>912</v>
      </c>
      <c r="C54" s="3122" t="s">
        <v>913</v>
      </c>
      <c r="D54" s="3122" t="s">
        <v>937</v>
      </c>
      <c r="E54" s="3123" t="s">
        <v>915</v>
      </c>
      <c r="F54" s="3122">
        <v>644.84</v>
      </c>
      <c r="G54" s="3122">
        <v>60</v>
      </c>
      <c r="H54" s="3122">
        <v>644.84</v>
      </c>
      <c r="I54" s="3123" t="s">
        <v>927</v>
      </c>
      <c r="J54" s="3122">
        <v>49.2</v>
      </c>
      <c r="K54" s="3122" t="s">
        <v>928</v>
      </c>
      <c r="L54" s="3122" t="s">
        <v>799</v>
      </c>
      <c r="M54" s="3122">
        <f t="shared" si="50"/>
        <v>3.1726128</v>
      </c>
      <c r="N54" s="3122">
        <f t="shared" si="31"/>
        <v>38.071353600000002</v>
      </c>
      <c r="O54" s="3122" t="s">
        <v>824</v>
      </c>
      <c r="P54" s="3122" t="s">
        <v>801</v>
      </c>
      <c r="Q54" s="3122"/>
      <c r="R54" s="3139">
        <f t="shared" si="57"/>
        <v>1.62</v>
      </c>
      <c r="S54" s="3137">
        <v>44986</v>
      </c>
      <c r="T54" s="3137">
        <v>46812</v>
      </c>
      <c r="U54" s="3137">
        <f t="shared" si="51"/>
        <v>45716</v>
      </c>
      <c r="V54" s="3138">
        <f t="shared" si="52"/>
        <v>49.2</v>
      </c>
      <c r="W54" s="3137">
        <f t="shared" si="53"/>
        <v>46446</v>
      </c>
      <c r="X54" s="3140">
        <f t="shared" si="54"/>
        <v>51.66</v>
      </c>
      <c r="Y54" s="3137">
        <f t="shared" si="55"/>
        <v>46812</v>
      </c>
      <c r="Z54" s="3140">
        <f t="shared" si="56"/>
        <v>54.243000000000002</v>
      </c>
    </row>
    <row r="55" spans="1:32" ht="49.5">
      <c r="A55" s="3120">
        <v>165</v>
      </c>
      <c r="B55" s="3122" t="s">
        <v>912</v>
      </c>
      <c r="C55" s="3122" t="s">
        <v>913</v>
      </c>
      <c r="D55" s="3122" t="s">
        <v>938</v>
      </c>
      <c r="E55" s="3123" t="s">
        <v>915</v>
      </c>
      <c r="F55" s="3122">
        <v>649.16</v>
      </c>
      <c r="G55" s="3122">
        <v>60</v>
      </c>
      <c r="H55" s="3122">
        <v>649.16</v>
      </c>
      <c r="I55" s="3123" t="s">
        <v>933</v>
      </c>
      <c r="J55" s="3122">
        <v>60</v>
      </c>
      <c r="K55" s="3122" t="s">
        <v>816</v>
      </c>
      <c r="L55" s="3122" t="s">
        <v>816</v>
      </c>
      <c r="M55" s="3122">
        <f t="shared" si="50"/>
        <v>3.8949600000000002</v>
      </c>
      <c r="N55" s="3122">
        <f t="shared" si="31"/>
        <v>46.739519999999999</v>
      </c>
      <c r="O55" s="3122" t="s">
        <v>824</v>
      </c>
      <c r="P55" s="3122" t="s">
        <v>933</v>
      </c>
      <c r="Q55" s="3122"/>
      <c r="R55" s="3139">
        <f t="shared" si="57"/>
        <v>1.97</v>
      </c>
      <c r="S55" s="3141" t="s">
        <v>933</v>
      </c>
      <c r="T55" t="s">
        <v>816</v>
      </c>
    </row>
    <row r="56" spans="1:32" ht="49.5">
      <c r="A56" s="3120">
        <v>174</v>
      </c>
      <c r="B56" s="3122" t="s">
        <v>912</v>
      </c>
      <c r="C56" s="3122" t="s">
        <v>939</v>
      </c>
      <c r="D56" s="3122" t="s">
        <v>940</v>
      </c>
      <c r="E56" s="3123" t="s">
        <v>915</v>
      </c>
      <c r="F56" s="3122">
        <v>117.47</v>
      </c>
      <c r="G56" s="3122">
        <v>120</v>
      </c>
      <c r="H56" s="3122">
        <v>117.47</v>
      </c>
      <c r="I56" s="3123" t="s">
        <v>941</v>
      </c>
      <c r="J56" s="3122">
        <v>110</v>
      </c>
      <c r="K56" s="3122" t="s">
        <v>847</v>
      </c>
      <c r="L56" s="3122" t="s">
        <v>904</v>
      </c>
      <c r="M56" s="3122">
        <f t="shared" si="50"/>
        <v>1.29217</v>
      </c>
      <c r="N56" s="3122">
        <f t="shared" si="31"/>
        <v>15.50604</v>
      </c>
      <c r="O56" s="3122" t="s">
        <v>919</v>
      </c>
      <c r="P56" s="3122" t="s">
        <v>801</v>
      </c>
      <c r="Q56" s="3122"/>
      <c r="R56" s="3139">
        <f t="shared" si="57"/>
        <v>3.62</v>
      </c>
      <c r="S56" s="3137">
        <v>45036</v>
      </c>
      <c r="T56" s="3137">
        <v>46862</v>
      </c>
      <c r="U56" s="3137">
        <f t="shared" ref="U56:U58" si="58">S56+2*365</f>
        <v>45766</v>
      </c>
      <c r="V56" s="3138">
        <f t="shared" ref="V56:V103" si="59">J56</f>
        <v>110</v>
      </c>
      <c r="W56" s="3137">
        <f t="shared" ref="W56:W58" si="60">U56+365*2</f>
        <v>46496</v>
      </c>
      <c r="X56" s="3140">
        <f>V56*1.06</f>
        <v>116.6</v>
      </c>
      <c r="Y56" s="3137">
        <f t="shared" ref="Y56:Y58" si="61">T56</f>
        <v>46862</v>
      </c>
      <c r="Z56" s="3140">
        <f>X56*1.06</f>
        <v>123.596</v>
      </c>
    </row>
    <row r="57" spans="1:32" ht="49.5">
      <c r="A57" s="3120">
        <v>175</v>
      </c>
      <c r="B57" s="3122" t="s">
        <v>912</v>
      </c>
      <c r="C57" s="3122" t="s">
        <v>939</v>
      </c>
      <c r="D57" s="3122" t="s">
        <v>942</v>
      </c>
      <c r="E57" s="3123" t="s">
        <v>915</v>
      </c>
      <c r="F57" s="3122">
        <v>26.03</v>
      </c>
      <c r="G57" s="3122">
        <v>120</v>
      </c>
      <c r="H57" s="3122">
        <v>26.03</v>
      </c>
      <c r="I57" s="3123" t="s">
        <v>941</v>
      </c>
      <c r="J57" s="3122">
        <v>110</v>
      </c>
      <c r="K57" s="3122" t="s">
        <v>847</v>
      </c>
      <c r="L57" s="3122" t="s">
        <v>904</v>
      </c>
      <c r="M57" s="3122">
        <f t="shared" si="50"/>
        <v>0.28632999999999997</v>
      </c>
      <c r="N57" s="3122">
        <f t="shared" si="31"/>
        <v>3.4359600000000001</v>
      </c>
      <c r="O57" s="3122" t="s">
        <v>919</v>
      </c>
      <c r="P57" s="3122" t="s">
        <v>801</v>
      </c>
      <c r="Q57" s="3122"/>
      <c r="R57" s="3139">
        <f t="shared" si="57"/>
        <v>3.62</v>
      </c>
      <c r="S57" s="3137">
        <v>45036</v>
      </c>
      <c r="T57" s="3137">
        <v>46862</v>
      </c>
      <c r="U57" s="3137">
        <f t="shared" si="58"/>
        <v>45766</v>
      </c>
      <c r="V57" s="3138">
        <f t="shared" si="59"/>
        <v>110</v>
      </c>
      <c r="W57" s="3137">
        <f t="shared" si="60"/>
        <v>46496</v>
      </c>
      <c r="X57" s="3140">
        <f t="shared" ref="X57:X58" si="62">V57*1.06</f>
        <v>116.6</v>
      </c>
      <c r="Y57" s="3137">
        <f t="shared" si="61"/>
        <v>46862</v>
      </c>
      <c r="Z57" s="3140">
        <f t="shared" ref="Z57:Z58" si="63">X57*1.06</f>
        <v>123.596</v>
      </c>
    </row>
    <row r="58" spans="1:32" ht="49.5">
      <c r="A58" s="3120">
        <v>176</v>
      </c>
      <c r="B58" s="3122" t="s">
        <v>912</v>
      </c>
      <c r="C58" s="3122" t="s">
        <v>939</v>
      </c>
      <c r="D58" s="3122" t="s">
        <v>943</v>
      </c>
      <c r="E58" s="3123" t="s">
        <v>915</v>
      </c>
      <c r="F58" s="3122">
        <v>25.95</v>
      </c>
      <c r="G58" s="3122">
        <v>120</v>
      </c>
      <c r="H58" s="3122">
        <v>25.95</v>
      </c>
      <c r="I58" s="3123" t="s">
        <v>941</v>
      </c>
      <c r="J58" s="3122">
        <v>110</v>
      </c>
      <c r="K58" s="3122" t="s">
        <v>847</v>
      </c>
      <c r="L58" s="3122" t="s">
        <v>904</v>
      </c>
      <c r="M58" s="3122">
        <f t="shared" si="50"/>
        <v>0.28544999999999998</v>
      </c>
      <c r="N58" s="3122">
        <f t="shared" si="31"/>
        <v>3.4253999999999998</v>
      </c>
      <c r="O58" s="3122" t="s">
        <v>919</v>
      </c>
      <c r="P58" s="3122" t="s">
        <v>801</v>
      </c>
      <c r="Q58" s="3122"/>
      <c r="R58" s="3139">
        <f t="shared" si="57"/>
        <v>3.62</v>
      </c>
      <c r="S58" s="3137">
        <v>45036</v>
      </c>
      <c r="T58" s="3137">
        <v>46862</v>
      </c>
      <c r="U58" s="3137">
        <f t="shared" si="58"/>
        <v>45766</v>
      </c>
      <c r="V58" s="3138">
        <f t="shared" si="59"/>
        <v>110</v>
      </c>
      <c r="W58" s="3137">
        <f t="shared" si="60"/>
        <v>46496</v>
      </c>
      <c r="X58" s="3140">
        <f t="shared" si="62"/>
        <v>116.6</v>
      </c>
      <c r="Y58" s="3137">
        <f t="shared" si="61"/>
        <v>46862</v>
      </c>
      <c r="Z58" s="3140">
        <f t="shared" si="63"/>
        <v>123.596</v>
      </c>
    </row>
    <row r="59" spans="1:32" ht="49.5">
      <c r="A59" s="3120">
        <v>197</v>
      </c>
      <c r="B59" s="3122" t="s">
        <v>912</v>
      </c>
      <c r="C59" s="3122" t="s">
        <v>939</v>
      </c>
      <c r="D59" s="3122" t="s">
        <v>944</v>
      </c>
      <c r="E59" s="3123" t="s">
        <v>915</v>
      </c>
      <c r="F59" s="3122">
        <v>37.19</v>
      </c>
      <c r="G59" s="3122">
        <v>120</v>
      </c>
      <c r="H59" s="3122">
        <v>37.19</v>
      </c>
      <c r="I59" s="3123" t="s">
        <v>916</v>
      </c>
      <c r="J59" s="3122">
        <v>74.52</v>
      </c>
      <c r="K59" s="3128" t="s">
        <v>917</v>
      </c>
      <c r="L59" s="3122" t="s">
        <v>918</v>
      </c>
      <c r="M59" s="3122">
        <f t="shared" si="50"/>
        <v>0.27713988000000001</v>
      </c>
      <c r="N59" s="3122">
        <f t="shared" si="31"/>
        <v>3.3256785600000001</v>
      </c>
      <c r="O59" s="3122" t="s">
        <v>919</v>
      </c>
      <c r="P59" s="3122" t="s">
        <v>801</v>
      </c>
      <c r="Q59" s="3122"/>
      <c r="R59" s="3139">
        <f t="shared" si="57"/>
        <v>2.4500000000000002</v>
      </c>
      <c r="S59" s="3137">
        <v>45054</v>
      </c>
      <c r="T59" s="3137">
        <v>47975</v>
      </c>
      <c r="U59" s="3137">
        <f>S59+3*365</f>
        <v>46149</v>
      </c>
      <c r="V59" s="3138">
        <f t="shared" si="59"/>
        <v>74.52</v>
      </c>
      <c r="W59" s="3137">
        <f>U59+365</f>
        <v>46514</v>
      </c>
      <c r="X59" s="3140">
        <f>V59*1.03</f>
        <v>76.755600000000001</v>
      </c>
      <c r="Y59" s="3137">
        <f>W59+365+1</f>
        <v>46880</v>
      </c>
      <c r="Z59" s="3140">
        <f>X59*1.03</f>
        <v>79.058267999999998</v>
      </c>
      <c r="AA59" s="3137">
        <f>Y59+365</f>
        <v>47245</v>
      </c>
      <c r="AB59" s="3140">
        <f>Z59*1.03</f>
        <v>81.430016039999998</v>
      </c>
      <c r="AC59" s="3137">
        <f>AA59+365</f>
        <v>47610</v>
      </c>
      <c r="AD59" s="3140">
        <f>AB59*1.03</f>
        <v>83.872916521199997</v>
      </c>
      <c r="AE59" s="3137">
        <f>AC59+365</f>
        <v>47975</v>
      </c>
      <c r="AF59" s="3140">
        <f>AD59*1.03</f>
        <v>86.389104016836001</v>
      </c>
    </row>
    <row r="60" spans="1:32" ht="49.5">
      <c r="A60" s="3120">
        <v>198</v>
      </c>
      <c r="B60" s="3122" t="s">
        <v>912</v>
      </c>
      <c r="C60" s="3122" t="s">
        <v>939</v>
      </c>
      <c r="D60" s="3122" t="s">
        <v>945</v>
      </c>
      <c r="E60" s="3123" t="s">
        <v>915</v>
      </c>
      <c r="F60" s="3122">
        <v>261.52</v>
      </c>
      <c r="G60" s="3122">
        <v>90</v>
      </c>
      <c r="H60" s="3122">
        <v>261.52</v>
      </c>
      <c r="I60" s="3123" t="s">
        <v>916</v>
      </c>
      <c r="J60" s="3122">
        <v>74.52</v>
      </c>
      <c r="K60" s="3128" t="s">
        <v>917</v>
      </c>
      <c r="L60" s="3122" t="s">
        <v>918</v>
      </c>
      <c r="M60" s="3122">
        <f t="shared" si="50"/>
        <v>1.94884704</v>
      </c>
      <c r="N60" s="3122">
        <f t="shared" si="31"/>
        <v>23.386164480000001</v>
      </c>
      <c r="O60" s="3122" t="s">
        <v>919</v>
      </c>
      <c r="P60" s="3122" t="s">
        <v>801</v>
      </c>
      <c r="Q60" s="3122"/>
      <c r="R60" s="3139">
        <f t="shared" si="57"/>
        <v>2.4500000000000002</v>
      </c>
      <c r="S60" s="3137">
        <v>45054</v>
      </c>
      <c r="T60" s="3137">
        <v>47975</v>
      </c>
      <c r="U60" s="3137">
        <f t="shared" ref="U60:U62" si="64">S60+3*365</f>
        <v>46149</v>
      </c>
      <c r="V60" s="3138">
        <f t="shared" si="59"/>
        <v>74.52</v>
      </c>
      <c r="W60" s="3137">
        <f t="shared" ref="W60:W62" si="65">U60+365</f>
        <v>46514</v>
      </c>
      <c r="X60" s="3140">
        <f t="shared" ref="X60:X62" si="66">V60*1.03</f>
        <v>76.755600000000001</v>
      </c>
      <c r="Y60" s="3137">
        <f t="shared" ref="Y60:Y62" si="67">W60+365+1</f>
        <v>46880</v>
      </c>
      <c r="Z60" s="3140">
        <f t="shared" ref="Z60:Z62" si="68">X60*1.03</f>
        <v>79.058267999999998</v>
      </c>
      <c r="AA60" s="3137">
        <f t="shared" ref="AA60:AA62" si="69">Y60+365</f>
        <v>47245</v>
      </c>
      <c r="AB60" s="3140">
        <f t="shared" ref="AB60:AB62" si="70">Z60*1.03</f>
        <v>81.430016039999998</v>
      </c>
      <c r="AC60" s="3137">
        <f t="shared" ref="AC60:AC62" si="71">AA60+365</f>
        <v>47610</v>
      </c>
      <c r="AD60" s="3140">
        <f t="shared" ref="AD60:AD62" si="72">AB60*1.03</f>
        <v>83.872916521199997</v>
      </c>
      <c r="AE60" s="3137">
        <f t="shared" ref="AE60:AE62" si="73">AC60+365</f>
        <v>47975</v>
      </c>
      <c r="AF60" s="3140">
        <f t="shared" ref="AF60:AF62" si="74">AD60*1.03</f>
        <v>86.389104016836001</v>
      </c>
    </row>
    <row r="61" spans="1:32" ht="49.5">
      <c r="A61" s="3120">
        <v>199</v>
      </c>
      <c r="B61" s="3122" t="s">
        <v>912</v>
      </c>
      <c r="C61" s="3122" t="s">
        <v>939</v>
      </c>
      <c r="D61" s="3122" t="s">
        <v>946</v>
      </c>
      <c r="E61" s="3123" t="s">
        <v>915</v>
      </c>
      <c r="F61" s="3122">
        <v>258.27</v>
      </c>
      <c r="G61" s="3122">
        <v>90</v>
      </c>
      <c r="H61" s="3122">
        <v>258.27</v>
      </c>
      <c r="I61" s="3123" t="s">
        <v>916</v>
      </c>
      <c r="J61" s="3122">
        <v>74.52</v>
      </c>
      <c r="K61" s="3128" t="s">
        <v>917</v>
      </c>
      <c r="L61" s="3122" t="s">
        <v>918</v>
      </c>
      <c r="M61" s="3122">
        <f t="shared" si="50"/>
        <v>1.92462804</v>
      </c>
      <c r="N61" s="3122">
        <f t="shared" si="31"/>
        <v>23.09553648</v>
      </c>
      <c r="O61" s="3122" t="s">
        <v>919</v>
      </c>
      <c r="P61" s="3122" t="s">
        <v>801</v>
      </c>
      <c r="Q61" s="3122"/>
      <c r="R61" s="3139">
        <f t="shared" si="57"/>
        <v>2.4500000000000002</v>
      </c>
      <c r="S61" s="3137">
        <v>45054</v>
      </c>
      <c r="T61" s="3137">
        <v>47975</v>
      </c>
      <c r="U61" s="3137">
        <f t="shared" si="64"/>
        <v>46149</v>
      </c>
      <c r="V61" s="3138">
        <f t="shared" si="59"/>
        <v>74.52</v>
      </c>
      <c r="W61" s="3137">
        <f t="shared" si="65"/>
        <v>46514</v>
      </c>
      <c r="X61" s="3140">
        <f t="shared" si="66"/>
        <v>76.755600000000001</v>
      </c>
      <c r="Y61" s="3137">
        <f t="shared" si="67"/>
        <v>46880</v>
      </c>
      <c r="Z61" s="3140">
        <f t="shared" si="68"/>
        <v>79.058267999999998</v>
      </c>
      <c r="AA61" s="3137">
        <f t="shared" si="69"/>
        <v>47245</v>
      </c>
      <c r="AB61" s="3140">
        <f t="shared" si="70"/>
        <v>81.430016039999998</v>
      </c>
      <c r="AC61" s="3137">
        <f t="shared" si="71"/>
        <v>47610</v>
      </c>
      <c r="AD61" s="3140">
        <f t="shared" si="72"/>
        <v>83.872916521199997</v>
      </c>
      <c r="AE61" s="3137">
        <f t="shared" si="73"/>
        <v>47975</v>
      </c>
      <c r="AF61" s="3140">
        <f t="shared" si="74"/>
        <v>86.389104016836001</v>
      </c>
    </row>
    <row r="62" spans="1:32" ht="49.5">
      <c r="A62" s="3120">
        <v>200</v>
      </c>
      <c r="B62" s="3122" t="s">
        <v>912</v>
      </c>
      <c r="C62" s="3122" t="s">
        <v>939</v>
      </c>
      <c r="D62" s="3122" t="s">
        <v>947</v>
      </c>
      <c r="E62" s="3123" t="s">
        <v>915</v>
      </c>
      <c r="F62" s="3122">
        <v>275.27999999999997</v>
      </c>
      <c r="G62" s="3122">
        <v>90</v>
      </c>
      <c r="H62" s="3122">
        <v>275.27999999999997</v>
      </c>
      <c r="I62" s="3123" t="s">
        <v>916</v>
      </c>
      <c r="J62" s="3122">
        <v>74.52</v>
      </c>
      <c r="K62" s="3128" t="s">
        <v>917</v>
      </c>
      <c r="L62" s="3122" t="s">
        <v>918</v>
      </c>
      <c r="M62" s="3122">
        <f t="shared" si="50"/>
        <v>2.0513865600000001</v>
      </c>
      <c r="N62" s="3122">
        <f t="shared" si="31"/>
        <v>24.616638720000001</v>
      </c>
      <c r="O62" s="3122" t="s">
        <v>919</v>
      </c>
      <c r="P62" s="3122" t="s">
        <v>801</v>
      </c>
      <c r="Q62" s="3122"/>
      <c r="R62" s="3139">
        <f t="shared" si="57"/>
        <v>2.4500000000000002</v>
      </c>
      <c r="S62" s="3137">
        <v>45054</v>
      </c>
      <c r="T62" s="3137">
        <v>47975</v>
      </c>
      <c r="U62" s="3137">
        <f t="shared" si="64"/>
        <v>46149</v>
      </c>
      <c r="V62" s="3138">
        <f t="shared" si="59"/>
        <v>74.52</v>
      </c>
      <c r="W62" s="3137">
        <f t="shared" si="65"/>
        <v>46514</v>
      </c>
      <c r="X62" s="3140">
        <f t="shared" si="66"/>
        <v>76.755600000000001</v>
      </c>
      <c r="Y62" s="3137">
        <f t="shared" si="67"/>
        <v>46880</v>
      </c>
      <c r="Z62" s="3140">
        <f t="shared" si="68"/>
        <v>79.058267999999998</v>
      </c>
      <c r="AA62" s="3137">
        <f t="shared" si="69"/>
        <v>47245</v>
      </c>
      <c r="AB62" s="3140">
        <f t="shared" si="70"/>
        <v>81.430016039999998</v>
      </c>
      <c r="AC62" s="3137">
        <f t="shared" si="71"/>
        <v>47610</v>
      </c>
      <c r="AD62" s="3140">
        <f t="shared" si="72"/>
        <v>83.872916521199997</v>
      </c>
      <c r="AE62" s="3137">
        <f t="shared" si="73"/>
        <v>47975</v>
      </c>
      <c r="AF62" s="3140">
        <f t="shared" si="74"/>
        <v>86.389104016836001</v>
      </c>
    </row>
    <row r="63" spans="1:32" ht="49.5">
      <c r="A63" s="3120">
        <v>177</v>
      </c>
      <c r="B63" s="3122" t="s">
        <v>912</v>
      </c>
      <c r="C63" s="3122" t="s">
        <v>939</v>
      </c>
      <c r="D63" s="3122" t="s">
        <v>948</v>
      </c>
      <c r="E63" s="3123" t="s">
        <v>915</v>
      </c>
      <c r="F63" s="3122">
        <v>77.510000000000005</v>
      </c>
      <c r="G63" s="3122">
        <v>90</v>
      </c>
      <c r="H63" s="3122">
        <v>77.510000000000005</v>
      </c>
      <c r="I63" s="3123" t="s">
        <v>941</v>
      </c>
      <c r="J63" s="3122">
        <v>70</v>
      </c>
      <c r="K63" s="3122" t="s">
        <v>949</v>
      </c>
      <c r="L63" s="3122" t="s">
        <v>904</v>
      </c>
      <c r="M63" s="3122">
        <f t="shared" si="50"/>
        <v>0.54257</v>
      </c>
      <c r="N63" s="3122">
        <f t="shared" si="31"/>
        <v>6.51084</v>
      </c>
      <c r="O63" s="3122" t="s">
        <v>919</v>
      </c>
      <c r="P63" s="3122" t="s">
        <v>801</v>
      </c>
      <c r="Q63" s="3122"/>
      <c r="R63" s="3139">
        <f t="shared" si="57"/>
        <v>2.2999999999999998</v>
      </c>
      <c r="S63" s="3137">
        <v>45036</v>
      </c>
      <c r="T63" s="3137">
        <v>47957</v>
      </c>
      <c r="U63" s="3137">
        <f t="shared" ref="U63:U64" si="75">S63+2*365</f>
        <v>45766</v>
      </c>
      <c r="V63" s="3138">
        <f t="shared" si="59"/>
        <v>70</v>
      </c>
      <c r="W63" s="3137">
        <f t="shared" ref="W63:W64" si="76">U63+365*2</f>
        <v>46496</v>
      </c>
      <c r="X63" s="3140">
        <f>V63*1.06</f>
        <v>74.2</v>
      </c>
      <c r="Y63" s="3137">
        <f t="shared" ref="Y63:Y64" si="77">T63</f>
        <v>47957</v>
      </c>
      <c r="Z63" s="3140">
        <f>X63*1.06</f>
        <v>78.652000000000001</v>
      </c>
    </row>
    <row r="64" spans="1:32" ht="49.5">
      <c r="A64" s="3120">
        <v>178</v>
      </c>
      <c r="B64" s="3122" t="s">
        <v>912</v>
      </c>
      <c r="C64" s="3122" t="s">
        <v>939</v>
      </c>
      <c r="D64" s="3122" t="s">
        <v>950</v>
      </c>
      <c r="E64" s="3123" t="s">
        <v>915</v>
      </c>
      <c r="F64" s="3122">
        <v>360.82</v>
      </c>
      <c r="G64" s="3122">
        <v>90</v>
      </c>
      <c r="H64" s="3122">
        <v>360.82</v>
      </c>
      <c r="I64" s="3123" t="s">
        <v>941</v>
      </c>
      <c r="J64" s="3122">
        <v>70</v>
      </c>
      <c r="K64" s="3122" t="s">
        <v>949</v>
      </c>
      <c r="L64" s="3122" t="s">
        <v>904</v>
      </c>
      <c r="M64" s="3122">
        <f t="shared" si="50"/>
        <v>2.5257399999999999</v>
      </c>
      <c r="N64" s="3122">
        <f t="shared" si="31"/>
        <v>30.308879999999998</v>
      </c>
      <c r="O64" s="3122" t="s">
        <v>919</v>
      </c>
      <c r="P64" s="3122" t="s">
        <v>801</v>
      </c>
      <c r="Q64" s="3122"/>
      <c r="R64" s="3139">
        <f t="shared" si="57"/>
        <v>2.2999999999999998</v>
      </c>
      <c r="S64" s="3137">
        <v>45036</v>
      </c>
      <c r="T64" s="3137">
        <v>47957</v>
      </c>
      <c r="U64" s="3137">
        <f t="shared" si="75"/>
        <v>45766</v>
      </c>
      <c r="V64" s="3138">
        <f t="shared" si="59"/>
        <v>70</v>
      </c>
      <c r="W64" s="3137">
        <f t="shared" si="76"/>
        <v>46496</v>
      </c>
      <c r="X64" s="3140">
        <f>V64*1.06</f>
        <v>74.2</v>
      </c>
      <c r="Y64" s="3137">
        <f t="shared" si="77"/>
        <v>47957</v>
      </c>
      <c r="Z64" s="3140">
        <f>X64*1.06</f>
        <v>78.652000000000001</v>
      </c>
    </row>
    <row r="65" spans="1:40" ht="18.600000000000001" customHeight="1">
      <c r="A65" s="3120">
        <v>201</v>
      </c>
      <c r="B65" s="3122" t="s">
        <v>912</v>
      </c>
      <c r="C65" s="3122" t="s">
        <v>939</v>
      </c>
      <c r="D65" s="3122" t="s">
        <v>951</v>
      </c>
      <c r="E65" s="3123" t="s">
        <v>915</v>
      </c>
      <c r="F65" s="3122">
        <v>45.14</v>
      </c>
      <c r="G65" s="3122">
        <v>90</v>
      </c>
      <c r="H65" s="3122">
        <v>45.14</v>
      </c>
      <c r="I65" s="3123" t="s">
        <v>916</v>
      </c>
      <c r="J65" s="3122">
        <v>74.52</v>
      </c>
      <c r="K65" s="3128" t="s">
        <v>917</v>
      </c>
      <c r="L65" s="3122" t="s">
        <v>918</v>
      </c>
      <c r="M65" s="3122">
        <f t="shared" si="50"/>
        <v>0.33638328000000001</v>
      </c>
      <c r="N65" s="3122">
        <f t="shared" si="31"/>
        <v>4.0365993600000003</v>
      </c>
      <c r="O65" s="3122" t="s">
        <v>919</v>
      </c>
      <c r="P65" s="3122" t="s">
        <v>801</v>
      </c>
      <c r="Q65" s="3122"/>
      <c r="R65" s="3139">
        <f t="shared" si="57"/>
        <v>2.4500000000000002</v>
      </c>
      <c r="S65" s="3137">
        <v>45054</v>
      </c>
      <c r="T65" s="3137">
        <v>47975</v>
      </c>
      <c r="U65" s="3137">
        <f t="shared" ref="U65" si="78">S65+3*365</f>
        <v>46149</v>
      </c>
      <c r="V65" s="3138">
        <f t="shared" si="59"/>
        <v>74.52</v>
      </c>
      <c r="W65" s="3137">
        <f t="shared" ref="W65" si="79">U65+365</f>
        <v>46514</v>
      </c>
      <c r="X65" s="3140">
        <f t="shared" ref="X65" si="80">V65*1.03</f>
        <v>76.755600000000001</v>
      </c>
      <c r="Y65" s="3137">
        <f t="shared" ref="Y65" si="81">W65+365+1</f>
        <v>46880</v>
      </c>
      <c r="Z65" s="3140">
        <f t="shared" ref="Z65" si="82">X65*1.03</f>
        <v>79.058267999999998</v>
      </c>
      <c r="AA65" s="3137">
        <f t="shared" ref="AA65" si="83">Y65+365</f>
        <v>47245</v>
      </c>
      <c r="AB65" s="3140">
        <f t="shared" ref="AB65" si="84">Z65*1.03</f>
        <v>81.430016039999998</v>
      </c>
      <c r="AC65" s="3137">
        <f t="shared" ref="AC65" si="85">AA65+365</f>
        <v>47610</v>
      </c>
      <c r="AD65" s="3140">
        <f t="shared" ref="AD65" si="86">AB65*1.03</f>
        <v>83.872916521199997</v>
      </c>
      <c r="AE65" s="3137">
        <f t="shared" ref="AE65" si="87">AC65+365</f>
        <v>47975</v>
      </c>
      <c r="AF65" s="3140">
        <f t="shared" ref="AF65" si="88">AD65*1.03</f>
        <v>86.389104016836001</v>
      </c>
    </row>
    <row r="66" spans="1:40" ht="18.600000000000001" customHeight="1">
      <c r="A66" s="3120">
        <v>130</v>
      </c>
      <c r="B66" s="3122" t="s">
        <v>912</v>
      </c>
      <c r="C66" s="3122" t="s">
        <v>939</v>
      </c>
      <c r="D66" s="3122" t="s">
        <v>937</v>
      </c>
      <c r="E66" s="3123" t="s">
        <v>915</v>
      </c>
      <c r="F66" s="3122">
        <v>598.91999999999996</v>
      </c>
      <c r="G66" s="3122">
        <v>60</v>
      </c>
      <c r="H66" s="3122">
        <v>598.91999999999996</v>
      </c>
      <c r="I66" s="3123" t="s">
        <v>952</v>
      </c>
      <c r="J66" s="3122">
        <v>70</v>
      </c>
      <c r="K66" s="3122" t="s">
        <v>953</v>
      </c>
      <c r="L66" s="3122" t="s">
        <v>799</v>
      </c>
      <c r="M66" s="3122">
        <f t="shared" si="50"/>
        <v>4.1924400000000004</v>
      </c>
      <c r="N66" s="3122">
        <f t="shared" si="31"/>
        <v>50.309280000000001</v>
      </c>
      <c r="O66" s="3122" t="s">
        <v>824</v>
      </c>
      <c r="P66" s="3122" t="s">
        <v>801</v>
      </c>
      <c r="Q66" s="3122"/>
      <c r="R66" s="3139">
        <f t="shared" si="57"/>
        <v>2.2999999999999998</v>
      </c>
      <c r="S66" s="3137">
        <v>45016</v>
      </c>
      <c r="T66" s="3137">
        <v>46842</v>
      </c>
      <c r="U66" s="3137">
        <f t="shared" ref="U66:U75" si="89">S66+2*365</f>
        <v>45746</v>
      </c>
      <c r="V66" s="3138">
        <f t="shared" si="59"/>
        <v>70</v>
      </c>
      <c r="W66" s="3137">
        <f t="shared" ref="W66:W75" si="90">U66+365*2</f>
        <v>46476</v>
      </c>
      <c r="X66" s="3140">
        <f t="shared" ref="X66:X75" si="91">V66*1.05</f>
        <v>73.5</v>
      </c>
      <c r="Y66" s="3137">
        <f t="shared" ref="Y66:Y75" si="92">T66</f>
        <v>46842</v>
      </c>
      <c r="Z66" s="3140">
        <f t="shared" ref="Z66:Z75" si="93">X66*1.05</f>
        <v>77.174999999999997</v>
      </c>
    </row>
    <row r="67" spans="1:40" ht="18.600000000000001" customHeight="1">
      <c r="A67" s="3120">
        <v>131</v>
      </c>
      <c r="B67" s="3122" t="s">
        <v>912</v>
      </c>
      <c r="C67" s="3122" t="s">
        <v>939</v>
      </c>
      <c r="D67" s="3122" t="s">
        <v>938</v>
      </c>
      <c r="E67" s="3123" t="s">
        <v>915</v>
      </c>
      <c r="F67" s="3122">
        <v>629.75</v>
      </c>
      <c r="G67" s="3122">
        <v>60</v>
      </c>
      <c r="H67" s="3122">
        <v>629.75</v>
      </c>
      <c r="I67" s="3123" t="s">
        <v>952</v>
      </c>
      <c r="J67" s="3122">
        <v>70</v>
      </c>
      <c r="K67" s="3122" t="s">
        <v>953</v>
      </c>
      <c r="L67" s="3122" t="s">
        <v>799</v>
      </c>
      <c r="M67" s="3122">
        <f t="shared" si="50"/>
        <v>4.4082499999999998</v>
      </c>
      <c r="N67" s="3122">
        <f t="shared" si="31"/>
        <v>52.899000000000001</v>
      </c>
      <c r="O67" s="3122" t="s">
        <v>824</v>
      </c>
      <c r="P67" s="3122" t="s">
        <v>801</v>
      </c>
      <c r="Q67" s="3122"/>
      <c r="R67" s="3139">
        <f t="shared" si="57"/>
        <v>2.2999999999999998</v>
      </c>
      <c r="S67" s="3137">
        <v>45016</v>
      </c>
      <c r="T67" s="3137">
        <v>46842</v>
      </c>
      <c r="U67" s="3137">
        <f t="shared" si="89"/>
        <v>45746</v>
      </c>
      <c r="V67" s="3138">
        <f t="shared" si="59"/>
        <v>70</v>
      </c>
      <c r="W67" s="3137">
        <f t="shared" si="90"/>
        <v>46476</v>
      </c>
      <c r="X67" s="3140">
        <f t="shared" si="91"/>
        <v>73.5</v>
      </c>
      <c r="Y67" s="3137">
        <f t="shared" si="92"/>
        <v>46842</v>
      </c>
      <c r="Z67" s="3140">
        <f t="shared" si="93"/>
        <v>77.174999999999997</v>
      </c>
    </row>
    <row r="68" spans="1:40" ht="18.600000000000001" customHeight="1">
      <c r="A68" s="3120">
        <v>132</v>
      </c>
      <c r="B68" s="3122" t="s">
        <v>912</v>
      </c>
      <c r="C68" s="3122" t="s">
        <v>939</v>
      </c>
      <c r="D68" s="3122" t="s">
        <v>932</v>
      </c>
      <c r="E68" s="3123" t="s">
        <v>915</v>
      </c>
      <c r="F68" s="3122">
        <v>602.16</v>
      </c>
      <c r="G68" s="3122">
        <v>60</v>
      </c>
      <c r="H68" s="3122">
        <v>602.16</v>
      </c>
      <c r="I68" s="3123" t="s">
        <v>952</v>
      </c>
      <c r="J68" s="3122">
        <v>70</v>
      </c>
      <c r="K68" s="3122" t="s">
        <v>953</v>
      </c>
      <c r="L68" s="3122" t="s">
        <v>799</v>
      </c>
      <c r="M68" s="3122">
        <f t="shared" si="50"/>
        <v>4.2151199999999998</v>
      </c>
      <c r="N68" s="3122">
        <f t="shared" si="31"/>
        <v>50.581440000000001</v>
      </c>
      <c r="O68" s="3122" t="s">
        <v>824</v>
      </c>
      <c r="P68" s="3122" t="s">
        <v>801</v>
      </c>
      <c r="Q68" s="3122"/>
      <c r="R68" s="3139">
        <f t="shared" si="57"/>
        <v>2.2999999999999998</v>
      </c>
      <c r="S68" s="3137">
        <v>45016</v>
      </c>
      <c r="T68" s="3137">
        <v>46842</v>
      </c>
      <c r="U68" s="3137">
        <f t="shared" si="89"/>
        <v>45746</v>
      </c>
      <c r="V68" s="3138">
        <f t="shared" si="59"/>
        <v>70</v>
      </c>
      <c r="W68" s="3137">
        <f t="shared" si="90"/>
        <v>46476</v>
      </c>
      <c r="X68" s="3140">
        <f t="shared" si="91"/>
        <v>73.5</v>
      </c>
      <c r="Y68" s="3137">
        <f t="shared" si="92"/>
        <v>46842</v>
      </c>
      <c r="Z68" s="3140">
        <f t="shared" si="93"/>
        <v>77.174999999999997</v>
      </c>
    </row>
    <row r="69" spans="1:40" ht="18.600000000000001" customHeight="1">
      <c r="A69" s="3120">
        <v>133</v>
      </c>
      <c r="B69" s="3122" t="s">
        <v>912</v>
      </c>
      <c r="C69" s="3122" t="s">
        <v>939</v>
      </c>
      <c r="D69" s="3122" t="s">
        <v>934</v>
      </c>
      <c r="E69" s="3123" t="s">
        <v>915</v>
      </c>
      <c r="F69" s="3122">
        <v>629.75</v>
      </c>
      <c r="G69" s="3122">
        <v>60</v>
      </c>
      <c r="H69" s="3122">
        <v>629.75</v>
      </c>
      <c r="I69" s="3123" t="s">
        <v>952</v>
      </c>
      <c r="J69" s="3122">
        <v>70</v>
      </c>
      <c r="K69" s="3122" t="s">
        <v>953</v>
      </c>
      <c r="L69" s="3122" t="s">
        <v>799</v>
      </c>
      <c r="M69" s="3122">
        <f t="shared" si="50"/>
        <v>4.4082499999999998</v>
      </c>
      <c r="N69" s="3122">
        <f t="shared" si="31"/>
        <v>52.899000000000001</v>
      </c>
      <c r="O69" s="3122" t="s">
        <v>824</v>
      </c>
      <c r="P69" s="3122" t="s">
        <v>801</v>
      </c>
      <c r="Q69" s="3122"/>
      <c r="R69" s="3139">
        <f t="shared" si="57"/>
        <v>2.2999999999999998</v>
      </c>
      <c r="S69" s="3137">
        <v>45016</v>
      </c>
      <c r="T69" s="3137">
        <v>46842</v>
      </c>
      <c r="U69" s="3137">
        <f t="shared" si="89"/>
        <v>45746</v>
      </c>
      <c r="V69" s="3138">
        <f t="shared" si="59"/>
        <v>70</v>
      </c>
      <c r="W69" s="3137">
        <f t="shared" si="90"/>
        <v>46476</v>
      </c>
      <c r="X69" s="3140">
        <f t="shared" si="91"/>
        <v>73.5</v>
      </c>
      <c r="Y69" s="3137">
        <f t="shared" si="92"/>
        <v>46842</v>
      </c>
      <c r="Z69" s="3140">
        <f t="shared" si="93"/>
        <v>77.174999999999997</v>
      </c>
    </row>
    <row r="70" spans="1:40" ht="18.600000000000001" customHeight="1">
      <c r="A70" s="3120">
        <v>134</v>
      </c>
      <c r="B70" s="3122" t="s">
        <v>912</v>
      </c>
      <c r="C70" s="3122" t="s">
        <v>939</v>
      </c>
      <c r="D70" s="3122" t="s">
        <v>935</v>
      </c>
      <c r="E70" s="3123" t="s">
        <v>915</v>
      </c>
      <c r="F70" s="3122">
        <v>602.16</v>
      </c>
      <c r="G70" s="3122">
        <v>60</v>
      </c>
      <c r="H70" s="3122">
        <v>602.16</v>
      </c>
      <c r="I70" s="3123" t="s">
        <v>952</v>
      </c>
      <c r="J70" s="3122">
        <v>70</v>
      </c>
      <c r="K70" s="3122" t="s">
        <v>953</v>
      </c>
      <c r="L70" s="3122" t="s">
        <v>799</v>
      </c>
      <c r="M70" s="3122">
        <f t="shared" si="50"/>
        <v>4.2151199999999998</v>
      </c>
      <c r="N70" s="3122">
        <f t="shared" si="31"/>
        <v>50.581440000000001</v>
      </c>
      <c r="O70" s="3122" t="s">
        <v>824</v>
      </c>
      <c r="P70" s="3122" t="s">
        <v>801</v>
      </c>
      <c r="Q70" s="3122"/>
      <c r="R70" s="3139">
        <f t="shared" si="57"/>
        <v>2.2999999999999998</v>
      </c>
      <c r="S70" s="3137">
        <v>45016</v>
      </c>
      <c r="T70" s="3137">
        <v>46842</v>
      </c>
      <c r="U70" s="3137">
        <f t="shared" si="89"/>
        <v>45746</v>
      </c>
      <c r="V70" s="3138">
        <f t="shared" si="59"/>
        <v>70</v>
      </c>
      <c r="W70" s="3137">
        <f t="shared" si="90"/>
        <v>46476</v>
      </c>
      <c r="X70" s="3140">
        <f t="shared" si="91"/>
        <v>73.5</v>
      </c>
      <c r="Y70" s="3137">
        <f t="shared" si="92"/>
        <v>46842</v>
      </c>
      <c r="Z70" s="3140">
        <f t="shared" si="93"/>
        <v>77.174999999999997</v>
      </c>
    </row>
    <row r="71" spans="1:40" ht="18.600000000000001" customHeight="1">
      <c r="A71" s="3120">
        <v>135</v>
      </c>
      <c r="B71" s="3122" t="s">
        <v>912</v>
      </c>
      <c r="C71" s="3122" t="s">
        <v>939</v>
      </c>
      <c r="D71" s="3122" t="s">
        <v>936</v>
      </c>
      <c r="E71" s="3123" t="s">
        <v>915</v>
      </c>
      <c r="F71" s="3122">
        <v>629.75</v>
      </c>
      <c r="G71" s="3122">
        <v>60</v>
      </c>
      <c r="H71" s="3122">
        <v>629.75</v>
      </c>
      <c r="I71" s="3123" t="s">
        <v>952</v>
      </c>
      <c r="J71" s="3122">
        <v>70</v>
      </c>
      <c r="K71" s="3122" t="s">
        <v>953</v>
      </c>
      <c r="L71" s="3122" t="s">
        <v>799</v>
      </c>
      <c r="M71" s="3122">
        <f t="shared" si="50"/>
        <v>4.4082499999999998</v>
      </c>
      <c r="N71" s="3122">
        <f t="shared" si="31"/>
        <v>52.899000000000001</v>
      </c>
      <c r="O71" s="3122" t="s">
        <v>824</v>
      </c>
      <c r="P71" s="3122" t="s">
        <v>801</v>
      </c>
      <c r="Q71" s="3122"/>
      <c r="R71" s="3139">
        <f t="shared" si="57"/>
        <v>2.2999999999999998</v>
      </c>
      <c r="S71" s="3137">
        <v>45016</v>
      </c>
      <c r="T71" s="3137">
        <v>46842</v>
      </c>
      <c r="U71" s="3137">
        <f t="shared" si="89"/>
        <v>45746</v>
      </c>
      <c r="V71" s="3138">
        <f t="shared" si="59"/>
        <v>70</v>
      </c>
      <c r="W71" s="3137">
        <f t="shared" si="90"/>
        <v>46476</v>
      </c>
      <c r="X71" s="3140">
        <f t="shared" si="91"/>
        <v>73.5</v>
      </c>
      <c r="Y71" s="3137">
        <f t="shared" si="92"/>
        <v>46842</v>
      </c>
      <c r="Z71" s="3140">
        <f t="shared" si="93"/>
        <v>77.174999999999997</v>
      </c>
    </row>
    <row r="72" spans="1:40" ht="18.600000000000001" customHeight="1">
      <c r="A72" s="3120">
        <v>136</v>
      </c>
      <c r="B72" s="3122" t="s">
        <v>912</v>
      </c>
      <c r="C72" s="3122" t="s">
        <v>939</v>
      </c>
      <c r="D72" s="3122" t="s">
        <v>954</v>
      </c>
      <c r="E72" s="3123" t="s">
        <v>915</v>
      </c>
      <c r="F72" s="3122">
        <v>602.16</v>
      </c>
      <c r="G72" s="3122">
        <v>60</v>
      </c>
      <c r="H72" s="3122">
        <v>602.16</v>
      </c>
      <c r="I72" s="3123" t="s">
        <v>952</v>
      </c>
      <c r="J72" s="3122">
        <v>70</v>
      </c>
      <c r="K72" s="3122" t="s">
        <v>953</v>
      </c>
      <c r="L72" s="3122" t="s">
        <v>799</v>
      </c>
      <c r="M72" s="3122">
        <f t="shared" si="50"/>
        <v>4.2151199999999998</v>
      </c>
      <c r="N72" s="3122">
        <f t="shared" si="31"/>
        <v>50.581440000000001</v>
      </c>
      <c r="O72" s="3122" t="s">
        <v>824</v>
      </c>
      <c r="P72" s="3122" t="s">
        <v>801</v>
      </c>
      <c r="Q72" s="3122"/>
      <c r="R72" s="3139">
        <f t="shared" si="57"/>
        <v>2.2999999999999998</v>
      </c>
      <c r="S72" s="3137">
        <v>45016</v>
      </c>
      <c r="T72" s="3137">
        <v>46842</v>
      </c>
      <c r="U72" s="3137">
        <f t="shared" si="89"/>
        <v>45746</v>
      </c>
      <c r="V72" s="3138">
        <f t="shared" si="59"/>
        <v>70</v>
      </c>
      <c r="W72" s="3137">
        <f t="shared" si="90"/>
        <v>46476</v>
      </c>
      <c r="X72" s="3140">
        <f t="shared" si="91"/>
        <v>73.5</v>
      </c>
      <c r="Y72" s="3137">
        <f t="shared" si="92"/>
        <v>46842</v>
      </c>
      <c r="Z72" s="3140">
        <f t="shared" si="93"/>
        <v>77.174999999999997</v>
      </c>
    </row>
    <row r="73" spans="1:40" ht="18.600000000000001" customHeight="1">
      <c r="A73" s="3120">
        <v>137</v>
      </c>
      <c r="B73" s="3122" t="s">
        <v>912</v>
      </c>
      <c r="C73" s="3122" t="s">
        <v>939</v>
      </c>
      <c r="D73" s="3122" t="s">
        <v>955</v>
      </c>
      <c r="E73" s="3123" t="s">
        <v>915</v>
      </c>
      <c r="F73" s="3122">
        <v>629.75</v>
      </c>
      <c r="G73" s="3122">
        <v>60</v>
      </c>
      <c r="H73" s="3122">
        <v>629.75</v>
      </c>
      <c r="I73" s="3123" t="s">
        <v>952</v>
      </c>
      <c r="J73" s="3122">
        <v>70</v>
      </c>
      <c r="K73" s="3122" t="s">
        <v>953</v>
      </c>
      <c r="L73" s="3122" t="s">
        <v>799</v>
      </c>
      <c r="M73" s="3122">
        <f t="shared" si="50"/>
        <v>4.4082499999999998</v>
      </c>
      <c r="N73" s="3122">
        <f t="shared" si="31"/>
        <v>52.899000000000001</v>
      </c>
      <c r="O73" s="3122" t="s">
        <v>824</v>
      </c>
      <c r="P73" s="3122" t="s">
        <v>801</v>
      </c>
      <c r="Q73" s="3122"/>
      <c r="R73" s="3139">
        <f t="shared" si="57"/>
        <v>2.2999999999999998</v>
      </c>
      <c r="S73" s="3137">
        <v>45016</v>
      </c>
      <c r="T73" s="3137">
        <v>46842</v>
      </c>
      <c r="U73" s="3137">
        <f t="shared" si="89"/>
        <v>45746</v>
      </c>
      <c r="V73" s="3138">
        <f t="shared" si="59"/>
        <v>70</v>
      </c>
      <c r="W73" s="3137">
        <f t="shared" si="90"/>
        <v>46476</v>
      </c>
      <c r="X73" s="3140">
        <f t="shared" si="91"/>
        <v>73.5</v>
      </c>
      <c r="Y73" s="3137">
        <f t="shared" si="92"/>
        <v>46842</v>
      </c>
      <c r="Z73" s="3140">
        <f t="shared" si="93"/>
        <v>77.174999999999997</v>
      </c>
    </row>
    <row r="74" spans="1:40" ht="18.600000000000001" customHeight="1">
      <c r="A74" s="3120">
        <v>138</v>
      </c>
      <c r="B74" s="3122" t="s">
        <v>912</v>
      </c>
      <c r="C74" s="3122" t="s">
        <v>939</v>
      </c>
      <c r="D74" s="3122" t="s">
        <v>956</v>
      </c>
      <c r="E74" s="3123" t="s">
        <v>915</v>
      </c>
      <c r="F74" s="3122">
        <v>503.39</v>
      </c>
      <c r="G74" s="3122">
        <v>60</v>
      </c>
      <c r="H74" s="3122">
        <v>503.39</v>
      </c>
      <c r="I74" s="3123" t="s">
        <v>952</v>
      </c>
      <c r="J74" s="3122">
        <v>70</v>
      </c>
      <c r="K74" s="3122" t="s">
        <v>953</v>
      </c>
      <c r="L74" s="3122" t="s">
        <v>799</v>
      </c>
      <c r="M74" s="3122">
        <f t="shared" si="50"/>
        <v>3.52373</v>
      </c>
      <c r="N74" s="3122">
        <f t="shared" si="31"/>
        <v>42.284759999999999</v>
      </c>
      <c r="O74" s="3122" t="s">
        <v>824</v>
      </c>
      <c r="P74" s="3122" t="s">
        <v>801</v>
      </c>
      <c r="Q74" s="3122"/>
      <c r="R74" s="3139">
        <f t="shared" si="57"/>
        <v>2.2999999999999998</v>
      </c>
      <c r="S74" s="3137">
        <v>45016</v>
      </c>
      <c r="T74" s="3137">
        <v>46842</v>
      </c>
      <c r="U74" s="3137">
        <f t="shared" si="89"/>
        <v>45746</v>
      </c>
      <c r="V74" s="3138">
        <f t="shared" si="59"/>
        <v>70</v>
      </c>
      <c r="W74" s="3137">
        <f t="shared" si="90"/>
        <v>46476</v>
      </c>
      <c r="X74" s="3140">
        <f t="shared" si="91"/>
        <v>73.5</v>
      </c>
      <c r="Y74" s="3137">
        <f t="shared" si="92"/>
        <v>46842</v>
      </c>
      <c r="Z74" s="3140">
        <f t="shared" si="93"/>
        <v>77.174999999999997</v>
      </c>
    </row>
    <row r="75" spans="1:40" ht="18.600000000000001" customHeight="1">
      <c r="A75" s="3120">
        <v>139</v>
      </c>
      <c r="B75" s="3122" t="s">
        <v>912</v>
      </c>
      <c r="C75" s="3122" t="s">
        <v>939</v>
      </c>
      <c r="D75" s="3122" t="s">
        <v>957</v>
      </c>
      <c r="E75" s="3123" t="s">
        <v>915</v>
      </c>
      <c r="F75" s="3122">
        <v>501.41</v>
      </c>
      <c r="G75" s="3122">
        <v>60</v>
      </c>
      <c r="H75" s="3122">
        <v>501.41</v>
      </c>
      <c r="I75" s="3123" t="s">
        <v>952</v>
      </c>
      <c r="J75" s="3122">
        <v>70</v>
      </c>
      <c r="K75" s="3122" t="s">
        <v>953</v>
      </c>
      <c r="L75" s="3122" t="s">
        <v>799</v>
      </c>
      <c r="M75" s="3122">
        <f t="shared" si="50"/>
        <v>3.5098699999999998</v>
      </c>
      <c r="N75" s="3122">
        <f t="shared" si="31"/>
        <v>42.11844</v>
      </c>
      <c r="O75" s="3122" t="s">
        <v>824</v>
      </c>
      <c r="P75" s="3122" t="s">
        <v>801</v>
      </c>
      <c r="Q75" s="3122"/>
      <c r="R75" s="3139">
        <f t="shared" si="57"/>
        <v>2.2999999999999998</v>
      </c>
      <c r="S75" s="3137">
        <v>45016</v>
      </c>
      <c r="T75" s="3137">
        <v>46842</v>
      </c>
      <c r="U75" s="3137">
        <f t="shared" si="89"/>
        <v>45746</v>
      </c>
      <c r="V75" s="3138">
        <f t="shared" si="59"/>
        <v>70</v>
      </c>
      <c r="W75" s="3137">
        <f t="shared" si="90"/>
        <v>46476</v>
      </c>
      <c r="X75" s="3140">
        <f t="shared" si="91"/>
        <v>73.5</v>
      </c>
      <c r="Y75" s="3137">
        <f t="shared" si="92"/>
        <v>46842</v>
      </c>
      <c r="Z75" s="3140">
        <f t="shared" si="93"/>
        <v>77.174999999999997</v>
      </c>
    </row>
    <row r="76" spans="1:40" ht="18.600000000000001" customHeight="1">
      <c r="A76" s="3120">
        <v>188</v>
      </c>
      <c r="B76" s="3122" t="s">
        <v>912</v>
      </c>
      <c r="C76" s="3122" t="s">
        <v>939</v>
      </c>
      <c r="D76" s="3122" t="s">
        <v>958</v>
      </c>
      <c r="E76" s="3123" t="s">
        <v>915</v>
      </c>
      <c r="F76" s="3122">
        <v>223.11</v>
      </c>
      <c r="G76" s="3122">
        <v>120</v>
      </c>
      <c r="H76" s="3122">
        <v>223.11</v>
      </c>
      <c r="I76" s="3123" t="s">
        <v>959</v>
      </c>
      <c r="J76" s="3122">
        <v>110</v>
      </c>
      <c r="K76" s="3122" t="s">
        <v>960</v>
      </c>
      <c r="L76" s="3122" t="s">
        <v>823</v>
      </c>
      <c r="M76" s="3122">
        <f t="shared" si="50"/>
        <v>2.4542099999999998</v>
      </c>
      <c r="N76" s="3122">
        <f t="shared" si="31"/>
        <v>29.450520000000001</v>
      </c>
      <c r="O76" s="3122" t="s">
        <v>919</v>
      </c>
      <c r="P76" s="3122" t="s">
        <v>801</v>
      </c>
      <c r="Q76" s="3122"/>
      <c r="R76" s="3139">
        <f t="shared" si="57"/>
        <v>3.62</v>
      </c>
      <c r="S76" s="3137">
        <v>45019</v>
      </c>
      <c r="T76" s="3137">
        <v>49401</v>
      </c>
      <c r="U76" s="3137">
        <f t="shared" ref="U76:U78" si="94">S76+3*365</f>
        <v>46114</v>
      </c>
      <c r="V76" s="3138">
        <f t="shared" si="59"/>
        <v>110</v>
      </c>
      <c r="W76" s="3137">
        <f t="shared" ref="W76:W78" si="95">U76+365</f>
        <v>46479</v>
      </c>
      <c r="X76" s="3140">
        <f t="shared" ref="X76:X78" si="96">V76*1.03</f>
        <v>113.3</v>
      </c>
      <c r="Y76" s="3137">
        <f t="shared" ref="Y76:Y78" si="97">W76+365+1</f>
        <v>46845</v>
      </c>
      <c r="Z76" s="3140">
        <f t="shared" ref="Z76:Z78" si="98">X76*1.03</f>
        <v>116.699</v>
      </c>
      <c r="AA76" s="3137">
        <f t="shared" ref="AA76:AA78" si="99">Y76+365</f>
        <v>47210</v>
      </c>
      <c r="AB76" s="3140">
        <f t="shared" ref="AB76:AB78" si="100">Z76*1.03</f>
        <v>120.19996999999999</v>
      </c>
      <c r="AC76" s="3137">
        <f t="shared" ref="AC76:AC78" si="101">AA76+365</f>
        <v>47575</v>
      </c>
      <c r="AD76" s="3140">
        <f t="shared" ref="AD76:AD78" si="102">AB76*1.03</f>
        <v>123.8059691</v>
      </c>
      <c r="AE76" s="3137">
        <f t="shared" ref="AE76:AE78" si="103">AC76+365</f>
        <v>47940</v>
      </c>
      <c r="AF76" s="3140">
        <f t="shared" ref="AF76:AF78" si="104">AD76*1.03</f>
        <v>127.520148173</v>
      </c>
      <c r="AG76" s="3137">
        <f>AE76+365+1</f>
        <v>48306</v>
      </c>
      <c r="AH76" s="3140">
        <f t="shared" ref="AH76" si="105">AF76*1.03</f>
        <v>131.34575261819001</v>
      </c>
      <c r="AI76" s="3137">
        <f t="shared" ref="AI76" si="106">AG76+365</f>
        <v>48671</v>
      </c>
      <c r="AJ76" s="3140">
        <f t="shared" ref="AJ76" si="107">AH76*1.03</f>
        <v>135.28612519673601</v>
      </c>
      <c r="AK76" s="3137">
        <f t="shared" ref="AK76" si="108">AI76+365</f>
        <v>49036</v>
      </c>
      <c r="AL76" s="3140">
        <f t="shared" ref="AL76" si="109">AJ76*1.03</f>
        <v>139.344708952638</v>
      </c>
      <c r="AM76" s="3137">
        <f t="shared" ref="AM76" si="110">AK76+365</f>
        <v>49401</v>
      </c>
      <c r="AN76" s="3140">
        <f t="shared" ref="AN76" si="111">AL76*1.03</f>
        <v>143.52505022121699</v>
      </c>
    </row>
    <row r="77" spans="1:40" ht="18.600000000000001" customHeight="1">
      <c r="A77" s="3120">
        <v>195</v>
      </c>
      <c r="B77" s="3122" t="s">
        <v>912</v>
      </c>
      <c r="C77" s="3122" t="s">
        <v>939</v>
      </c>
      <c r="D77" s="3122" t="s">
        <v>961</v>
      </c>
      <c r="E77" s="3123" t="s">
        <v>915</v>
      </c>
      <c r="F77" s="3122">
        <v>212.63</v>
      </c>
      <c r="G77" s="3122">
        <v>120</v>
      </c>
      <c r="H77" s="3122">
        <v>212.63</v>
      </c>
      <c r="I77" s="3123" t="s">
        <v>916</v>
      </c>
      <c r="J77" s="3122">
        <v>74.52</v>
      </c>
      <c r="K77" s="3128" t="s">
        <v>917</v>
      </c>
      <c r="L77" s="3122" t="s">
        <v>918</v>
      </c>
      <c r="M77" s="3122">
        <f t="shared" si="50"/>
        <v>1.5845187599999999</v>
      </c>
      <c r="N77" s="3122">
        <f t="shared" si="31"/>
        <v>19.014225119999999</v>
      </c>
      <c r="O77" s="3122" t="s">
        <v>919</v>
      </c>
      <c r="P77" s="3122" t="s">
        <v>801</v>
      </c>
      <c r="Q77" s="3122"/>
      <c r="R77" s="3139">
        <f t="shared" si="57"/>
        <v>2.4500000000000002</v>
      </c>
      <c r="S77" s="3137">
        <v>45054</v>
      </c>
      <c r="T77" s="3137">
        <v>47975</v>
      </c>
      <c r="U77" s="3137">
        <f t="shared" si="94"/>
        <v>46149</v>
      </c>
      <c r="V77" s="3138">
        <f t="shared" si="59"/>
        <v>74.52</v>
      </c>
      <c r="W77" s="3137">
        <f t="shared" si="95"/>
        <v>46514</v>
      </c>
      <c r="X77" s="3140">
        <f t="shared" si="96"/>
        <v>76.755600000000001</v>
      </c>
      <c r="Y77" s="3137">
        <f t="shared" si="97"/>
        <v>46880</v>
      </c>
      <c r="Z77" s="3140">
        <f t="shared" si="98"/>
        <v>79.058267999999998</v>
      </c>
      <c r="AA77" s="3137">
        <f t="shared" si="99"/>
        <v>47245</v>
      </c>
      <c r="AB77" s="3140">
        <f t="shared" si="100"/>
        <v>81.430016039999998</v>
      </c>
      <c r="AC77" s="3137">
        <f t="shared" si="101"/>
        <v>47610</v>
      </c>
      <c r="AD77" s="3140">
        <f t="shared" si="102"/>
        <v>83.872916521199997</v>
      </c>
      <c r="AE77" s="3137">
        <f t="shared" si="103"/>
        <v>47975</v>
      </c>
      <c r="AF77" s="3140">
        <f t="shared" si="104"/>
        <v>86.389104016836001</v>
      </c>
    </row>
    <row r="78" spans="1:40" ht="18.600000000000001" customHeight="1">
      <c r="A78" s="3120">
        <v>196</v>
      </c>
      <c r="B78" s="3122" t="s">
        <v>912</v>
      </c>
      <c r="C78" s="3122" t="s">
        <v>939</v>
      </c>
      <c r="D78" s="3122" t="s">
        <v>962</v>
      </c>
      <c r="E78" s="3123" t="s">
        <v>915</v>
      </c>
      <c r="F78" s="3122">
        <v>265.29000000000002</v>
      </c>
      <c r="G78" s="3122">
        <v>120</v>
      </c>
      <c r="H78" s="3122">
        <v>265.29000000000002</v>
      </c>
      <c r="I78" s="3123" t="s">
        <v>916</v>
      </c>
      <c r="J78" s="3122">
        <v>74.52</v>
      </c>
      <c r="K78" s="3128" t="s">
        <v>917</v>
      </c>
      <c r="L78" s="3122" t="s">
        <v>918</v>
      </c>
      <c r="M78" s="3122">
        <f t="shared" si="50"/>
        <v>1.97694108</v>
      </c>
      <c r="N78" s="3122">
        <f t="shared" si="31"/>
        <v>23.723292959999998</v>
      </c>
      <c r="O78" s="3122" t="s">
        <v>919</v>
      </c>
      <c r="P78" s="3122" t="s">
        <v>801</v>
      </c>
      <c r="Q78" s="3122"/>
      <c r="R78" s="3139">
        <f t="shared" si="57"/>
        <v>2.4500000000000002</v>
      </c>
      <c r="S78" s="3137">
        <v>45054</v>
      </c>
      <c r="T78" s="3137">
        <v>47975</v>
      </c>
      <c r="U78" s="3137">
        <f t="shared" si="94"/>
        <v>46149</v>
      </c>
      <c r="V78" s="3138">
        <f t="shared" si="59"/>
        <v>74.52</v>
      </c>
      <c r="W78" s="3137">
        <f t="shared" si="95"/>
        <v>46514</v>
      </c>
      <c r="X78" s="3140">
        <f t="shared" si="96"/>
        <v>76.755600000000001</v>
      </c>
      <c r="Y78" s="3137">
        <f t="shared" si="97"/>
        <v>46880</v>
      </c>
      <c r="Z78" s="3140">
        <f t="shared" si="98"/>
        <v>79.058267999999998</v>
      </c>
      <c r="AA78" s="3137">
        <f t="shared" si="99"/>
        <v>47245</v>
      </c>
      <c r="AB78" s="3140">
        <f t="shared" si="100"/>
        <v>81.430016039999998</v>
      </c>
      <c r="AC78" s="3137">
        <f t="shared" si="101"/>
        <v>47610</v>
      </c>
      <c r="AD78" s="3140">
        <f t="shared" si="102"/>
        <v>83.872916521199997</v>
      </c>
      <c r="AE78" s="3137">
        <f t="shared" si="103"/>
        <v>47975</v>
      </c>
      <c r="AF78" s="3140">
        <f t="shared" si="104"/>
        <v>86.389104016836001</v>
      </c>
    </row>
    <row r="79" spans="1:40" ht="18.600000000000001" customHeight="1">
      <c r="A79" s="3120">
        <v>140</v>
      </c>
      <c r="B79" s="3122" t="s">
        <v>912</v>
      </c>
      <c r="C79" s="3122" t="s">
        <v>963</v>
      </c>
      <c r="D79" s="3122" t="s">
        <v>954</v>
      </c>
      <c r="E79" s="3123" t="s">
        <v>915</v>
      </c>
      <c r="F79" s="3122">
        <v>643.62</v>
      </c>
      <c r="G79" s="3122">
        <v>60</v>
      </c>
      <c r="H79" s="3122">
        <v>643.62</v>
      </c>
      <c r="I79" s="3123" t="s">
        <v>952</v>
      </c>
      <c r="J79" s="3122">
        <v>70</v>
      </c>
      <c r="K79" s="3122" t="s">
        <v>953</v>
      </c>
      <c r="L79" s="3122" t="s">
        <v>799</v>
      </c>
      <c r="M79" s="3122">
        <f t="shared" si="50"/>
        <v>4.5053400000000003</v>
      </c>
      <c r="N79" s="3122">
        <f t="shared" si="31"/>
        <v>54.064079999999997</v>
      </c>
      <c r="O79" s="3122" t="s">
        <v>824</v>
      </c>
      <c r="P79" s="3122" t="s">
        <v>801</v>
      </c>
      <c r="Q79" s="3122"/>
      <c r="R79" s="3139">
        <f t="shared" si="57"/>
        <v>2.2999999999999998</v>
      </c>
      <c r="S79" s="3137">
        <v>45016</v>
      </c>
      <c r="T79" s="3137">
        <v>46842</v>
      </c>
      <c r="U79" s="3137">
        <f t="shared" ref="U79:U84" si="112">S79+2*365</f>
        <v>45746</v>
      </c>
      <c r="V79" s="3138">
        <f t="shared" si="59"/>
        <v>70</v>
      </c>
      <c r="W79" s="3137">
        <f t="shared" ref="W79:W84" si="113">U79+365*2</f>
        <v>46476</v>
      </c>
      <c r="X79" s="3140">
        <f t="shared" ref="X79:X84" si="114">V79*1.05</f>
        <v>73.5</v>
      </c>
      <c r="Y79" s="3137">
        <f t="shared" ref="Y79:Y84" si="115">T79</f>
        <v>46842</v>
      </c>
      <c r="Z79" s="3140">
        <f t="shared" ref="Z79:Z84" si="116">X79*1.05</f>
        <v>77.174999999999997</v>
      </c>
    </row>
    <row r="80" spans="1:40" ht="18.600000000000001" customHeight="1">
      <c r="A80" s="3120">
        <v>141</v>
      </c>
      <c r="B80" s="3122" t="s">
        <v>912</v>
      </c>
      <c r="C80" s="3122" t="s">
        <v>963</v>
      </c>
      <c r="D80" s="3122" t="s">
        <v>955</v>
      </c>
      <c r="E80" s="3123" t="s">
        <v>915</v>
      </c>
      <c r="F80" s="3122">
        <v>643.24</v>
      </c>
      <c r="G80" s="3122">
        <v>60</v>
      </c>
      <c r="H80" s="3122">
        <v>643.24</v>
      </c>
      <c r="I80" s="3123" t="s">
        <v>952</v>
      </c>
      <c r="J80" s="3122">
        <v>70</v>
      </c>
      <c r="K80" s="3122" t="s">
        <v>953</v>
      </c>
      <c r="L80" s="3122" t="s">
        <v>799</v>
      </c>
      <c r="M80" s="3122">
        <f t="shared" si="50"/>
        <v>4.5026799999999998</v>
      </c>
      <c r="N80" s="3122">
        <f t="shared" si="31"/>
        <v>54.032159999999998</v>
      </c>
      <c r="O80" s="3122" t="s">
        <v>824</v>
      </c>
      <c r="P80" s="3122" t="s">
        <v>801</v>
      </c>
      <c r="Q80" s="3122"/>
      <c r="R80" s="3139">
        <f t="shared" si="57"/>
        <v>2.2999999999999998</v>
      </c>
      <c r="S80" s="3137">
        <v>45016</v>
      </c>
      <c r="T80" s="3137">
        <v>46842</v>
      </c>
      <c r="U80" s="3137">
        <f t="shared" si="112"/>
        <v>45746</v>
      </c>
      <c r="V80" s="3138">
        <f t="shared" si="59"/>
        <v>70</v>
      </c>
      <c r="W80" s="3137">
        <f t="shared" si="113"/>
        <v>46476</v>
      </c>
      <c r="X80" s="3140">
        <f t="shared" si="114"/>
        <v>73.5</v>
      </c>
      <c r="Y80" s="3137">
        <f t="shared" si="115"/>
        <v>46842</v>
      </c>
      <c r="Z80" s="3140">
        <f t="shared" si="116"/>
        <v>77.174999999999997</v>
      </c>
    </row>
    <row r="81" spans="1:32" ht="49.5">
      <c r="A81" s="3120">
        <v>142</v>
      </c>
      <c r="B81" s="3122" t="s">
        <v>912</v>
      </c>
      <c r="C81" s="3122" t="s">
        <v>963</v>
      </c>
      <c r="D81" s="3122" t="s">
        <v>956</v>
      </c>
      <c r="E81" s="3123" t="s">
        <v>915</v>
      </c>
      <c r="F81" s="3122">
        <v>527.02</v>
      </c>
      <c r="G81" s="3122">
        <v>60</v>
      </c>
      <c r="H81" s="3122">
        <v>527.02</v>
      </c>
      <c r="I81" s="3123" t="s">
        <v>952</v>
      </c>
      <c r="J81" s="3122">
        <v>70</v>
      </c>
      <c r="K81" s="3122" t="s">
        <v>953</v>
      </c>
      <c r="L81" s="3122" t="s">
        <v>799</v>
      </c>
      <c r="M81" s="3122">
        <f t="shared" si="50"/>
        <v>3.6891400000000001</v>
      </c>
      <c r="N81" s="3122">
        <f t="shared" si="31"/>
        <v>44.269680000000001</v>
      </c>
      <c r="O81" s="3122" t="s">
        <v>824</v>
      </c>
      <c r="P81" s="3122" t="s">
        <v>801</v>
      </c>
      <c r="Q81" s="3122"/>
      <c r="R81" s="3139">
        <f t="shared" si="57"/>
        <v>2.2999999999999998</v>
      </c>
      <c r="S81" s="3137">
        <v>45016</v>
      </c>
      <c r="T81" s="3137">
        <v>46842</v>
      </c>
      <c r="U81" s="3137">
        <f t="shared" si="112"/>
        <v>45746</v>
      </c>
      <c r="V81" s="3138">
        <f t="shared" si="59"/>
        <v>70</v>
      </c>
      <c r="W81" s="3137">
        <f t="shared" si="113"/>
        <v>46476</v>
      </c>
      <c r="X81" s="3140">
        <f t="shared" si="114"/>
        <v>73.5</v>
      </c>
      <c r="Y81" s="3137">
        <f t="shared" si="115"/>
        <v>46842</v>
      </c>
      <c r="Z81" s="3140">
        <f t="shared" si="116"/>
        <v>77.174999999999997</v>
      </c>
    </row>
    <row r="82" spans="1:32" ht="49.5">
      <c r="A82" s="3120">
        <v>143</v>
      </c>
      <c r="B82" s="3122" t="s">
        <v>912</v>
      </c>
      <c r="C82" s="3122" t="s">
        <v>963</v>
      </c>
      <c r="D82" s="3122" t="s">
        <v>957</v>
      </c>
      <c r="E82" s="3123" t="s">
        <v>915</v>
      </c>
      <c r="F82" s="3122">
        <v>528.44000000000005</v>
      </c>
      <c r="G82" s="3122">
        <v>60</v>
      </c>
      <c r="H82" s="3122">
        <v>528.44000000000005</v>
      </c>
      <c r="I82" s="3123" t="s">
        <v>952</v>
      </c>
      <c r="J82" s="3122">
        <v>70</v>
      </c>
      <c r="K82" s="3122" t="s">
        <v>953</v>
      </c>
      <c r="L82" s="3122" t="s">
        <v>799</v>
      </c>
      <c r="M82" s="3122">
        <f t="shared" si="50"/>
        <v>3.6990799999999999</v>
      </c>
      <c r="N82" s="3122">
        <f t="shared" si="31"/>
        <v>44.388959999999997</v>
      </c>
      <c r="O82" s="3122" t="s">
        <v>824</v>
      </c>
      <c r="P82" s="3122" t="s">
        <v>801</v>
      </c>
      <c r="Q82" s="3122"/>
      <c r="R82" s="3139">
        <f t="shared" si="57"/>
        <v>2.2999999999999998</v>
      </c>
      <c r="S82" s="3137">
        <v>45016</v>
      </c>
      <c r="T82" s="3137">
        <v>46842</v>
      </c>
      <c r="U82" s="3137">
        <f t="shared" si="112"/>
        <v>45746</v>
      </c>
      <c r="V82" s="3138">
        <f t="shared" si="59"/>
        <v>70</v>
      </c>
      <c r="W82" s="3137">
        <f t="shared" si="113"/>
        <v>46476</v>
      </c>
      <c r="X82" s="3140">
        <f t="shared" si="114"/>
        <v>73.5</v>
      </c>
      <c r="Y82" s="3137">
        <f t="shared" si="115"/>
        <v>46842</v>
      </c>
      <c r="Z82" s="3140">
        <f t="shared" si="116"/>
        <v>77.174999999999997</v>
      </c>
    </row>
    <row r="83" spans="1:32" ht="49.5">
      <c r="A83" s="3120">
        <v>144</v>
      </c>
      <c r="B83" s="3122" t="s">
        <v>912</v>
      </c>
      <c r="C83" s="3122" t="s">
        <v>963</v>
      </c>
      <c r="D83" s="3122" t="s">
        <v>937</v>
      </c>
      <c r="E83" s="3123" t="s">
        <v>915</v>
      </c>
      <c r="F83" s="3122">
        <v>641.54999999999995</v>
      </c>
      <c r="G83" s="3122">
        <v>60</v>
      </c>
      <c r="H83" s="3122">
        <v>641.54999999999995</v>
      </c>
      <c r="I83" s="3123" t="s">
        <v>952</v>
      </c>
      <c r="J83" s="3122">
        <v>70</v>
      </c>
      <c r="K83" s="3122" t="s">
        <v>953</v>
      </c>
      <c r="L83" s="3122" t="s">
        <v>799</v>
      </c>
      <c r="M83" s="3122">
        <f t="shared" si="50"/>
        <v>4.49085</v>
      </c>
      <c r="N83" s="3122">
        <f t="shared" si="31"/>
        <v>53.8902</v>
      </c>
      <c r="O83" s="3122" t="s">
        <v>824</v>
      </c>
      <c r="P83" s="3122" t="s">
        <v>801</v>
      </c>
      <c r="Q83" s="3122"/>
      <c r="R83" s="3139">
        <f t="shared" si="57"/>
        <v>2.2999999999999998</v>
      </c>
      <c r="S83" s="3137">
        <v>45016</v>
      </c>
      <c r="T83" s="3137">
        <v>46842</v>
      </c>
      <c r="U83" s="3137">
        <f t="shared" si="112"/>
        <v>45746</v>
      </c>
      <c r="V83" s="3138">
        <f t="shared" si="59"/>
        <v>70</v>
      </c>
      <c r="W83" s="3137">
        <f t="shared" si="113"/>
        <v>46476</v>
      </c>
      <c r="X83" s="3140">
        <f t="shared" si="114"/>
        <v>73.5</v>
      </c>
      <c r="Y83" s="3137">
        <f t="shared" si="115"/>
        <v>46842</v>
      </c>
      <c r="Z83" s="3140">
        <f t="shared" si="116"/>
        <v>77.174999999999997</v>
      </c>
    </row>
    <row r="84" spans="1:32" ht="49.5">
      <c r="A84" s="3120">
        <v>145</v>
      </c>
      <c r="B84" s="3122" t="s">
        <v>912</v>
      </c>
      <c r="C84" s="3122" t="s">
        <v>963</v>
      </c>
      <c r="D84" s="3122" t="s">
        <v>938</v>
      </c>
      <c r="E84" s="3123" t="s">
        <v>915</v>
      </c>
      <c r="F84" s="3122">
        <v>642.74</v>
      </c>
      <c r="G84" s="3122">
        <v>60</v>
      </c>
      <c r="H84" s="3122">
        <v>642.74</v>
      </c>
      <c r="I84" s="3123" t="s">
        <v>952</v>
      </c>
      <c r="J84" s="3122">
        <v>70</v>
      </c>
      <c r="K84" s="3122" t="s">
        <v>953</v>
      </c>
      <c r="L84" s="3122" t="s">
        <v>799</v>
      </c>
      <c r="M84" s="3122">
        <f t="shared" si="50"/>
        <v>4.49918</v>
      </c>
      <c r="N84" s="3122">
        <f t="shared" si="31"/>
        <v>53.990160000000003</v>
      </c>
      <c r="O84" s="3122" t="s">
        <v>824</v>
      </c>
      <c r="P84" s="3122" t="s">
        <v>801</v>
      </c>
      <c r="Q84" s="3122"/>
      <c r="R84" s="3139">
        <f t="shared" si="57"/>
        <v>2.2999999999999998</v>
      </c>
      <c r="S84" s="3137">
        <v>45016</v>
      </c>
      <c r="T84" s="3137">
        <v>46842</v>
      </c>
      <c r="U84" s="3137">
        <f t="shared" si="112"/>
        <v>45746</v>
      </c>
      <c r="V84" s="3138">
        <f t="shared" si="59"/>
        <v>70</v>
      </c>
      <c r="W84" s="3137">
        <f t="shared" si="113"/>
        <v>46476</v>
      </c>
      <c r="X84" s="3140">
        <f t="shared" si="114"/>
        <v>73.5</v>
      </c>
      <c r="Y84" s="3137">
        <f t="shared" si="115"/>
        <v>46842</v>
      </c>
      <c r="Z84" s="3140">
        <f t="shared" si="116"/>
        <v>77.174999999999997</v>
      </c>
    </row>
    <row r="85" spans="1:32" ht="49.5">
      <c r="A85" s="3120">
        <v>204</v>
      </c>
      <c r="B85" s="3122" t="s">
        <v>912</v>
      </c>
      <c r="C85" s="3122" t="s">
        <v>963</v>
      </c>
      <c r="D85" s="3122" t="s">
        <v>964</v>
      </c>
      <c r="E85" s="3123" t="s">
        <v>915</v>
      </c>
      <c r="F85" s="3122">
        <v>231.55</v>
      </c>
      <c r="G85" s="3122">
        <v>110</v>
      </c>
      <c r="H85" s="3122">
        <v>231.55</v>
      </c>
      <c r="I85" s="3123" t="s">
        <v>916</v>
      </c>
      <c r="J85" s="3122">
        <v>74.52</v>
      </c>
      <c r="K85" s="3128" t="s">
        <v>917</v>
      </c>
      <c r="L85" s="3122" t="s">
        <v>918</v>
      </c>
      <c r="M85" s="3122">
        <f t="shared" si="50"/>
        <v>1.7255106</v>
      </c>
      <c r="N85" s="3122">
        <f t="shared" si="31"/>
        <v>20.706127200000001</v>
      </c>
      <c r="O85" s="3122" t="s">
        <v>919</v>
      </c>
      <c r="P85" s="3122" t="s">
        <v>801</v>
      </c>
      <c r="Q85" s="3122"/>
      <c r="R85" s="3139">
        <f t="shared" si="57"/>
        <v>2.4500000000000002</v>
      </c>
      <c r="S85" s="3137">
        <v>45054</v>
      </c>
      <c r="T85" s="3137">
        <v>47975</v>
      </c>
      <c r="U85" s="3137">
        <f t="shared" ref="U85:U100" si="117">S85+3*365</f>
        <v>46149</v>
      </c>
      <c r="V85" s="3138">
        <f t="shared" si="59"/>
        <v>74.52</v>
      </c>
      <c r="W85" s="3137">
        <f t="shared" ref="W85:W100" si="118">U85+365</f>
        <v>46514</v>
      </c>
      <c r="X85" s="3140">
        <f t="shared" ref="X85:X100" si="119">V85*1.03</f>
        <v>76.755600000000001</v>
      </c>
      <c r="Y85" s="3137">
        <f t="shared" ref="Y85:Y100" si="120">W85+365+1</f>
        <v>46880</v>
      </c>
      <c r="Z85" s="3140">
        <f t="shared" ref="Z85:Z100" si="121">X85*1.03</f>
        <v>79.058267999999998</v>
      </c>
      <c r="AA85" s="3137">
        <f t="shared" ref="AA85:AA100" si="122">Y85+365</f>
        <v>47245</v>
      </c>
      <c r="AB85" s="3140">
        <f t="shared" ref="AB85:AB100" si="123">Z85*1.03</f>
        <v>81.430016039999998</v>
      </c>
      <c r="AC85" s="3137">
        <f t="shared" ref="AC85:AC100" si="124">AA85+365</f>
        <v>47610</v>
      </c>
      <c r="AD85" s="3140">
        <f t="shared" ref="AD85:AD100" si="125">AB85*1.03</f>
        <v>83.872916521199997</v>
      </c>
      <c r="AE85" s="3137">
        <f t="shared" ref="AE85:AE100" si="126">AC85+365</f>
        <v>47975</v>
      </c>
      <c r="AF85" s="3140">
        <f t="shared" ref="AF85:AF100" si="127">AD85*1.03</f>
        <v>86.389104016836001</v>
      </c>
    </row>
    <row r="86" spans="1:32" ht="49.5">
      <c r="A86" s="3120">
        <v>207</v>
      </c>
      <c r="B86" s="3122" t="s">
        <v>912</v>
      </c>
      <c r="C86" s="3122" t="s">
        <v>963</v>
      </c>
      <c r="D86" s="3122" t="s">
        <v>965</v>
      </c>
      <c r="E86" s="3123" t="s">
        <v>915</v>
      </c>
      <c r="F86" s="3122">
        <v>62.95</v>
      </c>
      <c r="G86" s="3122">
        <v>110</v>
      </c>
      <c r="H86" s="3122">
        <v>62.95</v>
      </c>
      <c r="I86" s="3123" t="s">
        <v>916</v>
      </c>
      <c r="J86" s="3122">
        <v>74.52</v>
      </c>
      <c r="K86" s="3128" t="s">
        <v>917</v>
      </c>
      <c r="L86" s="3122" t="s">
        <v>918</v>
      </c>
      <c r="M86" s="3122" t="s">
        <v>816</v>
      </c>
      <c r="N86" s="3122" t="s">
        <v>816</v>
      </c>
      <c r="O86" s="3122" t="s">
        <v>919</v>
      </c>
      <c r="P86" s="3122" t="s">
        <v>801</v>
      </c>
      <c r="Q86" s="3122"/>
      <c r="R86" s="3139"/>
      <c r="S86" s="3137">
        <v>45054</v>
      </c>
      <c r="T86" s="3137">
        <v>47975</v>
      </c>
      <c r="U86" s="3137">
        <f t="shared" si="117"/>
        <v>46149</v>
      </c>
      <c r="V86" s="3138">
        <f t="shared" si="59"/>
        <v>74.52</v>
      </c>
      <c r="W86" s="3137">
        <f t="shared" si="118"/>
        <v>46514</v>
      </c>
      <c r="X86" s="3140">
        <f t="shared" si="119"/>
        <v>76.755600000000001</v>
      </c>
      <c r="Y86" s="3137">
        <f t="shared" si="120"/>
        <v>46880</v>
      </c>
      <c r="Z86" s="3140">
        <f t="shared" si="121"/>
        <v>79.058267999999998</v>
      </c>
      <c r="AA86" s="3137">
        <f t="shared" si="122"/>
        <v>47245</v>
      </c>
      <c r="AB86" s="3140">
        <f t="shared" si="123"/>
        <v>81.430016039999998</v>
      </c>
      <c r="AC86" s="3137">
        <f t="shared" si="124"/>
        <v>47610</v>
      </c>
      <c r="AD86" s="3140">
        <f t="shared" si="125"/>
        <v>83.872916521199997</v>
      </c>
      <c r="AE86" s="3137">
        <f t="shared" si="126"/>
        <v>47975</v>
      </c>
      <c r="AF86" s="3140">
        <f t="shared" si="127"/>
        <v>86.389104016836001</v>
      </c>
    </row>
    <row r="87" spans="1:32" ht="49.5">
      <c r="A87" s="3120">
        <v>208</v>
      </c>
      <c r="B87" s="3122" t="s">
        <v>912</v>
      </c>
      <c r="C87" s="3122" t="s">
        <v>963</v>
      </c>
      <c r="D87" s="3122" t="s">
        <v>966</v>
      </c>
      <c r="E87" s="3123" t="s">
        <v>915</v>
      </c>
      <c r="F87" s="3122">
        <v>259.94</v>
      </c>
      <c r="G87" s="3122">
        <v>110</v>
      </c>
      <c r="H87" s="3122">
        <v>259.94</v>
      </c>
      <c r="I87" s="3123" t="s">
        <v>916</v>
      </c>
      <c r="J87" s="3122">
        <v>74.52</v>
      </c>
      <c r="K87" s="3128" t="s">
        <v>917</v>
      </c>
      <c r="L87" s="3122" t="s">
        <v>918</v>
      </c>
      <c r="M87" s="3122">
        <f t="shared" ref="M87:M91" si="128">J87*H87/10000</f>
        <v>1.9370728800000001</v>
      </c>
      <c r="N87" s="3122">
        <f t="shared" ref="N87:N127" si="129">M87*12</f>
        <v>23.24487456</v>
      </c>
      <c r="O87" s="3122" t="s">
        <v>919</v>
      </c>
      <c r="P87" s="3122" t="s">
        <v>801</v>
      </c>
      <c r="Q87" s="3122"/>
      <c r="R87" s="3139">
        <f t="shared" si="57"/>
        <v>2.4500000000000002</v>
      </c>
      <c r="S87" s="3137">
        <v>45054</v>
      </c>
      <c r="T87" s="3137">
        <v>47975</v>
      </c>
      <c r="U87" s="3137">
        <f t="shared" si="117"/>
        <v>46149</v>
      </c>
      <c r="V87" s="3138">
        <f t="shared" si="59"/>
        <v>74.52</v>
      </c>
      <c r="W87" s="3137">
        <f t="shared" si="118"/>
        <v>46514</v>
      </c>
      <c r="X87" s="3140">
        <f t="shared" si="119"/>
        <v>76.755600000000001</v>
      </c>
      <c r="Y87" s="3137">
        <f t="shared" si="120"/>
        <v>46880</v>
      </c>
      <c r="Z87" s="3140">
        <f t="shared" si="121"/>
        <v>79.058267999999998</v>
      </c>
      <c r="AA87" s="3137">
        <f t="shared" si="122"/>
        <v>47245</v>
      </c>
      <c r="AB87" s="3140">
        <f t="shared" si="123"/>
        <v>81.430016039999998</v>
      </c>
      <c r="AC87" s="3137">
        <f t="shared" si="124"/>
        <v>47610</v>
      </c>
      <c r="AD87" s="3140">
        <f t="shared" si="125"/>
        <v>83.872916521199997</v>
      </c>
      <c r="AE87" s="3137">
        <f t="shared" si="126"/>
        <v>47975</v>
      </c>
      <c r="AF87" s="3140">
        <f t="shared" si="127"/>
        <v>86.389104016836001</v>
      </c>
    </row>
    <row r="88" spans="1:32" ht="49.5">
      <c r="A88" s="3120">
        <v>205</v>
      </c>
      <c r="B88" s="3122" t="s">
        <v>912</v>
      </c>
      <c r="C88" s="3122" t="s">
        <v>963</v>
      </c>
      <c r="D88" s="3122" t="s">
        <v>967</v>
      </c>
      <c r="E88" s="3123" t="s">
        <v>915</v>
      </c>
      <c r="F88" s="3122">
        <v>244.78</v>
      </c>
      <c r="G88" s="3122">
        <v>110</v>
      </c>
      <c r="H88" s="3122">
        <v>244.78</v>
      </c>
      <c r="I88" s="3123" t="s">
        <v>916</v>
      </c>
      <c r="J88" s="3122">
        <v>74.52</v>
      </c>
      <c r="K88" s="3128" t="s">
        <v>917</v>
      </c>
      <c r="L88" s="3122" t="s">
        <v>918</v>
      </c>
      <c r="M88" s="3122">
        <f t="shared" si="128"/>
        <v>1.82410056</v>
      </c>
      <c r="N88" s="3122">
        <f t="shared" si="129"/>
        <v>21.889206720000001</v>
      </c>
      <c r="O88" s="3122" t="s">
        <v>919</v>
      </c>
      <c r="P88" s="3122" t="s">
        <v>801</v>
      </c>
      <c r="Q88" s="3122"/>
      <c r="R88" s="3139">
        <f t="shared" si="57"/>
        <v>2.4500000000000002</v>
      </c>
      <c r="S88" s="3137">
        <v>45054</v>
      </c>
      <c r="T88" s="3137">
        <v>47975</v>
      </c>
      <c r="U88" s="3137">
        <f t="shared" si="117"/>
        <v>46149</v>
      </c>
      <c r="V88" s="3138">
        <f t="shared" si="59"/>
        <v>74.52</v>
      </c>
      <c r="W88" s="3137">
        <f t="shared" si="118"/>
        <v>46514</v>
      </c>
      <c r="X88" s="3140">
        <f t="shared" si="119"/>
        <v>76.755600000000001</v>
      </c>
      <c r="Y88" s="3137">
        <f t="shared" si="120"/>
        <v>46880</v>
      </c>
      <c r="Z88" s="3140">
        <f t="shared" si="121"/>
        <v>79.058267999999998</v>
      </c>
      <c r="AA88" s="3137">
        <f t="shared" si="122"/>
        <v>47245</v>
      </c>
      <c r="AB88" s="3140">
        <f t="shared" si="123"/>
        <v>81.430016039999998</v>
      </c>
      <c r="AC88" s="3137">
        <f t="shared" si="124"/>
        <v>47610</v>
      </c>
      <c r="AD88" s="3140">
        <f t="shared" si="125"/>
        <v>83.872916521199997</v>
      </c>
      <c r="AE88" s="3137">
        <f t="shared" si="126"/>
        <v>47975</v>
      </c>
      <c r="AF88" s="3140">
        <f t="shared" si="127"/>
        <v>86.389104016836001</v>
      </c>
    </row>
    <row r="89" spans="1:32" ht="49.5">
      <c r="A89" s="3120">
        <v>209</v>
      </c>
      <c r="B89" s="3122" t="s">
        <v>912</v>
      </c>
      <c r="C89" s="3122" t="s">
        <v>963</v>
      </c>
      <c r="D89" s="3122" t="s">
        <v>968</v>
      </c>
      <c r="E89" s="3123" t="s">
        <v>915</v>
      </c>
      <c r="F89" s="3122">
        <v>170.56</v>
      </c>
      <c r="G89" s="3122">
        <v>110</v>
      </c>
      <c r="H89" s="3122">
        <v>170.56</v>
      </c>
      <c r="I89" s="3123" t="s">
        <v>916</v>
      </c>
      <c r="J89" s="3122">
        <v>74.52</v>
      </c>
      <c r="K89" s="3128" t="s">
        <v>917</v>
      </c>
      <c r="L89" s="3122" t="s">
        <v>918</v>
      </c>
      <c r="M89" s="3122">
        <f t="shared" si="128"/>
        <v>1.2710131200000001</v>
      </c>
      <c r="N89" s="3122">
        <f t="shared" si="129"/>
        <v>15.25215744</v>
      </c>
      <c r="O89" s="3122" t="s">
        <v>919</v>
      </c>
      <c r="P89" s="3122" t="s">
        <v>801</v>
      </c>
      <c r="Q89" s="3122" t="s">
        <v>890</v>
      </c>
      <c r="R89" s="3139">
        <f t="shared" si="57"/>
        <v>2.4500000000000002</v>
      </c>
      <c r="S89" s="3137">
        <v>45054</v>
      </c>
      <c r="T89" s="3137">
        <v>47975</v>
      </c>
      <c r="U89" s="3137">
        <f t="shared" si="117"/>
        <v>46149</v>
      </c>
      <c r="V89" s="3138">
        <f t="shared" si="59"/>
        <v>74.52</v>
      </c>
      <c r="W89" s="3137">
        <f t="shared" si="118"/>
        <v>46514</v>
      </c>
      <c r="X89" s="3140">
        <f t="shared" si="119"/>
        <v>76.755600000000001</v>
      </c>
      <c r="Y89" s="3137">
        <f t="shared" si="120"/>
        <v>46880</v>
      </c>
      <c r="Z89" s="3140">
        <f t="shared" si="121"/>
        <v>79.058267999999998</v>
      </c>
      <c r="AA89" s="3137">
        <f t="shared" si="122"/>
        <v>47245</v>
      </c>
      <c r="AB89" s="3140">
        <f t="shared" si="123"/>
        <v>81.430016039999998</v>
      </c>
      <c r="AC89" s="3137">
        <f t="shared" si="124"/>
        <v>47610</v>
      </c>
      <c r="AD89" s="3140">
        <f t="shared" si="125"/>
        <v>83.872916521199997</v>
      </c>
      <c r="AE89" s="3137">
        <f t="shared" si="126"/>
        <v>47975</v>
      </c>
      <c r="AF89" s="3140">
        <f t="shared" si="127"/>
        <v>86.389104016836001</v>
      </c>
    </row>
    <row r="90" spans="1:32" ht="49.5">
      <c r="A90" s="3120">
        <v>202</v>
      </c>
      <c r="B90" s="3122" t="s">
        <v>912</v>
      </c>
      <c r="C90" s="3122" t="s">
        <v>963</v>
      </c>
      <c r="D90" s="3122" t="s">
        <v>969</v>
      </c>
      <c r="E90" s="3123" t="s">
        <v>915</v>
      </c>
      <c r="F90" s="3122">
        <v>226.65</v>
      </c>
      <c r="G90" s="3122">
        <v>110</v>
      </c>
      <c r="H90" s="3122">
        <v>226.65</v>
      </c>
      <c r="I90" s="3123" t="s">
        <v>916</v>
      </c>
      <c r="J90" s="3122">
        <v>74.52</v>
      </c>
      <c r="K90" s="3128" t="s">
        <v>917</v>
      </c>
      <c r="L90" s="3122" t="s">
        <v>918</v>
      </c>
      <c r="M90" s="3122">
        <f t="shared" si="128"/>
        <v>1.6889958</v>
      </c>
      <c r="N90" s="3122">
        <f t="shared" si="129"/>
        <v>20.267949600000001</v>
      </c>
      <c r="O90" s="3122" t="s">
        <v>919</v>
      </c>
      <c r="P90" s="3122" t="s">
        <v>801</v>
      </c>
      <c r="Q90" s="3122"/>
      <c r="R90" s="3139">
        <f t="shared" si="57"/>
        <v>2.4500000000000002</v>
      </c>
      <c r="S90" s="3137">
        <v>45054</v>
      </c>
      <c r="T90" s="3137">
        <v>47975</v>
      </c>
      <c r="U90" s="3137">
        <f t="shared" si="117"/>
        <v>46149</v>
      </c>
      <c r="V90" s="3138">
        <f t="shared" si="59"/>
        <v>74.52</v>
      </c>
      <c r="W90" s="3137">
        <f t="shared" si="118"/>
        <v>46514</v>
      </c>
      <c r="X90" s="3140">
        <f t="shared" si="119"/>
        <v>76.755600000000001</v>
      </c>
      <c r="Y90" s="3137">
        <f t="shared" si="120"/>
        <v>46880</v>
      </c>
      <c r="Z90" s="3140">
        <f t="shared" si="121"/>
        <v>79.058267999999998</v>
      </c>
      <c r="AA90" s="3137">
        <f t="shared" si="122"/>
        <v>47245</v>
      </c>
      <c r="AB90" s="3140">
        <f t="shared" si="123"/>
        <v>81.430016039999998</v>
      </c>
      <c r="AC90" s="3137">
        <f t="shared" si="124"/>
        <v>47610</v>
      </c>
      <c r="AD90" s="3140">
        <f t="shared" si="125"/>
        <v>83.872916521199997</v>
      </c>
      <c r="AE90" s="3137">
        <f t="shared" si="126"/>
        <v>47975</v>
      </c>
      <c r="AF90" s="3140">
        <f t="shared" si="127"/>
        <v>86.389104016836001</v>
      </c>
    </row>
    <row r="91" spans="1:32" ht="49.5">
      <c r="A91" s="3120">
        <v>203</v>
      </c>
      <c r="B91" s="3122" t="s">
        <v>912</v>
      </c>
      <c r="C91" s="3122" t="s">
        <v>963</v>
      </c>
      <c r="D91" s="3122" t="s">
        <v>970</v>
      </c>
      <c r="E91" s="3123" t="s">
        <v>915</v>
      </c>
      <c r="F91" s="3122">
        <v>259.94</v>
      </c>
      <c r="G91" s="3122">
        <v>110</v>
      </c>
      <c r="H91" s="3122">
        <v>259.94</v>
      </c>
      <c r="I91" s="3123" t="s">
        <v>916</v>
      </c>
      <c r="J91" s="3122">
        <v>74.52</v>
      </c>
      <c r="K91" s="3128" t="s">
        <v>917</v>
      </c>
      <c r="L91" s="3122" t="s">
        <v>918</v>
      </c>
      <c r="M91" s="3122">
        <f t="shared" si="128"/>
        <v>1.9370728800000001</v>
      </c>
      <c r="N91" s="3122">
        <f t="shared" si="129"/>
        <v>23.24487456</v>
      </c>
      <c r="O91" s="3122" t="s">
        <v>919</v>
      </c>
      <c r="P91" s="3122" t="s">
        <v>801</v>
      </c>
      <c r="Q91" s="3122"/>
      <c r="R91" s="3139">
        <f t="shared" si="57"/>
        <v>2.4500000000000002</v>
      </c>
      <c r="S91" s="3137">
        <v>45054</v>
      </c>
      <c r="T91" s="3137">
        <v>47975</v>
      </c>
      <c r="U91" s="3137">
        <f t="shared" si="117"/>
        <v>46149</v>
      </c>
      <c r="V91" s="3138">
        <f t="shared" si="59"/>
        <v>74.52</v>
      </c>
      <c r="W91" s="3137">
        <f t="shared" si="118"/>
        <v>46514</v>
      </c>
      <c r="X91" s="3140">
        <f t="shared" si="119"/>
        <v>76.755600000000001</v>
      </c>
      <c r="Y91" s="3137">
        <f t="shared" si="120"/>
        <v>46880</v>
      </c>
      <c r="Z91" s="3140">
        <f t="shared" si="121"/>
        <v>79.058267999999998</v>
      </c>
      <c r="AA91" s="3137">
        <f t="shared" si="122"/>
        <v>47245</v>
      </c>
      <c r="AB91" s="3140">
        <f t="shared" si="123"/>
        <v>81.430016039999998</v>
      </c>
      <c r="AC91" s="3137">
        <f t="shared" si="124"/>
        <v>47610</v>
      </c>
      <c r="AD91" s="3140">
        <f t="shared" si="125"/>
        <v>83.872916521199997</v>
      </c>
      <c r="AE91" s="3137">
        <f t="shared" si="126"/>
        <v>47975</v>
      </c>
      <c r="AF91" s="3140">
        <f t="shared" si="127"/>
        <v>86.389104016836001</v>
      </c>
    </row>
    <row r="92" spans="1:32" ht="49.5">
      <c r="A92" s="3120">
        <v>206</v>
      </c>
      <c r="B92" s="3122" t="s">
        <v>912</v>
      </c>
      <c r="C92" s="3122" t="s">
        <v>963</v>
      </c>
      <c r="D92" s="3122" t="s">
        <v>971</v>
      </c>
      <c r="E92" s="3123" t="s">
        <v>915</v>
      </c>
      <c r="F92" s="3122">
        <v>282.70999999999998</v>
      </c>
      <c r="G92" s="3122">
        <v>110</v>
      </c>
      <c r="H92" s="3122">
        <v>282.70999999999998</v>
      </c>
      <c r="I92" s="3123" t="s">
        <v>916</v>
      </c>
      <c r="J92" s="3122">
        <v>74.52</v>
      </c>
      <c r="K92" s="3128" t="s">
        <v>917</v>
      </c>
      <c r="L92" s="3122" t="s">
        <v>918</v>
      </c>
      <c r="M92" s="3122">
        <f t="shared" ref="M92:M127" si="130">H92*J92/10000</f>
        <v>2.1067549200000002</v>
      </c>
      <c r="N92" s="3122">
        <f t="shared" si="129"/>
        <v>25.281059039999999</v>
      </c>
      <c r="O92" s="3122" t="s">
        <v>919</v>
      </c>
      <c r="P92" s="3122" t="s">
        <v>801</v>
      </c>
      <c r="Q92" s="3122"/>
      <c r="R92" s="3139">
        <f t="shared" si="57"/>
        <v>2.4500000000000002</v>
      </c>
      <c r="S92" s="3137">
        <v>45054</v>
      </c>
      <c r="T92" s="3137">
        <v>47975</v>
      </c>
      <c r="U92" s="3137">
        <f t="shared" si="117"/>
        <v>46149</v>
      </c>
      <c r="V92" s="3138">
        <f t="shared" si="59"/>
        <v>74.52</v>
      </c>
      <c r="W92" s="3137">
        <f t="shared" si="118"/>
        <v>46514</v>
      </c>
      <c r="X92" s="3140">
        <f t="shared" si="119"/>
        <v>76.755600000000001</v>
      </c>
      <c r="Y92" s="3137">
        <f t="shared" si="120"/>
        <v>46880</v>
      </c>
      <c r="Z92" s="3140">
        <f t="shared" si="121"/>
        <v>79.058267999999998</v>
      </c>
      <c r="AA92" s="3137">
        <f t="shared" si="122"/>
        <v>47245</v>
      </c>
      <c r="AB92" s="3140">
        <f t="shared" si="123"/>
        <v>81.430016039999998</v>
      </c>
      <c r="AC92" s="3137">
        <f t="shared" si="124"/>
        <v>47610</v>
      </c>
      <c r="AD92" s="3140">
        <f t="shared" si="125"/>
        <v>83.872916521199997</v>
      </c>
      <c r="AE92" s="3137">
        <f t="shared" si="126"/>
        <v>47975</v>
      </c>
      <c r="AF92" s="3140">
        <f t="shared" si="127"/>
        <v>86.389104016836001</v>
      </c>
    </row>
    <row r="93" spans="1:32" ht="49.5">
      <c r="A93" s="3120">
        <v>210</v>
      </c>
      <c r="B93" s="3122" t="s">
        <v>912</v>
      </c>
      <c r="C93" s="3122" t="s">
        <v>963</v>
      </c>
      <c r="D93" s="3122" t="s">
        <v>924</v>
      </c>
      <c r="E93" s="3123" t="s">
        <v>915</v>
      </c>
      <c r="F93" s="3122">
        <v>215.33</v>
      </c>
      <c r="G93" s="3122">
        <v>90</v>
      </c>
      <c r="H93" s="3122">
        <v>215.33</v>
      </c>
      <c r="I93" s="3123" t="s">
        <v>916</v>
      </c>
      <c r="J93" s="3122">
        <v>74.52</v>
      </c>
      <c r="K93" s="3128" t="s">
        <v>917</v>
      </c>
      <c r="L93" s="3122" t="s">
        <v>918</v>
      </c>
      <c r="M93" s="3122">
        <f t="shared" si="130"/>
        <v>1.6046391600000001</v>
      </c>
      <c r="N93" s="3122">
        <f t="shared" si="129"/>
        <v>19.255669919999999</v>
      </c>
      <c r="O93" s="3122" t="s">
        <v>919</v>
      </c>
      <c r="P93" s="3122" t="s">
        <v>801</v>
      </c>
      <c r="Q93" s="3122"/>
      <c r="R93" s="3139">
        <f t="shared" si="57"/>
        <v>2.4500000000000002</v>
      </c>
      <c r="S93" s="3137">
        <v>45054</v>
      </c>
      <c r="T93" s="3137">
        <v>47975</v>
      </c>
      <c r="U93" s="3137">
        <f t="shared" si="117"/>
        <v>46149</v>
      </c>
      <c r="V93" s="3138">
        <f t="shared" si="59"/>
        <v>74.52</v>
      </c>
      <c r="W93" s="3137">
        <f t="shared" si="118"/>
        <v>46514</v>
      </c>
      <c r="X93" s="3140">
        <f t="shared" si="119"/>
        <v>76.755600000000001</v>
      </c>
      <c r="Y93" s="3137">
        <f t="shared" si="120"/>
        <v>46880</v>
      </c>
      <c r="Z93" s="3140">
        <f t="shared" si="121"/>
        <v>79.058267999999998</v>
      </c>
      <c r="AA93" s="3137">
        <f t="shared" si="122"/>
        <v>47245</v>
      </c>
      <c r="AB93" s="3140">
        <f t="shared" si="123"/>
        <v>81.430016039999998</v>
      </c>
      <c r="AC93" s="3137">
        <f t="shared" si="124"/>
        <v>47610</v>
      </c>
      <c r="AD93" s="3140">
        <f t="shared" si="125"/>
        <v>83.872916521199997</v>
      </c>
      <c r="AE93" s="3137">
        <f t="shared" si="126"/>
        <v>47975</v>
      </c>
      <c r="AF93" s="3140">
        <f t="shared" si="127"/>
        <v>86.389104016836001</v>
      </c>
    </row>
    <row r="94" spans="1:32" ht="49.5">
      <c r="A94" s="3120">
        <v>211</v>
      </c>
      <c r="B94" s="3122" t="s">
        <v>912</v>
      </c>
      <c r="C94" s="3122" t="s">
        <v>963</v>
      </c>
      <c r="D94" s="3122" t="s">
        <v>925</v>
      </c>
      <c r="E94" s="3123" t="s">
        <v>915</v>
      </c>
      <c r="F94" s="3122">
        <v>249.19</v>
      </c>
      <c r="G94" s="3122">
        <v>90</v>
      </c>
      <c r="H94" s="3122">
        <v>249.19</v>
      </c>
      <c r="I94" s="3123" t="s">
        <v>916</v>
      </c>
      <c r="J94" s="3122">
        <v>74.52</v>
      </c>
      <c r="K94" s="3128" t="s">
        <v>917</v>
      </c>
      <c r="L94" s="3122" t="s">
        <v>918</v>
      </c>
      <c r="M94" s="3122">
        <f t="shared" si="130"/>
        <v>1.8569638799999999</v>
      </c>
      <c r="N94" s="3122">
        <f t="shared" si="129"/>
        <v>22.283566560000001</v>
      </c>
      <c r="O94" s="3122" t="s">
        <v>919</v>
      </c>
      <c r="P94" s="3122" t="s">
        <v>801</v>
      </c>
      <c r="Q94" s="3122"/>
      <c r="R94" s="3139">
        <f t="shared" si="57"/>
        <v>2.4500000000000002</v>
      </c>
      <c r="S94" s="3137">
        <v>45054</v>
      </c>
      <c r="T94" s="3137">
        <v>47975</v>
      </c>
      <c r="U94" s="3137">
        <f t="shared" si="117"/>
        <v>46149</v>
      </c>
      <c r="V94" s="3138">
        <f t="shared" si="59"/>
        <v>74.52</v>
      </c>
      <c r="W94" s="3137">
        <f t="shared" si="118"/>
        <v>46514</v>
      </c>
      <c r="X94" s="3140">
        <f t="shared" si="119"/>
        <v>76.755600000000001</v>
      </c>
      <c r="Y94" s="3137">
        <f t="shared" si="120"/>
        <v>46880</v>
      </c>
      <c r="Z94" s="3140">
        <f t="shared" si="121"/>
        <v>79.058267999999998</v>
      </c>
      <c r="AA94" s="3137">
        <f t="shared" si="122"/>
        <v>47245</v>
      </c>
      <c r="AB94" s="3140">
        <f t="shared" si="123"/>
        <v>81.430016039999998</v>
      </c>
      <c r="AC94" s="3137">
        <f t="shared" si="124"/>
        <v>47610</v>
      </c>
      <c r="AD94" s="3140">
        <f t="shared" si="125"/>
        <v>83.872916521199997</v>
      </c>
      <c r="AE94" s="3137">
        <f t="shared" si="126"/>
        <v>47975</v>
      </c>
      <c r="AF94" s="3140">
        <f t="shared" si="127"/>
        <v>86.389104016836001</v>
      </c>
    </row>
    <row r="95" spans="1:32" ht="49.5">
      <c r="A95" s="3120">
        <v>212</v>
      </c>
      <c r="B95" s="3122" t="s">
        <v>912</v>
      </c>
      <c r="C95" s="3122" t="s">
        <v>963</v>
      </c>
      <c r="D95" s="3122" t="s">
        <v>972</v>
      </c>
      <c r="E95" s="3123" t="s">
        <v>915</v>
      </c>
      <c r="F95" s="3122">
        <v>221.97</v>
      </c>
      <c r="G95" s="3122">
        <v>90</v>
      </c>
      <c r="H95" s="3122">
        <v>221.97</v>
      </c>
      <c r="I95" s="3123" t="s">
        <v>916</v>
      </c>
      <c r="J95" s="3122">
        <v>74.52</v>
      </c>
      <c r="K95" s="3128" t="s">
        <v>917</v>
      </c>
      <c r="L95" s="3122" t="s">
        <v>918</v>
      </c>
      <c r="M95" s="3122">
        <f t="shared" si="130"/>
        <v>1.65412044</v>
      </c>
      <c r="N95" s="3122">
        <f t="shared" si="129"/>
        <v>19.849445280000001</v>
      </c>
      <c r="O95" s="3122" t="s">
        <v>919</v>
      </c>
      <c r="P95" s="3122" t="s">
        <v>801</v>
      </c>
      <c r="Q95" s="3122"/>
      <c r="R95" s="3139">
        <f t="shared" si="57"/>
        <v>2.4500000000000002</v>
      </c>
      <c r="S95" s="3137">
        <v>45054</v>
      </c>
      <c r="T95" s="3137">
        <v>47975</v>
      </c>
      <c r="U95" s="3137">
        <f t="shared" si="117"/>
        <v>46149</v>
      </c>
      <c r="V95" s="3138">
        <f t="shared" si="59"/>
        <v>74.52</v>
      </c>
      <c r="W95" s="3137">
        <f t="shared" si="118"/>
        <v>46514</v>
      </c>
      <c r="X95" s="3140">
        <f t="shared" si="119"/>
        <v>76.755600000000001</v>
      </c>
      <c r="Y95" s="3137">
        <f t="shared" si="120"/>
        <v>46880</v>
      </c>
      <c r="Z95" s="3140">
        <f t="shared" si="121"/>
        <v>79.058267999999998</v>
      </c>
      <c r="AA95" s="3137">
        <f t="shared" si="122"/>
        <v>47245</v>
      </c>
      <c r="AB95" s="3140">
        <f t="shared" si="123"/>
        <v>81.430016039999998</v>
      </c>
      <c r="AC95" s="3137">
        <f t="shared" si="124"/>
        <v>47610</v>
      </c>
      <c r="AD95" s="3140">
        <f t="shared" si="125"/>
        <v>83.872916521199997</v>
      </c>
      <c r="AE95" s="3137">
        <f t="shared" si="126"/>
        <v>47975</v>
      </c>
      <c r="AF95" s="3140">
        <f t="shared" si="127"/>
        <v>86.389104016836001</v>
      </c>
    </row>
    <row r="96" spans="1:32" ht="49.5">
      <c r="A96" s="3120">
        <v>213</v>
      </c>
      <c r="B96" s="3122" t="s">
        <v>912</v>
      </c>
      <c r="C96" s="3122" t="s">
        <v>963</v>
      </c>
      <c r="D96" s="3122" t="s">
        <v>973</v>
      </c>
      <c r="E96" s="3123" t="s">
        <v>915</v>
      </c>
      <c r="F96" s="3122">
        <v>203.69</v>
      </c>
      <c r="G96" s="3122">
        <v>90</v>
      </c>
      <c r="H96" s="3122">
        <v>203.69</v>
      </c>
      <c r="I96" s="3123" t="s">
        <v>916</v>
      </c>
      <c r="J96" s="3122">
        <v>74.52</v>
      </c>
      <c r="K96" s="3128" t="s">
        <v>917</v>
      </c>
      <c r="L96" s="3122" t="s">
        <v>918</v>
      </c>
      <c r="M96" s="3122">
        <f t="shared" si="130"/>
        <v>1.51789788</v>
      </c>
      <c r="N96" s="3122">
        <f t="shared" si="129"/>
        <v>18.214774559999999</v>
      </c>
      <c r="O96" s="3122" t="s">
        <v>919</v>
      </c>
      <c r="P96" s="3122" t="s">
        <v>801</v>
      </c>
      <c r="Q96" s="3122"/>
      <c r="R96" s="3139">
        <f t="shared" si="57"/>
        <v>2.4500000000000002</v>
      </c>
      <c r="S96" s="3137">
        <v>45054</v>
      </c>
      <c r="T96" s="3137">
        <v>47975</v>
      </c>
      <c r="U96" s="3137">
        <f t="shared" si="117"/>
        <v>46149</v>
      </c>
      <c r="V96" s="3138">
        <f t="shared" si="59"/>
        <v>74.52</v>
      </c>
      <c r="W96" s="3137">
        <f t="shared" si="118"/>
        <v>46514</v>
      </c>
      <c r="X96" s="3140">
        <f t="shared" si="119"/>
        <v>76.755600000000001</v>
      </c>
      <c r="Y96" s="3137">
        <f t="shared" si="120"/>
        <v>46880</v>
      </c>
      <c r="Z96" s="3140">
        <f t="shared" si="121"/>
        <v>79.058267999999998</v>
      </c>
      <c r="AA96" s="3137">
        <f t="shared" si="122"/>
        <v>47245</v>
      </c>
      <c r="AB96" s="3140">
        <f t="shared" si="123"/>
        <v>81.430016039999998</v>
      </c>
      <c r="AC96" s="3137">
        <f t="shared" si="124"/>
        <v>47610</v>
      </c>
      <c r="AD96" s="3140">
        <f t="shared" si="125"/>
        <v>83.872916521199997</v>
      </c>
      <c r="AE96" s="3137">
        <f t="shared" si="126"/>
        <v>47975</v>
      </c>
      <c r="AF96" s="3140">
        <f t="shared" si="127"/>
        <v>86.389104016836001</v>
      </c>
    </row>
    <row r="97" spans="1:32" ht="49.5">
      <c r="A97" s="3120">
        <v>214</v>
      </c>
      <c r="B97" s="3122" t="s">
        <v>912</v>
      </c>
      <c r="C97" s="3122" t="s">
        <v>963</v>
      </c>
      <c r="D97" s="3122" t="s">
        <v>974</v>
      </c>
      <c r="E97" s="3123" t="s">
        <v>915</v>
      </c>
      <c r="F97" s="3122">
        <v>202.77</v>
      </c>
      <c r="G97" s="3122">
        <v>90</v>
      </c>
      <c r="H97" s="3122">
        <v>202.77</v>
      </c>
      <c r="I97" s="3123" t="s">
        <v>916</v>
      </c>
      <c r="J97" s="3122">
        <v>74.52</v>
      </c>
      <c r="K97" s="3128" t="s">
        <v>917</v>
      </c>
      <c r="L97" s="3122" t="s">
        <v>918</v>
      </c>
      <c r="M97" s="3122">
        <f t="shared" si="130"/>
        <v>1.51104204</v>
      </c>
      <c r="N97" s="3122">
        <f t="shared" si="129"/>
        <v>18.132504480000001</v>
      </c>
      <c r="O97" s="3122" t="s">
        <v>919</v>
      </c>
      <c r="P97" s="3122" t="s">
        <v>801</v>
      </c>
      <c r="Q97" s="3122"/>
      <c r="R97" s="3139">
        <f t="shared" si="57"/>
        <v>2.4500000000000002</v>
      </c>
      <c r="S97" s="3137">
        <v>45054</v>
      </c>
      <c r="T97" s="3137">
        <v>47975</v>
      </c>
      <c r="U97" s="3137">
        <f t="shared" si="117"/>
        <v>46149</v>
      </c>
      <c r="V97" s="3138">
        <f t="shared" si="59"/>
        <v>74.52</v>
      </c>
      <c r="W97" s="3137">
        <f t="shared" si="118"/>
        <v>46514</v>
      </c>
      <c r="X97" s="3140">
        <f t="shared" si="119"/>
        <v>76.755600000000001</v>
      </c>
      <c r="Y97" s="3137">
        <f t="shared" si="120"/>
        <v>46880</v>
      </c>
      <c r="Z97" s="3140">
        <f t="shared" si="121"/>
        <v>79.058267999999998</v>
      </c>
      <c r="AA97" s="3137">
        <f t="shared" si="122"/>
        <v>47245</v>
      </c>
      <c r="AB97" s="3140">
        <f t="shared" si="123"/>
        <v>81.430016039999998</v>
      </c>
      <c r="AC97" s="3137">
        <f t="shared" si="124"/>
        <v>47610</v>
      </c>
      <c r="AD97" s="3140">
        <f t="shared" si="125"/>
        <v>83.872916521199997</v>
      </c>
      <c r="AE97" s="3137">
        <f t="shared" si="126"/>
        <v>47975</v>
      </c>
      <c r="AF97" s="3140">
        <f t="shared" si="127"/>
        <v>86.389104016836001</v>
      </c>
    </row>
    <row r="98" spans="1:32" ht="49.5">
      <c r="A98" s="3120">
        <v>215</v>
      </c>
      <c r="B98" s="3122" t="s">
        <v>912</v>
      </c>
      <c r="C98" s="3122" t="s">
        <v>963</v>
      </c>
      <c r="D98" s="3122" t="s">
        <v>975</v>
      </c>
      <c r="E98" s="3123" t="s">
        <v>915</v>
      </c>
      <c r="F98" s="3122">
        <v>292.20999999999998</v>
      </c>
      <c r="G98" s="3122">
        <v>90</v>
      </c>
      <c r="H98" s="3122">
        <v>292.20999999999998</v>
      </c>
      <c r="I98" s="3123" t="s">
        <v>916</v>
      </c>
      <c r="J98" s="3122">
        <v>74.52</v>
      </c>
      <c r="K98" s="3128" t="s">
        <v>917</v>
      </c>
      <c r="L98" s="3122" t="s">
        <v>918</v>
      </c>
      <c r="M98" s="3122">
        <f t="shared" si="130"/>
        <v>2.17754892</v>
      </c>
      <c r="N98" s="3122">
        <f t="shared" si="129"/>
        <v>26.130587040000002</v>
      </c>
      <c r="O98" s="3122" t="s">
        <v>919</v>
      </c>
      <c r="P98" s="3122" t="s">
        <v>801</v>
      </c>
      <c r="Q98" s="3122"/>
      <c r="R98" s="3139">
        <f t="shared" si="57"/>
        <v>2.4500000000000002</v>
      </c>
      <c r="S98" s="3137">
        <v>45054</v>
      </c>
      <c r="T98" s="3137">
        <v>47975</v>
      </c>
      <c r="U98" s="3137">
        <f t="shared" si="117"/>
        <v>46149</v>
      </c>
      <c r="V98" s="3138">
        <f t="shared" si="59"/>
        <v>74.52</v>
      </c>
      <c r="W98" s="3137">
        <f t="shared" si="118"/>
        <v>46514</v>
      </c>
      <c r="X98" s="3140">
        <f t="shared" si="119"/>
        <v>76.755600000000001</v>
      </c>
      <c r="Y98" s="3137">
        <f t="shared" si="120"/>
        <v>46880</v>
      </c>
      <c r="Z98" s="3140">
        <f t="shared" si="121"/>
        <v>79.058267999999998</v>
      </c>
      <c r="AA98" s="3137">
        <f t="shared" si="122"/>
        <v>47245</v>
      </c>
      <c r="AB98" s="3140">
        <f t="shared" si="123"/>
        <v>81.430016039999998</v>
      </c>
      <c r="AC98" s="3137">
        <f t="shared" si="124"/>
        <v>47610</v>
      </c>
      <c r="AD98" s="3140">
        <f t="shared" si="125"/>
        <v>83.872916521199997</v>
      </c>
      <c r="AE98" s="3137">
        <f t="shared" si="126"/>
        <v>47975</v>
      </c>
      <c r="AF98" s="3140">
        <f t="shared" si="127"/>
        <v>86.389104016836001</v>
      </c>
    </row>
    <row r="99" spans="1:32" ht="49.5">
      <c r="A99" s="3120">
        <v>216</v>
      </c>
      <c r="B99" s="3122" t="s">
        <v>912</v>
      </c>
      <c r="C99" s="3122" t="s">
        <v>963</v>
      </c>
      <c r="D99" s="3122" t="s">
        <v>976</v>
      </c>
      <c r="E99" s="3123" t="s">
        <v>915</v>
      </c>
      <c r="F99" s="3122">
        <v>109.58</v>
      </c>
      <c r="G99" s="3122">
        <v>90</v>
      </c>
      <c r="H99" s="3122">
        <v>109.58</v>
      </c>
      <c r="I99" s="3123" t="s">
        <v>916</v>
      </c>
      <c r="J99" s="3122">
        <v>74.52</v>
      </c>
      <c r="K99" s="3128" t="s">
        <v>917</v>
      </c>
      <c r="L99" s="3122" t="s">
        <v>918</v>
      </c>
      <c r="M99" s="3122">
        <f t="shared" si="130"/>
        <v>0.81659015999999995</v>
      </c>
      <c r="N99" s="3122">
        <f t="shared" si="129"/>
        <v>9.7990819200000008</v>
      </c>
      <c r="O99" s="3122" t="s">
        <v>919</v>
      </c>
      <c r="P99" s="3122" t="s">
        <v>801</v>
      </c>
      <c r="Q99" s="3122"/>
      <c r="R99" s="3139">
        <f t="shared" si="57"/>
        <v>2.4500000000000002</v>
      </c>
      <c r="S99" s="3137">
        <v>45054</v>
      </c>
      <c r="T99" s="3137">
        <v>47975</v>
      </c>
      <c r="U99" s="3137">
        <f t="shared" si="117"/>
        <v>46149</v>
      </c>
      <c r="V99" s="3138">
        <f t="shared" si="59"/>
        <v>74.52</v>
      </c>
      <c r="W99" s="3137">
        <f t="shared" si="118"/>
        <v>46514</v>
      </c>
      <c r="X99" s="3140">
        <f t="shared" si="119"/>
        <v>76.755600000000001</v>
      </c>
      <c r="Y99" s="3137">
        <f t="shared" si="120"/>
        <v>46880</v>
      </c>
      <c r="Z99" s="3140">
        <f t="shared" si="121"/>
        <v>79.058267999999998</v>
      </c>
      <c r="AA99" s="3137">
        <f t="shared" si="122"/>
        <v>47245</v>
      </c>
      <c r="AB99" s="3140">
        <f t="shared" si="123"/>
        <v>81.430016039999998</v>
      </c>
      <c r="AC99" s="3137">
        <f t="shared" si="124"/>
        <v>47610</v>
      </c>
      <c r="AD99" s="3140">
        <f t="shared" si="125"/>
        <v>83.872916521199997</v>
      </c>
      <c r="AE99" s="3137">
        <f t="shared" si="126"/>
        <v>47975</v>
      </c>
      <c r="AF99" s="3140">
        <f t="shared" si="127"/>
        <v>86.389104016836001</v>
      </c>
    </row>
    <row r="100" spans="1:32" ht="49.5">
      <c r="A100" s="3120">
        <v>217</v>
      </c>
      <c r="B100" s="3122" t="s">
        <v>912</v>
      </c>
      <c r="C100" s="3122" t="s">
        <v>963</v>
      </c>
      <c r="D100" s="3122" t="s">
        <v>977</v>
      </c>
      <c r="E100" s="3123" t="s">
        <v>915</v>
      </c>
      <c r="F100" s="3122">
        <v>134.37</v>
      </c>
      <c r="G100" s="3122">
        <v>90</v>
      </c>
      <c r="H100" s="3122">
        <v>134.37</v>
      </c>
      <c r="I100" s="3123" t="s">
        <v>916</v>
      </c>
      <c r="J100" s="3122">
        <v>74.52</v>
      </c>
      <c r="K100" s="3128" t="s">
        <v>917</v>
      </c>
      <c r="L100" s="3122" t="s">
        <v>918</v>
      </c>
      <c r="M100" s="3122">
        <f t="shared" si="130"/>
        <v>1.0013252399999999</v>
      </c>
      <c r="N100" s="3122">
        <f t="shared" si="129"/>
        <v>12.015902880000001</v>
      </c>
      <c r="O100" s="3122" t="s">
        <v>919</v>
      </c>
      <c r="P100" s="3122" t="s">
        <v>801</v>
      </c>
      <c r="Q100" s="3122"/>
      <c r="R100" s="3139">
        <f t="shared" si="57"/>
        <v>2.4500000000000002</v>
      </c>
      <c r="S100" s="3137">
        <v>45054</v>
      </c>
      <c r="T100" s="3137">
        <v>47975</v>
      </c>
      <c r="U100" s="3137">
        <f t="shared" si="117"/>
        <v>46149</v>
      </c>
      <c r="V100" s="3138">
        <f t="shared" si="59"/>
        <v>74.52</v>
      </c>
      <c r="W100" s="3137">
        <f t="shared" si="118"/>
        <v>46514</v>
      </c>
      <c r="X100" s="3140">
        <f t="shared" si="119"/>
        <v>76.755600000000001</v>
      </c>
      <c r="Y100" s="3137">
        <f t="shared" si="120"/>
        <v>46880</v>
      </c>
      <c r="Z100" s="3140">
        <f t="shared" si="121"/>
        <v>79.058267999999998</v>
      </c>
      <c r="AA100" s="3137">
        <f t="shared" si="122"/>
        <v>47245</v>
      </c>
      <c r="AB100" s="3140">
        <f t="shared" si="123"/>
        <v>81.430016039999998</v>
      </c>
      <c r="AC100" s="3137">
        <f t="shared" si="124"/>
        <v>47610</v>
      </c>
      <c r="AD100" s="3140">
        <f t="shared" si="125"/>
        <v>83.872916521199997</v>
      </c>
      <c r="AE100" s="3137">
        <f t="shared" si="126"/>
        <v>47975</v>
      </c>
      <c r="AF100" s="3140">
        <f t="shared" si="127"/>
        <v>86.389104016836001</v>
      </c>
    </row>
    <row r="101" spans="1:32" ht="49.5">
      <c r="A101" s="3120">
        <v>216</v>
      </c>
      <c r="B101" s="3122" t="s">
        <v>912</v>
      </c>
      <c r="C101" s="3122" t="s">
        <v>963</v>
      </c>
      <c r="D101" s="3122" t="s">
        <v>935</v>
      </c>
      <c r="E101" s="3123" t="s">
        <v>915</v>
      </c>
      <c r="F101" s="3122">
        <v>643.62</v>
      </c>
      <c r="G101" s="3122">
        <v>60</v>
      </c>
      <c r="H101" s="3122">
        <v>643.62</v>
      </c>
      <c r="I101" s="3123" t="s">
        <v>978</v>
      </c>
      <c r="J101" s="3122">
        <v>60</v>
      </c>
      <c r="K101" s="3122" t="s">
        <v>979</v>
      </c>
      <c r="L101" s="3122" t="s">
        <v>799</v>
      </c>
      <c r="M101" s="3122">
        <f t="shared" si="130"/>
        <v>3.86172</v>
      </c>
      <c r="N101" s="3122">
        <f t="shared" si="129"/>
        <v>46.34064</v>
      </c>
      <c r="O101" s="3122" t="s">
        <v>824</v>
      </c>
      <c r="P101" s="3122" t="s">
        <v>801</v>
      </c>
      <c r="Q101" s="3122"/>
      <c r="R101" s="3139">
        <f t="shared" si="57"/>
        <v>1.97</v>
      </c>
      <c r="S101" s="3137">
        <v>44757</v>
      </c>
      <c r="T101" s="3137">
        <v>45852</v>
      </c>
      <c r="U101" s="3137">
        <f t="shared" ref="U101:U103" si="131">S101+2*365</f>
        <v>45487</v>
      </c>
      <c r="V101" s="3138">
        <f t="shared" si="59"/>
        <v>60</v>
      </c>
      <c r="W101" s="3137">
        <f>T101</f>
        <v>45852</v>
      </c>
      <c r="X101" s="3140">
        <f t="shared" ref="X101:X103" si="132">V101*1.05</f>
        <v>63</v>
      </c>
      <c r="Y101" s="3137"/>
      <c r="Z101" s="3140"/>
    </row>
    <row r="102" spans="1:32" ht="49.5">
      <c r="A102" s="3120">
        <v>217</v>
      </c>
      <c r="B102" s="3122" t="s">
        <v>912</v>
      </c>
      <c r="C102" s="3122" t="s">
        <v>963</v>
      </c>
      <c r="D102" s="3122" t="s">
        <v>936</v>
      </c>
      <c r="E102" s="3123" t="s">
        <v>915</v>
      </c>
      <c r="F102" s="3122">
        <v>643.24</v>
      </c>
      <c r="G102" s="3122">
        <v>60</v>
      </c>
      <c r="H102" s="3122">
        <v>643.24</v>
      </c>
      <c r="I102" s="3123" t="s">
        <v>978</v>
      </c>
      <c r="J102" s="3122">
        <v>60</v>
      </c>
      <c r="K102" s="3122" t="s">
        <v>979</v>
      </c>
      <c r="L102" s="3122" t="s">
        <v>799</v>
      </c>
      <c r="M102" s="3122">
        <f t="shared" si="130"/>
        <v>3.8594400000000002</v>
      </c>
      <c r="N102" s="3122">
        <f t="shared" si="129"/>
        <v>46.313279999999999</v>
      </c>
      <c r="O102" s="3122" t="s">
        <v>824</v>
      </c>
      <c r="P102" s="3122" t="s">
        <v>801</v>
      </c>
      <c r="Q102" s="3122"/>
      <c r="R102" s="3139">
        <f t="shared" si="57"/>
        <v>1.97</v>
      </c>
      <c r="S102" s="3137">
        <v>44757</v>
      </c>
      <c r="T102" s="3137">
        <v>45852</v>
      </c>
      <c r="U102" s="3137">
        <f t="shared" si="131"/>
        <v>45487</v>
      </c>
      <c r="V102" s="3138">
        <f t="shared" si="59"/>
        <v>60</v>
      </c>
      <c r="W102" s="3137">
        <f t="shared" ref="W102:W103" si="133">T102</f>
        <v>45852</v>
      </c>
      <c r="X102" s="3140">
        <f t="shared" si="132"/>
        <v>63</v>
      </c>
      <c r="Y102" s="3137"/>
      <c r="Z102" s="3140"/>
    </row>
    <row r="103" spans="1:32" ht="49.5">
      <c r="A103" s="3120">
        <v>218</v>
      </c>
      <c r="B103" s="3122" t="s">
        <v>912</v>
      </c>
      <c r="C103" s="3122" t="s">
        <v>963</v>
      </c>
      <c r="D103" s="3122" t="s">
        <v>932</v>
      </c>
      <c r="E103" s="3123" t="s">
        <v>915</v>
      </c>
      <c r="F103" s="3122">
        <v>643.62</v>
      </c>
      <c r="G103" s="3122">
        <v>60</v>
      </c>
      <c r="H103" s="3122">
        <v>643.62</v>
      </c>
      <c r="I103" s="3123" t="s">
        <v>978</v>
      </c>
      <c r="J103" s="3122">
        <v>60</v>
      </c>
      <c r="K103" s="3122" t="s">
        <v>979</v>
      </c>
      <c r="L103" s="3122" t="s">
        <v>799</v>
      </c>
      <c r="M103" s="3122">
        <f t="shared" si="130"/>
        <v>3.86172</v>
      </c>
      <c r="N103" s="3122">
        <f t="shared" si="129"/>
        <v>46.34064</v>
      </c>
      <c r="O103" s="3122" t="s">
        <v>824</v>
      </c>
      <c r="P103" s="3122" t="s">
        <v>801</v>
      </c>
      <c r="Q103" s="3122"/>
      <c r="R103" s="3139">
        <f t="shared" si="57"/>
        <v>1.97</v>
      </c>
      <c r="S103" s="3137">
        <v>44757</v>
      </c>
      <c r="T103" s="3137">
        <v>45852</v>
      </c>
      <c r="U103" s="3137">
        <f t="shared" si="131"/>
        <v>45487</v>
      </c>
      <c r="V103" s="3138">
        <f t="shared" si="59"/>
        <v>60</v>
      </c>
      <c r="W103" s="3137">
        <f t="shared" si="133"/>
        <v>45852</v>
      </c>
      <c r="X103" s="3140">
        <f t="shared" si="132"/>
        <v>63</v>
      </c>
      <c r="Y103" s="3137"/>
      <c r="Z103" s="3140"/>
    </row>
    <row r="104" spans="1:32" ht="49.5">
      <c r="A104" s="3120">
        <v>219</v>
      </c>
      <c r="B104" s="3122" t="s">
        <v>912</v>
      </c>
      <c r="C104" s="3122" t="s">
        <v>963</v>
      </c>
      <c r="D104" s="3122" t="s">
        <v>980</v>
      </c>
      <c r="E104" s="3123" t="s">
        <v>915</v>
      </c>
      <c r="F104" s="3122">
        <v>643.24</v>
      </c>
      <c r="G104" s="3122">
        <v>60</v>
      </c>
      <c r="H104" s="3122">
        <v>643.24</v>
      </c>
      <c r="I104" s="3123" t="s">
        <v>978</v>
      </c>
      <c r="J104" s="3132">
        <v>60</v>
      </c>
      <c r="K104" s="3132" t="s">
        <v>816</v>
      </c>
      <c r="L104" s="3122" t="s">
        <v>816</v>
      </c>
      <c r="M104" s="3121">
        <f t="shared" si="130"/>
        <v>3.8594400000000002</v>
      </c>
      <c r="N104" s="3121">
        <f t="shared" si="129"/>
        <v>46.313279999999999</v>
      </c>
      <c r="O104" s="3122" t="s">
        <v>824</v>
      </c>
      <c r="P104" s="3122" t="s">
        <v>801</v>
      </c>
      <c r="Q104" s="3132" t="s">
        <v>890</v>
      </c>
      <c r="R104" s="3146"/>
      <c r="S104" s="3141" t="s">
        <v>933</v>
      </c>
      <c r="T104" t="s">
        <v>816</v>
      </c>
    </row>
    <row r="105" spans="1:32" ht="49.5">
      <c r="A105" s="3120">
        <v>166</v>
      </c>
      <c r="B105" s="3122" t="s">
        <v>912</v>
      </c>
      <c r="C105" s="3122" t="s">
        <v>981</v>
      </c>
      <c r="D105" s="3122" t="s">
        <v>926</v>
      </c>
      <c r="E105" s="3123" t="s">
        <v>915</v>
      </c>
      <c r="F105" s="3122">
        <v>301.58999999999997</v>
      </c>
      <c r="G105" s="3122">
        <v>60</v>
      </c>
      <c r="H105" s="3122">
        <v>301.58999999999997</v>
      </c>
      <c r="I105" s="3123" t="s">
        <v>982</v>
      </c>
      <c r="J105" s="3122">
        <v>64.3</v>
      </c>
      <c r="K105" s="3122" t="s">
        <v>983</v>
      </c>
      <c r="L105" s="3122" t="s">
        <v>799</v>
      </c>
      <c r="M105" s="3122">
        <f t="shared" si="130"/>
        <v>1.9392237000000001</v>
      </c>
      <c r="N105" s="3122">
        <f t="shared" si="129"/>
        <v>23.2706844</v>
      </c>
      <c r="O105" s="3122" t="s">
        <v>824</v>
      </c>
      <c r="P105" s="3122" t="s">
        <v>801</v>
      </c>
      <c r="Q105" s="3122"/>
      <c r="R105" s="3139">
        <f t="shared" si="57"/>
        <v>2.11</v>
      </c>
      <c r="S105" s="3137">
        <v>45108</v>
      </c>
      <c r="T105" s="3137">
        <v>49490</v>
      </c>
      <c r="U105" s="3137">
        <f t="shared" ref="U105:U111" si="134">S105+2*365</f>
        <v>45838</v>
      </c>
      <c r="V105" s="3138">
        <f t="shared" ref="V105:V122" si="135">J105</f>
        <v>64.3</v>
      </c>
      <c r="W105" s="3137">
        <f t="shared" ref="W105:W111" si="136">U105+365*2</f>
        <v>46568</v>
      </c>
      <c r="X105" s="3140">
        <f t="shared" ref="X105:X111" si="137">V105*1.05</f>
        <v>67.515000000000001</v>
      </c>
      <c r="Y105" s="3137">
        <f>W105+365*2+1</f>
        <v>47299</v>
      </c>
      <c r="Z105" s="3140">
        <f t="shared" ref="Z105:Z111" si="138">X105*1.05</f>
        <v>70.890749999999997</v>
      </c>
      <c r="AA105" s="3137">
        <f t="shared" ref="AA105:AA111" si="139">Y105+365*2</f>
        <v>48029</v>
      </c>
      <c r="AB105" s="3140">
        <f t="shared" ref="AB105:AB111" si="140">Z105*1.05</f>
        <v>74.435287500000001</v>
      </c>
      <c r="AC105" s="3137">
        <f>AA105+365*2+1</f>
        <v>48760</v>
      </c>
      <c r="AD105" s="3140">
        <f t="shared" ref="AD105:AD111" si="141">AB105*1.05</f>
        <v>78.157051874999993</v>
      </c>
      <c r="AE105" s="3137">
        <f t="shared" ref="AE105:AE111" si="142">AC105+365*2</f>
        <v>49490</v>
      </c>
      <c r="AF105" s="3140">
        <f t="shared" ref="AF105:AF111" si="143">AD105*1.05</f>
        <v>82.064904468750001</v>
      </c>
    </row>
    <row r="106" spans="1:32" ht="49.5">
      <c r="A106" s="3120">
        <v>167</v>
      </c>
      <c r="B106" s="3122" t="s">
        <v>912</v>
      </c>
      <c r="C106" s="3122" t="s">
        <v>981</v>
      </c>
      <c r="D106" s="3122" t="s">
        <v>930</v>
      </c>
      <c r="E106" s="3123" t="s">
        <v>915</v>
      </c>
      <c r="F106" s="3122">
        <v>416.57</v>
      </c>
      <c r="G106" s="3122">
        <v>60</v>
      </c>
      <c r="H106" s="3122">
        <v>416.57</v>
      </c>
      <c r="I106" s="3123" t="s">
        <v>982</v>
      </c>
      <c r="J106" s="3122">
        <v>64.3</v>
      </c>
      <c r="K106" s="3122" t="s">
        <v>983</v>
      </c>
      <c r="L106" s="3122" t="s">
        <v>799</v>
      </c>
      <c r="M106" s="3122">
        <f t="shared" si="130"/>
        <v>2.6785451</v>
      </c>
      <c r="N106" s="3122">
        <f t="shared" si="129"/>
        <v>32.142541199999997</v>
      </c>
      <c r="O106" s="3122" t="s">
        <v>824</v>
      </c>
      <c r="P106" s="3122" t="s">
        <v>801</v>
      </c>
      <c r="Q106" s="3122"/>
      <c r="R106" s="3139">
        <f t="shared" si="57"/>
        <v>2.11</v>
      </c>
      <c r="S106" s="3137">
        <v>45108</v>
      </c>
      <c r="T106" s="3137">
        <v>49490</v>
      </c>
      <c r="U106" s="3137">
        <f t="shared" si="134"/>
        <v>45838</v>
      </c>
      <c r="V106" s="3138">
        <f t="shared" si="135"/>
        <v>64.3</v>
      </c>
      <c r="W106" s="3137">
        <f t="shared" si="136"/>
        <v>46568</v>
      </c>
      <c r="X106" s="3140">
        <f t="shared" si="137"/>
        <v>67.515000000000001</v>
      </c>
      <c r="Y106" s="3137">
        <f t="shared" ref="Y106:Y111" si="144">W106+365*2+1</f>
        <v>47299</v>
      </c>
      <c r="Z106" s="3140">
        <f t="shared" si="138"/>
        <v>70.890749999999997</v>
      </c>
      <c r="AA106" s="3137">
        <f t="shared" si="139"/>
        <v>48029</v>
      </c>
      <c r="AB106" s="3140">
        <f t="shared" si="140"/>
        <v>74.435287500000001</v>
      </c>
      <c r="AC106" s="3137">
        <f t="shared" ref="AC106:AC111" si="145">AA106+365*2+1</f>
        <v>48760</v>
      </c>
      <c r="AD106" s="3140">
        <f t="shared" si="141"/>
        <v>78.157051874999993</v>
      </c>
      <c r="AE106" s="3137">
        <f t="shared" si="142"/>
        <v>49490</v>
      </c>
      <c r="AF106" s="3140">
        <f t="shared" si="143"/>
        <v>82.064904468750001</v>
      </c>
    </row>
    <row r="107" spans="1:32" ht="49.5">
      <c r="A107" s="3120">
        <v>168</v>
      </c>
      <c r="B107" s="3122" t="s">
        <v>912</v>
      </c>
      <c r="C107" s="3122" t="s">
        <v>981</v>
      </c>
      <c r="D107" s="3122" t="s">
        <v>937</v>
      </c>
      <c r="E107" s="3123" t="s">
        <v>915</v>
      </c>
      <c r="F107" s="3122">
        <v>415.32</v>
      </c>
      <c r="G107" s="3122">
        <v>60</v>
      </c>
      <c r="H107" s="3122">
        <v>415.32</v>
      </c>
      <c r="I107" s="3123" t="s">
        <v>982</v>
      </c>
      <c r="J107" s="3122">
        <v>64.3</v>
      </c>
      <c r="K107" s="3122" t="s">
        <v>983</v>
      </c>
      <c r="L107" s="3122" t="s">
        <v>799</v>
      </c>
      <c r="M107" s="3122">
        <f t="shared" si="130"/>
        <v>2.6705076000000001</v>
      </c>
      <c r="N107" s="3122">
        <f t="shared" si="129"/>
        <v>32.046091199999999</v>
      </c>
      <c r="O107" s="3122" t="s">
        <v>824</v>
      </c>
      <c r="P107" s="3122" t="s">
        <v>801</v>
      </c>
      <c r="Q107" s="3122"/>
      <c r="R107" s="3139">
        <f t="shared" si="57"/>
        <v>2.11</v>
      </c>
      <c r="S107" s="3137">
        <v>45108</v>
      </c>
      <c r="T107" s="3137">
        <v>49490</v>
      </c>
      <c r="U107" s="3137">
        <f t="shared" si="134"/>
        <v>45838</v>
      </c>
      <c r="V107" s="3138">
        <f t="shared" si="135"/>
        <v>64.3</v>
      </c>
      <c r="W107" s="3137">
        <f t="shared" si="136"/>
        <v>46568</v>
      </c>
      <c r="X107" s="3140">
        <f t="shared" si="137"/>
        <v>67.515000000000001</v>
      </c>
      <c r="Y107" s="3137">
        <f t="shared" si="144"/>
        <v>47299</v>
      </c>
      <c r="Z107" s="3140">
        <f t="shared" si="138"/>
        <v>70.890749999999997</v>
      </c>
      <c r="AA107" s="3137">
        <f t="shared" si="139"/>
        <v>48029</v>
      </c>
      <c r="AB107" s="3140">
        <f t="shared" si="140"/>
        <v>74.435287500000001</v>
      </c>
      <c r="AC107" s="3137">
        <f t="shared" si="145"/>
        <v>48760</v>
      </c>
      <c r="AD107" s="3140">
        <f t="shared" si="141"/>
        <v>78.157051874999993</v>
      </c>
      <c r="AE107" s="3137">
        <f t="shared" si="142"/>
        <v>49490</v>
      </c>
      <c r="AF107" s="3140">
        <f t="shared" si="143"/>
        <v>82.064904468750001</v>
      </c>
    </row>
    <row r="108" spans="1:32" ht="49.5">
      <c r="A108" s="3120">
        <v>169</v>
      </c>
      <c r="B108" s="3122" t="s">
        <v>912</v>
      </c>
      <c r="C108" s="3122" t="s">
        <v>981</v>
      </c>
      <c r="D108" s="3122" t="s">
        <v>932</v>
      </c>
      <c r="E108" s="3123" t="s">
        <v>915</v>
      </c>
      <c r="F108" s="3122">
        <v>683.01</v>
      </c>
      <c r="G108" s="3122">
        <v>60</v>
      </c>
      <c r="H108" s="3122">
        <v>683.01</v>
      </c>
      <c r="I108" s="3123" t="s">
        <v>982</v>
      </c>
      <c r="J108" s="3122">
        <v>64.3</v>
      </c>
      <c r="K108" s="3122" t="s">
        <v>983</v>
      </c>
      <c r="L108" s="3122" t="s">
        <v>799</v>
      </c>
      <c r="M108" s="3122">
        <f t="shared" si="130"/>
        <v>4.3917542999999997</v>
      </c>
      <c r="N108" s="3122">
        <f t="shared" si="129"/>
        <v>52.7010516</v>
      </c>
      <c r="O108" s="3122" t="s">
        <v>824</v>
      </c>
      <c r="P108" s="3122" t="s">
        <v>801</v>
      </c>
      <c r="Q108" s="3122"/>
      <c r="R108" s="3139">
        <f t="shared" si="57"/>
        <v>2.11</v>
      </c>
      <c r="S108" s="3137">
        <v>45108</v>
      </c>
      <c r="T108" s="3137">
        <v>49490</v>
      </c>
      <c r="U108" s="3137">
        <f t="shared" si="134"/>
        <v>45838</v>
      </c>
      <c r="V108" s="3138">
        <f t="shared" si="135"/>
        <v>64.3</v>
      </c>
      <c r="W108" s="3137">
        <f t="shared" si="136"/>
        <v>46568</v>
      </c>
      <c r="X108" s="3140">
        <f t="shared" si="137"/>
        <v>67.515000000000001</v>
      </c>
      <c r="Y108" s="3137">
        <f t="shared" si="144"/>
        <v>47299</v>
      </c>
      <c r="Z108" s="3140">
        <f t="shared" si="138"/>
        <v>70.890749999999997</v>
      </c>
      <c r="AA108" s="3137">
        <f t="shared" si="139"/>
        <v>48029</v>
      </c>
      <c r="AB108" s="3140">
        <f t="shared" si="140"/>
        <v>74.435287500000001</v>
      </c>
      <c r="AC108" s="3137">
        <f t="shared" si="145"/>
        <v>48760</v>
      </c>
      <c r="AD108" s="3140">
        <f t="shared" si="141"/>
        <v>78.157051874999993</v>
      </c>
      <c r="AE108" s="3137">
        <f t="shared" si="142"/>
        <v>49490</v>
      </c>
      <c r="AF108" s="3140">
        <f t="shared" si="143"/>
        <v>82.064904468750001</v>
      </c>
    </row>
    <row r="109" spans="1:32" ht="49.5">
      <c r="A109" s="3120">
        <v>170</v>
      </c>
      <c r="B109" s="3122" t="s">
        <v>912</v>
      </c>
      <c r="C109" s="3122" t="s">
        <v>981</v>
      </c>
      <c r="D109" s="3122" t="s">
        <v>935</v>
      </c>
      <c r="E109" s="3123" t="s">
        <v>915</v>
      </c>
      <c r="F109" s="3122">
        <v>683.01</v>
      </c>
      <c r="G109" s="3122">
        <v>60</v>
      </c>
      <c r="H109" s="3122">
        <v>683.01</v>
      </c>
      <c r="I109" s="3123" t="s">
        <v>982</v>
      </c>
      <c r="J109" s="3122">
        <v>64.3</v>
      </c>
      <c r="K109" s="3122" t="s">
        <v>983</v>
      </c>
      <c r="L109" s="3122" t="s">
        <v>799</v>
      </c>
      <c r="M109" s="3122">
        <f t="shared" si="130"/>
        <v>4.3917542999999997</v>
      </c>
      <c r="N109" s="3122">
        <f t="shared" si="129"/>
        <v>52.7010516</v>
      </c>
      <c r="O109" s="3122" t="s">
        <v>824</v>
      </c>
      <c r="P109" s="3122" t="s">
        <v>801</v>
      </c>
      <c r="Q109" s="3122"/>
      <c r="R109" s="3139">
        <f t="shared" si="57"/>
        <v>2.11</v>
      </c>
      <c r="S109" s="3137">
        <v>45108</v>
      </c>
      <c r="T109" s="3137">
        <v>49490</v>
      </c>
      <c r="U109" s="3137">
        <f t="shared" si="134"/>
        <v>45838</v>
      </c>
      <c r="V109" s="3138">
        <f t="shared" si="135"/>
        <v>64.3</v>
      </c>
      <c r="W109" s="3137">
        <f t="shared" si="136"/>
        <v>46568</v>
      </c>
      <c r="X109" s="3140">
        <f t="shared" si="137"/>
        <v>67.515000000000001</v>
      </c>
      <c r="Y109" s="3137">
        <f t="shared" si="144"/>
        <v>47299</v>
      </c>
      <c r="Z109" s="3140">
        <f t="shared" si="138"/>
        <v>70.890749999999997</v>
      </c>
      <c r="AA109" s="3137">
        <f t="shared" si="139"/>
        <v>48029</v>
      </c>
      <c r="AB109" s="3140">
        <f t="shared" si="140"/>
        <v>74.435287500000001</v>
      </c>
      <c r="AC109" s="3137">
        <f t="shared" si="145"/>
        <v>48760</v>
      </c>
      <c r="AD109" s="3140">
        <f t="shared" si="141"/>
        <v>78.157051874999993</v>
      </c>
      <c r="AE109" s="3137">
        <f t="shared" si="142"/>
        <v>49490</v>
      </c>
      <c r="AF109" s="3140">
        <f t="shared" si="143"/>
        <v>82.064904468750001</v>
      </c>
    </row>
    <row r="110" spans="1:32" ht="49.5">
      <c r="A110" s="3120">
        <v>171</v>
      </c>
      <c r="B110" s="3122" t="s">
        <v>912</v>
      </c>
      <c r="C110" s="3122" t="s">
        <v>981</v>
      </c>
      <c r="D110" s="3122" t="s">
        <v>954</v>
      </c>
      <c r="E110" s="3123" t="s">
        <v>915</v>
      </c>
      <c r="F110" s="3122">
        <v>683.01</v>
      </c>
      <c r="G110" s="3122">
        <v>60</v>
      </c>
      <c r="H110" s="3122">
        <v>683.01</v>
      </c>
      <c r="I110" s="3123" t="s">
        <v>982</v>
      </c>
      <c r="J110" s="3122">
        <v>64.3</v>
      </c>
      <c r="K110" s="3122" t="s">
        <v>983</v>
      </c>
      <c r="L110" s="3122" t="s">
        <v>799</v>
      </c>
      <c r="M110" s="3122">
        <f t="shared" si="130"/>
        <v>4.3917542999999997</v>
      </c>
      <c r="N110" s="3122">
        <f t="shared" si="129"/>
        <v>52.7010516</v>
      </c>
      <c r="O110" s="3122" t="s">
        <v>824</v>
      </c>
      <c r="P110" s="3122" t="s">
        <v>801</v>
      </c>
      <c r="Q110" s="3122"/>
      <c r="R110" s="3139">
        <f t="shared" si="57"/>
        <v>2.11</v>
      </c>
      <c r="S110" s="3137">
        <v>45108</v>
      </c>
      <c r="T110" s="3137">
        <v>49490</v>
      </c>
      <c r="U110" s="3137">
        <f t="shared" si="134"/>
        <v>45838</v>
      </c>
      <c r="V110" s="3138">
        <f t="shared" si="135"/>
        <v>64.3</v>
      </c>
      <c r="W110" s="3137">
        <f t="shared" si="136"/>
        <v>46568</v>
      </c>
      <c r="X110" s="3140">
        <f t="shared" si="137"/>
        <v>67.515000000000001</v>
      </c>
      <c r="Y110" s="3137">
        <f t="shared" si="144"/>
        <v>47299</v>
      </c>
      <c r="Z110" s="3140">
        <f t="shared" si="138"/>
        <v>70.890749999999997</v>
      </c>
      <c r="AA110" s="3137">
        <f t="shared" si="139"/>
        <v>48029</v>
      </c>
      <c r="AB110" s="3140">
        <f t="shared" si="140"/>
        <v>74.435287500000001</v>
      </c>
      <c r="AC110" s="3137">
        <f t="shared" si="145"/>
        <v>48760</v>
      </c>
      <c r="AD110" s="3140">
        <f t="shared" si="141"/>
        <v>78.157051874999993</v>
      </c>
      <c r="AE110" s="3137">
        <f t="shared" si="142"/>
        <v>49490</v>
      </c>
      <c r="AF110" s="3140">
        <f t="shared" si="143"/>
        <v>82.064904468750001</v>
      </c>
    </row>
    <row r="111" spans="1:32" ht="49.5">
      <c r="A111" s="3120">
        <v>172</v>
      </c>
      <c r="B111" s="3122" t="s">
        <v>912</v>
      </c>
      <c r="C111" s="3122" t="s">
        <v>981</v>
      </c>
      <c r="D111" s="3122" t="s">
        <v>956</v>
      </c>
      <c r="E111" s="3123" t="s">
        <v>915</v>
      </c>
      <c r="F111" s="3122">
        <v>427.59</v>
      </c>
      <c r="G111" s="3122">
        <v>60</v>
      </c>
      <c r="H111" s="3122">
        <v>427.59</v>
      </c>
      <c r="I111" s="3123" t="s">
        <v>982</v>
      </c>
      <c r="J111" s="3122">
        <v>64.3</v>
      </c>
      <c r="K111" s="3122" t="s">
        <v>983</v>
      </c>
      <c r="L111" s="3122" t="s">
        <v>799</v>
      </c>
      <c r="M111" s="3122">
        <f t="shared" si="130"/>
        <v>2.7494036999999998</v>
      </c>
      <c r="N111" s="3122">
        <f t="shared" si="129"/>
        <v>32.992844400000003</v>
      </c>
      <c r="O111" s="3122" t="s">
        <v>824</v>
      </c>
      <c r="P111" s="3122" t="s">
        <v>801</v>
      </c>
      <c r="Q111" s="3122"/>
      <c r="R111" s="3139">
        <f t="shared" si="57"/>
        <v>2.11</v>
      </c>
      <c r="S111" s="3137">
        <v>45108</v>
      </c>
      <c r="T111" s="3137">
        <v>49490</v>
      </c>
      <c r="U111" s="3137">
        <f t="shared" si="134"/>
        <v>45838</v>
      </c>
      <c r="V111" s="3138">
        <f t="shared" si="135"/>
        <v>64.3</v>
      </c>
      <c r="W111" s="3137">
        <f t="shared" si="136"/>
        <v>46568</v>
      </c>
      <c r="X111" s="3140">
        <f t="shared" si="137"/>
        <v>67.515000000000001</v>
      </c>
      <c r="Y111" s="3137">
        <f t="shared" si="144"/>
        <v>47299</v>
      </c>
      <c r="Z111" s="3140">
        <f t="shared" si="138"/>
        <v>70.890749999999997</v>
      </c>
      <c r="AA111" s="3137">
        <f t="shared" si="139"/>
        <v>48029</v>
      </c>
      <c r="AB111" s="3140">
        <f t="shared" si="140"/>
        <v>74.435287500000001</v>
      </c>
      <c r="AC111" s="3137">
        <f t="shared" si="145"/>
        <v>48760</v>
      </c>
      <c r="AD111" s="3140">
        <f t="shared" si="141"/>
        <v>78.157051874999993</v>
      </c>
      <c r="AE111" s="3137">
        <f t="shared" si="142"/>
        <v>49490</v>
      </c>
      <c r="AF111" s="3140">
        <f t="shared" si="143"/>
        <v>82.064904468750001</v>
      </c>
    </row>
    <row r="112" spans="1:32" ht="66">
      <c r="A112" s="3120">
        <v>173</v>
      </c>
      <c r="B112" s="3122" t="s">
        <v>912</v>
      </c>
      <c r="C112" s="3122" t="s">
        <v>981</v>
      </c>
      <c r="D112" s="3122" t="s">
        <v>929</v>
      </c>
      <c r="E112" s="3123" t="s">
        <v>915</v>
      </c>
      <c r="F112" s="3122">
        <v>139.35</v>
      </c>
      <c r="G112" s="3122">
        <v>100</v>
      </c>
      <c r="H112" s="3122">
        <v>139.35</v>
      </c>
      <c r="I112" s="3123" t="s">
        <v>982</v>
      </c>
      <c r="J112" s="3132">
        <v>64.3</v>
      </c>
      <c r="K112" s="3132" t="s">
        <v>983</v>
      </c>
      <c r="L112" s="3122" t="s">
        <v>816</v>
      </c>
      <c r="M112" s="3122">
        <f t="shared" si="130"/>
        <v>0.8960205</v>
      </c>
      <c r="N112" s="3122">
        <f t="shared" si="129"/>
        <v>10.752246</v>
      </c>
      <c r="O112" s="3122" t="s">
        <v>919</v>
      </c>
      <c r="P112" s="3122" t="s">
        <v>801</v>
      </c>
      <c r="Q112" s="3132" t="s">
        <v>984</v>
      </c>
      <c r="R112" s="3146"/>
      <c r="S112" s="3137">
        <v>45108</v>
      </c>
      <c r="T112" s="3137">
        <v>49490</v>
      </c>
      <c r="U112" s="3137">
        <f>T112</f>
        <v>49490</v>
      </c>
      <c r="V112" s="3138">
        <f t="shared" si="135"/>
        <v>64.3</v>
      </c>
      <c r="W112" s="3137"/>
      <c r="Y112" s="3137"/>
      <c r="AA112" s="3137"/>
      <c r="AC112" s="3137"/>
      <c r="AE112" s="3137"/>
    </row>
    <row r="113" spans="1:32" ht="49.5">
      <c r="A113" s="3120">
        <v>218</v>
      </c>
      <c r="B113" s="3122" t="s">
        <v>912</v>
      </c>
      <c r="C113" s="3122" t="s">
        <v>981</v>
      </c>
      <c r="D113" s="3122" t="s">
        <v>914</v>
      </c>
      <c r="E113" s="3123" t="s">
        <v>915</v>
      </c>
      <c r="F113" s="3122">
        <v>74.06</v>
      </c>
      <c r="G113" s="3122">
        <v>110</v>
      </c>
      <c r="H113" s="3122">
        <v>74.06</v>
      </c>
      <c r="I113" s="3123" t="s">
        <v>916</v>
      </c>
      <c r="J113" s="3122">
        <v>74.52</v>
      </c>
      <c r="K113" s="3128" t="s">
        <v>917</v>
      </c>
      <c r="L113" s="3122" t="s">
        <v>918</v>
      </c>
      <c r="M113" s="3122">
        <f t="shared" si="130"/>
        <v>0.55189511999999996</v>
      </c>
      <c r="N113" s="3122">
        <f t="shared" si="129"/>
        <v>6.6227414400000004</v>
      </c>
      <c r="O113" s="3122" t="s">
        <v>919</v>
      </c>
      <c r="P113" s="3122" t="s">
        <v>801</v>
      </c>
      <c r="Q113" s="3122"/>
      <c r="R113" s="3139">
        <f t="shared" si="57"/>
        <v>2.4500000000000002</v>
      </c>
      <c r="S113" s="3137">
        <v>45054</v>
      </c>
      <c r="T113" s="3137">
        <v>47975</v>
      </c>
      <c r="U113" s="3137">
        <f t="shared" ref="U113:U117" si="146">S113+3*365</f>
        <v>46149</v>
      </c>
      <c r="V113" s="3138">
        <f t="shared" si="135"/>
        <v>74.52</v>
      </c>
      <c r="W113" s="3137">
        <f t="shared" ref="W113:W117" si="147">U113+365</f>
        <v>46514</v>
      </c>
      <c r="X113" s="3140">
        <f t="shared" ref="X113:X117" si="148">V113*1.03</f>
        <v>76.755600000000001</v>
      </c>
      <c r="Y113" s="3137">
        <f t="shared" ref="Y113:Y117" si="149">W113+365+1</f>
        <v>46880</v>
      </c>
      <c r="Z113" s="3140">
        <f t="shared" ref="Z113:Z117" si="150">X113*1.03</f>
        <v>79.058267999999998</v>
      </c>
      <c r="AA113" s="3137">
        <f t="shared" ref="AA113:AA117" si="151">Y113+365</f>
        <v>47245</v>
      </c>
      <c r="AB113" s="3140">
        <f t="shared" ref="AB113:AB117" si="152">Z113*1.03</f>
        <v>81.430016039999998</v>
      </c>
      <c r="AC113" s="3137">
        <f t="shared" ref="AC113:AC117" si="153">AA113+365</f>
        <v>47610</v>
      </c>
      <c r="AD113" s="3140">
        <f t="shared" ref="AD113:AD117" si="154">AB113*1.03</f>
        <v>83.872916521199997</v>
      </c>
      <c r="AE113" s="3137">
        <f t="shared" ref="AE113:AE117" si="155">AC113+365</f>
        <v>47975</v>
      </c>
      <c r="AF113" s="3140">
        <f t="shared" ref="AF113:AF117" si="156">AD113*1.03</f>
        <v>86.389104016836001</v>
      </c>
    </row>
    <row r="114" spans="1:32" ht="49.5">
      <c r="A114" s="3120">
        <v>219</v>
      </c>
      <c r="B114" s="3122" t="s">
        <v>912</v>
      </c>
      <c r="C114" s="3122" t="s">
        <v>981</v>
      </c>
      <c r="D114" s="3122" t="s">
        <v>920</v>
      </c>
      <c r="E114" s="3123" t="s">
        <v>915</v>
      </c>
      <c r="F114" s="3122">
        <v>212.3</v>
      </c>
      <c r="G114" s="3122">
        <v>100</v>
      </c>
      <c r="H114" s="3122">
        <v>212.3</v>
      </c>
      <c r="I114" s="3123" t="s">
        <v>916</v>
      </c>
      <c r="J114" s="3122">
        <v>74.52</v>
      </c>
      <c r="K114" s="3128" t="s">
        <v>917</v>
      </c>
      <c r="L114" s="3122" t="s">
        <v>918</v>
      </c>
      <c r="M114" s="3122">
        <f t="shared" si="130"/>
        <v>1.5820596</v>
      </c>
      <c r="N114" s="3122">
        <f t="shared" si="129"/>
        <v>18.9847152</v>
      </c>
      <c r="O114" s="3122" t="s">
        <v>919</v>
      </c>
      <c r="P114" s="3122" t="s">
        <v>801</v>
      </c>
      <c r="Q114" s="3122"/>
      <c r="R114" s="3139">
        <f t="shared" si="57"/>
        <v>2.4500000000000002</v>
      </c>
      <c r="S114" s="3137">
        <v>45054</v>
      </c>
      <c r="T114" s="3137">
        <v>47975</v>
      </c>
      <c r="U114" s="3137">
        <f t="shared" si="146"/>
        <v>46149</v>
      </c>
      <c r="V114" s="3138">
        <f t="shared" si="135"/>
        <v>74.52</v>
      </c>
      <c r="W114" s="3137">
        <f t="shared" si="147"/>
        <v>46514</v>
      </c>
      <c r="X114" s="3140">
        <f t="shared" si="148"/>
        <v>76.755600000000001</v>
      </c>
      <c r="Y114" s="3137">
        <f t="shared" si="149"/>
        <v>46880</v>
      </c>
      <c r="Z114" s="3140">
        <f t="shared" si="150"/>
        <v>79.058267999999998</v>
      </c>
      <c r="AA114" s="3137">
        <f t="shared" si="151"/>
        <v>47245</v>
      </c>
      <c r="AB114" s="3140">
        <f t="shared" si="152"/>
        <v>81.430016039999998</v>
      </c>
      <c r="AC114" s="3137">
        <f t="shared" si="153"/>
        <v>47610</v>
      </c>
      <c r="AD114" s="3140">
        <f t="shared" si="154"/>
        <v>83.872916521199997</v>
      </c>
      <c r="AE114" s="3137">
        <f t="shared" si="155"/>
        <v>47975</v>
      </c>
      <c r="AF114" s="3140">
        <f t="shared" si="156"/>
        <v>86.389104016836001</v>
      </c>
    </row>
    <row r="115" spans="1:32" ht="49.5">
      <c r="A115" s="3120">
        <v>220</v>
      </c>
      <c r="B115" s="3122" t="s">
        <v>912</v>
      </c>
      <c r="C115" s="3122" t="s">
        <v>981</v>
      </c>
      <c r="D115" s="3122" t="s">
        <v>931</v>
      </c>
      <c r="E115" s="3123" t="s">
        <v>915</v>
      </c>
      <c r="F115" s="3122">
        <v>733.85</v>
      </c>
      <c r="G115" s="3122">
        <v>90</v>
      </c>
      <c r="H115" s="3122">
        <v>733.85</v>
      </c>
      <c r="I115" s="3123" t="s">
        <v>916</v>
      </c>
      <c r="J115" s="3122">
        <v>74.52</v>
      </c>
      <c r="K115" s="3128" t="s">
        <v>917</v>
      </c>
      <c r="L115" s="3122" t="s">
        <v>918</v>
      </c>
      <c r="M115" s="3122">
        <f t="shared" si="130"/>
        <v>5.4686501999999999</v>
      </c>
      <c r="N115" s="3122">
        <f t="shared" si="129"/>
        <v>65.623802400000002</v>
      </c>
      <c r="O115" s="3122" t="s">
        <v>919</v>
      </c>
      <c r="P115" s="3122" t="s">
        <v>801</v>
      </c>
      <c r="Q115" s="3122"/>
      <c r="R115" s="3139">
        <f t="shared" si="57"/>
        <v>2.4500000000000002</v>
      </c>
      <c r="S115" s="3137">
        <v>45054</v>
      </c>
      <c r="T115" s="3137">
        <v>47975</v>
      </c>
      <c r="U115" s="3137">
        <f t="shared" si="146"/>
        <v>46149</v>
      </c>
      <c r="V115" s="3138">
        <f t="shared" si="135"/>
        <v>74.52</v>
      </c>
      <c r="W115" s="3137">
        <f t="shared" si="147"/>
        <v>46514</v>
      </c>
      <c r="X115" s="3140">
        <f t="shared" si="148"/>
        <v>76.755600000000001</v>
      </c>
      <c r="Y115" s="3137">
        <f t="shared" si="149"/>
        <v>46880</v>
      </c>
      <c r="Z115" s="3140">
        <f t="shared" si="150"/>
        <v>79.058267999999998</v>
      </c>
      <c r="AA115" s="3137">
        <f t="shared" si="151"/>
        <v>47245</v>
      </c>
      <c r="AB115" s="3140">
        <f t="shared" si="152"/>
        <v>81.430016039999998</v>
      </c>
      <c r="AC115" s="3137">
        <f t="shared" si="153"/>
        <v>47610</v>
      </c>
      <c r="AD115" s="3140">
        <f t="shared" si="154"/>
        <v>83.872916521199997</v>
      </c>
      <c r="AE115" s="3137">
        <f t="shared" si="155"/>
        <v>47975</v>
      </c>
      <c r="AF115" s="3140">
        <f t="shared" si="156"/>
        <v>86.389104016836001</v>
      </c>
    </row>
    <row r="116" spans="1:32" ht="49.5">
      <c r="A116" s="3120">
        <v>221</v>
      </c>
      <c r="B116" s="3122" t="s">
        <v>912</v>
      </c>
      <c r="C116" s="3122" t="s">
        <v>981</v>
      </c>
      <c r="D116" s="3122" t="s">
        <v>921</v>
      </c>
      <c r="E116" s="3123" t="s">
        <v>915</v>
      </c>
      <c r="F116" s="3122">
        <v>62.11</v>
      </c>
      <c r="G116" s="3122">
        <v>90</v>
      </c>
      <c r="H116" s="3122">
        <v>62.11</v>
      </c>
      <c r="I116" s="3123" t="s">
        <v>916</v>
      </c>
      <c r="J116" s="3122">
        <v>74.52</v>
      </c>
      <c r="K116" s="3128" t="s">
        <v>917</v>
      </c>
      <c r="L116" s="3122" t="s">
        <v>918</v>
      </c>
      <c r="M116" s="3122">
        <f t="shared" si="130"/>
        <v>0.46284372000000001</v>
      </c>
      <c r="N116" s="3122">
        <f t="shared" si="129"/>
        <v>5.5541246400000004</v>
      </c>
      <c r="O116" s="3122" t="s">
        <v>919</v>
      </c>
      <c r="P116" s="3122" t="s">
        <v>801</v>
      </c>
      <c r="Q116" s="3122"/>
      <c r="R116" s="3139">
        <f t="shared" ref="R116:R127" si="157">ROUND(N116*10000/365/F116,2)</f>
        <v>2.4500000000000002</v>
      </c>
      <c r="S116" s="3137">
        <v>45054</v>
      </c>
      <c r="T116" s="3137">
        <v>47975</v>
      </c>
      <c r="U116" s="3137">
        <f t="shared" si="146"/>
        <v>46149</v>
      </c>
      <c r="V116" s="3138">
        <f t="shared" si="135"/>
        <v>74.52</v>
      </c>
      <c r="W116" s="3137">
        <f t="shared" si="147"/>
        <v>46514</v>
      </c>
      <c r="X116" s="3140">
        <f t="shared" si="148"/>
        <v>76.755600000000001</v>
      </c>
      <c r="Y116" s="3137">
        <f t="shared" si="149"/>
        <v>46880</v>
      </c>
      <c r="Z116" s="3140">
        <f t="shared" si="150"/>
        <v>79.058267999999998</v>
      </c>
      <c r="AA116" s="3137">
        <f t="shared" si="151"/>
        <v>47245</v>
      </c>
      <c r="AB116" s="3140">
        <f t="shared" si="152"/>
        <v>81.430016039999998</v>
      </c>
      <c r="AC116" s="3137">
        <f t="shared" si="153"/>
        <v>47610</v>
      </c>
      <c r="AD116" s="3140">
        <f t="shared" si="154"/>
        <v>83.872916521199997</v>
      </c>
      <c r="AE116" s="3137">
        <f t="shared" si="155"/>
        <v>47975</v>
      </c>
      <c r="AF116" s="3140">
        <f t="shared" si="156"/>
        <v>86.389104016836001</v>
      </c>
    </row>
    <row r="117" spans="1:32" ht="49.5">
      <c r="A117" s="3120">
        <v>222</v>
      </c>
      <c r="B117" s="3122" t="s">
        <v>912</v>
      </c>
      <c r="C117" s="3122" t="s">
        <v>981</v>
      </c>
      <c r="D117" s="3122" t="s">
        <v>922</v>
      </c>
      <c r="E117" s="3123" t="s">
        <v>915</v>
      </c>
      <c r="F117" s="3122">
        <v>137.26</v>
      </c>
      <c r="G117" s="3122">
        <v>90</v>
      </c>
      <c r="H117" s="3122">
        <v>137.26</v>
      </c>
      <c r="I117" s="3123" t="s">
        <v>916</v>
      </c>
      <c r="J117" s="3122">
        <v>74.52</v>
      </c>
      <c r="K117" s="3128" t="s">
        <v>917</v>
      </c>
      <c r="L117" s="3122" t="s">
        <v>918</v>
      </c>
      <c r="M117" s="3122">
        <f t="shared" si="130"/>
        <v>1.02286152</v>
      </c>
      <c r="N117" s="3122">
        <f t="shared" si="129"/>
        <v>12.274338240000001</v>
      </c>
      <c r="O117" s="3122" t="s">
        <v>919</v>
      </c>
      <c r="P117" s="3122" t="s">
        <v>801</v>
      </c>
      <c r="Q117" s="3122"/>
      <c r="R117" s="3139">
        <f t="shared" si="157"/>
        <v>2.4500000000000002</v>
      </c>
      <c r="S117" s="3137">
        <v>45054</v>
      </c>
      <c r="T117" s="3137">
        <v>47975</v>
      </c>
      <c r="U117" s="3137">
        <f t="shared" si="146"/>
        <v>46149</v>
      </c>
      <c r="V117" s="3138">
        <f t="shared" si="135"/>
        <v>74.52</v>
      </c>
      <c r="W117" s="3137">
        <f t="shared" si="147"/>
        <v>46514</v>
      </c>
      <c r="X117" s="3140">
        <f t="shared" si="148"/>
        <v>76.755600000000001</v>
      </c>
      <c r="Y117" s="3137">
        <f t="shared" si="149"/>
        <v>46880</v>
      </c>
      <c r="Z117" s="3140">
        <f t="shared" si="150"/>
        <v>79.058267999999998</v>
      </c>
      <c r="AA117" s="3137">
        <f t="shared" si="151"/>
        <v>47245</v>
      </c>
      <c r="AB117" s="3140">
        <f t="shared" si="152"/>
        <v>81.430016039999998</v>
      </c>
      <c r="AC117" s="3137">
        <f t="shared" si="153"/>
        <v>47610</v>
      </c>
      <c r="AD117" s="3140">
        <f t="shared" si="154"/>
        <v>83.872916521199997</v>
      </c>
      <c r="AE117" s="3137">
        <f t="shared" si="155"/>
        <v>47975</v>
      </c>
      <c r="AF117" s="3140">
        <f t="shared" si="156"/>
        <v>86.389104016836001</v>
      </c>
    </row>
    <row r="118" spans="1:32" ht="49.5">
      <c r="A118" s="3120">
        <v>153</v>
      </c>
      <c r="B118" s="3122" t="s">
        <v>912</v>
      </c>
      <c r="C118" s="3122" t="s">
        <v>985</v>
      </c>
      <c r="D118" s="3122" t="s">
        <v>932</v>
      </c>
      <c r="E118" s="3123" t="s">
        <v>915</v>
      </c>
      <c r="F118" s="3122">
        <v>642.85</v>
      </c>
      <c r="G118" s="3122">
        <v>60</v>
      </c>
      <c r="H118" s="3122">
        <v>642.85</v>
      </c>
      <c r="I118" s="3123" t="s">
        <v>986</v>
      </c>
      <c r="J118" s="3122">
        <v>70</v>
      </c>
      <c r="K118" s="3122" t="s">
        <v>987</v>
      </c>
      <c r="L118" s="3122" t="s">
        <v>799</v>
      </c>
      <c r="M118" s="3122">
        <f t="shared" si="130"/>
        <v>4.4999500000000001</v>
      </c>
      <c r="N118" s="3122">
        <f t="shared" si="129"/>
        <v>53.999400000000001</v>
      </c>
      <c r="O118" s="3122" t="s">
        <v>824</v>
      </c>
      <c r="P118" s="3122" t="s">
        <v>801</v>
      </c>
      <c r="Q118" s="3122"/>
      <c r="R118" s="3139">
        <f t="shared" si="157"/>
        <v>2.2999999999999998</v>
      </c>
      <c r="S118" s="3137">
        <v>44987</v>
      </c>
      <c r="T118" s="3137">
        <v>46082</v>
      </c>
      <c r="U118" s="3137">
        <f t="shared" ref="U118:U121" si="158">S118+2*365</f>
        <v>45717</v>
      </c>
      <c r="V118" s="3138">
        <f t="shared" si="135"/>
        <v>70</v>
      </c>
      <c r="W118" s="3137">
        <f>T118</f>
        <v>46082</v>
      </c>
      <c r="X118" s="3140">
        <f t="shared" ref="X118:X121" si="159">V118*1.05</f>
        <v>73.5</v>
      </c>
    </row>
    <row r="119" spans="1:32" ht="49.5">
      <c r="A119" s="3120">
        <v>154</v>
      </c>
      <c r="B119" s="3122" t="s">
        <v>912</v>
      </c>
      <c r="C119" s="3122" t="s">
        <v>985</v>
      </c>
      <c r="D119" s="3122" t="s">
        <v>934</v>
      </c>
      <c r="E119" s="3123" t="s">
        <v>915</v>
      </c>
      <c r="F119" s="3122">
        <v>644.86</v>
      </c>
      <c r="G119" s="3122">
        <v>60</v>
      </c>
      <c r="H119" s="3122">
        <v>644.86</v>
      </c>
      <c r="I119" s="3123" t="s">
        <v>986</v>
      </c>
      <c r="J119" s="3122">
        <v>70</v>
      </c>
      <c r="K119" s="3122" t="s">
        <v>987</v>
      </c>
      <c r="L119" s="3122" t="s">
        <v>799</v>
      </c>
      <c r="M119" s="3122">
        <f t="shared" si="130"/>
        <v>4.5140200000000004</v>
      </c>
      <c r="N119" s="3122">
        <f t="shared" si="129"/>
        <v>54.168239999999997</v>
      </c>
      <c r="O119" s="3122" t="s">
        <v>824</v>
      </c>
      <c r="P119" s="3122" t="s">
        <v>801</v>
      </c>
      <c r="Q119" s="3122"/>
      <c r="R119" s="3139">
        <f t="shared" si="157"/>
        <v>2.2999999999999998</v>
      </c>
      <c r="S119" s="3137">
        <v>44987</v>
      </c>
      <c r="T119" s="3137">
        <v>46082</v>
      </c>
      <c r="U119" s="3137">
        <f t="shared" si="158"/>
        <v>45717</v>
      </c>
      <c r="V119" s="3138">
        <f t="shared" si="135"/>
        <v>70</v>
      </c>
      <c r="W119" s="3137">
        <f t="shared" ref="W119:W121" si="160">T119</f>
        <v>46082</v>
      </c>
      <c r="X119" s="3140">
        <f t="shared" si="159"/>
        <v>73.5</v>
      </c>
    </row>
    <row r="120" spans="1:32" ht="49.5">
      <c r="A120" s="3120">
        <v>155</v>
      </c>
      <c r="B120" s="3122" t="s">
        <v>912</v>
      </c>
      <c r="C120" s="3122" t="s">
        <v>985</v>
      </c>
      <c r="D120" s="3122" t="s">
        <v>935</v>
      </c>
      <c r="E120" s="3123" t="s">
        <v>915</v>
      </c>
      <c r="F120" s="3122">
        <v>534.74</v>
      </c>
      <c r="G120" s="3122">
        <v>60</v>
      </c>
      <c r="H120" s="3122">
        <v>534.74</v>
      </c>
      <c r="I120" s="3123" t="s">
        <v>986</v>
      </c>
      <c r="J120" s="3122">
        <v>70</v>
      </c>
      <c r="K120" s="3122" t="s">
        <v>987</v>
      </c>
      <c r="L120" s="3122" t="s">
        <v>799</v>
      </c>
      <c r="M120" s="3122">
        <f t="shared" si="130"/>
        <v>3.7431800000000002</v>
      </c>
      <c r="N120" s="3122">
        <f t="shared" si="129"/>
        <v>44.91816</v>
      </c>
      <c r="O120" s="3122" t="s">
        <v>824</v>
      </c>
      <c r="P120" s="3122" t="s">
        <v>801</v>
      </c>
      <c r="Q120" s="3122"/>
      <c r="R120" s="3139">
        <f t="shared" si="157"/>
        <v>2.2999999999999998</v>
      </c>
      <c r="S120" s="3137">
        <v>44987</v>
      </c>
      <c r="T120" s="3137">
        <v>46082</v>
      </c>
      <c r="U120" s="3137">
        <f t="shared" si="158"/>
        <v>45717</v>
      </c>
      <c r="V120" s="3138">
        <f t="shared" si="135"/>
        <v>70</v>
      </c>
      <c r="W120" s="3137">
        <f t="shared" si="160"/>
        <v>46082</v>
      </c>
      <c r="X120" s="3140">
        <f t="shared" si="159"/>
        <v>73.5</v>
      </c>
    </row>
    <row r="121" spans="1:32" ht="49.5">
      <c r="A121" s="3142">
        <v>156</v>
      </c>
      <c r="B121" s="3143" t="s">
        <v>912</v>
      </c>
      <c r="C121" s="3144" t="s">
        <v>985</v>
      </c>
      <c r="D121" s="3144" t="s">
        <v>936</v>
      </c>
      <c r="E121" s="3123" t="s">
        <v>915</v>
      </c>
      <c r="F121" s="3144">
        <v>536.75</v>
      </c>
      <c r="G121" s="3144">
        <v>60</v>
      </c>
      <c r="H121" s="3144">
        <v>536.75</v>
      </c>
      <c r="I121" s="3145" t="s">
        <v>986</v>
      </c>
      <c r="J121" s="3144">
        <v>70</v>
      </c>
      <c r="K121" s="3122" t="s">
        <v>987</v>
      </c>
      <c r="L121" s="3122" t="s">
        <v>799</v>
      </c>
      <c r="M121" s="3144">
        <f t="shared" si="130"/>
        <v>3.75725</v>
      </c>
      <c r="N121" s="3144">
        <f t="shared" si="129"/>
        <v>45.087000000000003</v>
      </c>
      <c r="O121" s="3144" t="s">
        <v>824</v>
      </c>
      <c r="P121" s="3122" t="s">
        <v>801</v>
      </c>
      <c r="Q121" s="3144"/>
      <c r="R121" s="3139">
        <f t="shared" si="157"/>
        <v>2.2999999999999998</v>
      </c>
      <c r="S121" s="3137">
        <v>44987</v>
      </c>
      <c r="T121" s="3137">
        <v>46082</v>
      </c>
      <c r="U121" s="3137">
        <f t="shared" si="158"/>
        <v>45717</v>
      </c>
      <c r="V121" s="3138">
        <f t="shared" si="135"/>
        <v>70</v>
      </c>
      <c r="W121" s="3137">
        <f t="shared" si="160"/>
        <v>46082</v>
      </c>
      <c r="X121" s="3140">
        <f t="shared" si="159"/>
        <v>73.5</v>
      </c>
    </row>
    <row r="122" spans="1:32" ht="49.5">
      <c r="A122" s="3120">
        <v>210</v>
      </c>
      <c r="B122" s="3122" t="s">
        <v>912</v>
      </c>
      <c r="C122" s="3122" t="s">
        <v>985</v>
      </c>
      <c r="D122" s="3122" t="s">
        <v>926</v>
      </c>
      <c r="E122" s="3123" t="s">
        <v>915</v>
      </c>
      <c r="F122" s="3122">
        <v>634</v>
      </c>
      <c r="G122" s="3122">
        <v>60</v>
      </c>
      <c r="H122" s="3122">
        <v>634</v>
      </c>
      <c r="I122" s="3123" t="s">
        <v>988</v>
      </c>
      <c r="J122" s="3122">
        <v>62.65</v>
      </c>
      <c r="K122" s="3122" t="s">
        <v>989</v>
      </c>
      <c r="L122" s="3122" t="s">
        <v>870</v>
      </c>
      <c r="M122" s="3122">
        <f t="shared" si="130"/>
        <v>3.97201</v>
      </c>
      <c r="N122" s="3122">
        <f t="shared" si="129"/>
        <v>47.664119999999997</v>
      </c>
      <c r="O122" s="3122" t="s">
        <v>824</v>
      </c>
      <c r="P122" s="3122" t="s">
        <v>801</v>
      </c>
      <c r="Q122" s="3122"/>
      <c r="R122" s="3139">
        <f t="shared" si="157"/>
        <v>2.06</v>
      </c>
      <c r="S122" s="3137">
        <v>44459</v>
      </c>
      <c r="T122" s="3137">
        <v>46284</v>
      </c>
      <c r="U122" s="3137">
        <f>T122</f>
        <v>46284</v>
      </c>
      <c r="V122" s="3138">
        <f t="shared" si="135"/>
        <v>62.65</v>
      </c>
      <c r="X122" s="3140"/>
    </row>
    <row r="123" spans="1:32" ht="49.5">
      <c r="A123" s="3120">
        <v>211</v>
      </c>
      <c r="B123" s="3122" t="s">
        <v>912</v>
      </c>
      <c r="C123" s="3122" t="s">
        <v>985</v>
      </c>
      <c r="D123" s="3122" t="s">
        <v>929</v>
      </c>
      <c r="E123" s="3123" t="s">
        <v>915</v>
      </c>
      <c r="F123" s="3122">
        <v>613.58000000000004</v>
      </c>
      <c r="G123" s="3122">
        <v>60</v>
      </c>
      <c r="H123" s="3122">
        <v>613.58000000000004</v>
      </c>
      <c r="I123" s="3123" t="s">
        <v>988</v>
      </c>
      <c r="J123" s="3122">
        <v>62.65</v>
      </c>
      <c r="K123" s="3122" t="s">
        <v>989</v>
      </c>
      <c r="L123" s="3122" t="s">
        <v>870</v>
      </c>
      <c r="M123" s="3122">
        <f t="shared" si="130"/>
        <v>3.8440786999999998</v>
      </c>
      <c r="N123" s="3122">
        <f t="shared" si="129"/>
        <v>46.128944400000002</v>
      </c>
      <c r="O123" s="3122" t="s">
        <v>824</v>
      </c>
      <c r="P123" s="3122" t="s">
        <v>801</v>
      </c>
      <c r="Q123" s="3122"/>
      <c r="R123" s="3139">
        <f t="shared" si="157"/>
        <v>2.06</v>
      </c>
      <c r="S123" s="3137">
        <v>44459</v>
      </c>
      <c r="T123" s="3137">
        <v>46284</v>
      </c>
      <c r="U123" s="3137">
        <f t="shared" ref="U123:U127" si="161">T123</f>
        <v>46284</v>
      </c>
      <c r="V123" s="3138">
        <f t="shared" ref="V123:V127" si="162">J123</f>
        <v>62.65</v>
      </c>
    </row>
    <row r="124" spans="1:32" ht="49.5">
      <c r="A124" s="3120">
        <v>212</v>
      </c>
      <c r="B124" s="3122" t="s">
        <v>912</v>
      </c>
      <c r="C124" s="3122" t="s">
        <v>985</v>
      </c>
      <c r="D124" s="3122" t="s">
        <v>930</v>
      </c>
      <c r="E124" s="3123" t="s">
        <v>915</v>
      </c>
      <c r="F124" s="3122">
        <v>642.85</v>
      </c>
      <c r="G124" s="3122">
        <v>60</v>
      </c>
      <c r="H124" s="3122">
        <v>642.85</v>
      </c>
      <c r="I124" s="3123" t="s">
        <v>988</v>
      </c>
      <c r="J124" s="3122">
        <v>62.65</v>
      </c>
      <c r="K124" s="3122" t="s">
        <v>989</v>
      </c>
      <c r="L124" s="3122" t="s">
        <v>870</v>
      </c>
      <c r="M124" s="3122">
        <f t="shared" si="130"/>
        <v>4.02745525</v>
      </c>
      <c r="N124" s="3122">
        <f t="shared" si="129"/>
        <v>48.329462999999997</v>
      </c>
      <c r="O124" s="3122" t="s">
        <v>824</v>
      </c>
      <c r="P124" s="3122" t="s">
        <v>801</v>
      </c>
      <c r="Q124" s="3122"/>
      <c r="R124" s="3139">
        <f t="shared" si="157"/>
        <v>2.06</v>
      </c>
      <c r="S124" s="3137">
        <v>44459</v>
      </c>
      <c r="T124" s="3137">
        <v>46284</v>
      </c>
      <c r="U124" s="3137">
        <f t="shared" si="161"/>
        <v>46284</v>
      </c>
      <c r="V124" s="3138">
        <f t="shared" si="162"/>
        <v>62.65</v>
      </c>
    </row>
    <row r="125" spans="1:32" ht="49.5">
      <c r="A125" s="3120">
        <v>213</v>
      </c>
      <c r="B125" s="3122" t="s">
        <v>912</v>
      </c>
      <c r="C125" s="3122" t="s">
        <v>985</v>
      </c>
      <c r="D125" s="3122" t="s">
        <v>931</v>
      </c>
      <c r="E125" s="3123" t="s">
        <v>915</v>
      </c>
      <c r="F125" s="3122">
        <v>644.86</v>
      </c>
      <c r="G125" s="3122">
        <v>60</v>
      </c>
      <c r="H125" s="3122">
        <v>644.86</v>
      </c>
      <c r="I125" s="3123" t="s">
        <v>988</v>
      </c>
      <c r="J125" s="3122">
        <v>62.65</v>
      </c>
      <c r="K125" s="3122" t="s">
        <v>989</v>
      </c>
      <c r="L125" s="3122" t="s">
        <v>870</v>
      </c>
      <c r="M125" s="3122">
        <f t="shared" si="130"/>
        <v>4.0400479000000002</v>
      </c>
      <c r="N125" s="3122">
        <f t="shared" si="129"/>
        <v>48.480574799999999</v>
      </c>
      <c r="O125" s="3122" t="s">
        <v>824</v>
      </c>
      <c r="P125" s="3122" t="s">
        <v>801</v>
      </c>
      <c r="Q125" s="3122"/>
      <c r="R125" s="3139">
        <f t="shared" si="157"/>
        <v>2.06</v>
      </c>
      <c r="S125" s="3137">
        <v>44459</v>
      </c>
      <c r="T125" s="3137">
        <v>46284</v>
      </c>
      <c r="U125" s="3137">
        <f t="shared" si="161"/>
        <v>46284</v>
      </c>
      <c r="V125" s="3138">
        <f t="shared" si="162"/>
        <v>62.65</v>
      </c>
    </row>
    <row r="126" spans="1:32" ht="49.5">
      <c r="A126" s="3120">
        <v>214</v>
      </c>
      <c r="B126" s="3122" t="s">
        <v>912</v>
      </c>
      <c r="C126" s="3122" t="s">
        <v>985</v>
      </c>
      <c r="D126" s="3122" t="s">
        <v>937</v>
      </c>
      <c r="E126" s="3123" t="s">
        <v>915</v>
      </c>
      <c r="F126" s="3122">
        <v>642.85</v>
      </c>
      <c r="G126" s="3122">
        <v>60</v>
      </c>
      <c r="H126" s="3122">
        <v>642.85</v>
      </c>
      <c r="I126" s="3123" t="s">
        <v>988</v>
      </c>
      <c r="J126" s="3122">
        <v>62.65</v>
      </c>
      <c r="K126" s="3122" t="s">
        <v>989</v>
      </c>
      <c r="L126" s="3122" t="s">
        <v>870</v>
      </c>
      <c r="M126" s="3122">
        <f t="shared" si="130"/>
        <v>4.02745525</v>
      </c>
      <c r="N126" s="3122">
        <f t="shared" si="129"/>
        <v>48.329462999999997</v>
      </c>
      <c r="O126" s="3122" t="s">
        <v>824</v>
      </c>
      <c r="P126" s="3122" t="s">
        <v>801</v>
      </c>
      <c r="Q126" s="3122"/>
      <c r="R126" s="3139">
        <f t="shared" si="157"/>
        <v>2.06</v>
      </c>
      <c r="S126" s="3137">
        <v>44459</v>
      </c>
      <c r="T126" s="3137">
        <v>46284</v>
      </c>
      <c r="U126" s="3137">
        <f t="shared" si="161"/>
        <v>46284</v>
      </c>
      <c r="V126" s="3138">
        <f t="shared" si="162"/>
        <v>62.65</v>
      </c>
    </row>
    <row r="127" spans="1:32" ht="49.5">
      <c r="A127" s="3120">
        <v>215</v>
      </c>
      <c r="B127" s="3122" t="s">
        <v>912</v>
      </c>
      <c r="C127" s="3122" t="s">
        <v>985</v>
      </c>
      <c r="D127" s="3122" t="s">
        <v>938</v>
      </c>
      <c r="E127" s="3123" t="s">
        <v>915</v>
      </c>
      <c r="F127" s="3122">
        <v>644.86</v>
      </c>
      <c r="G127" s="3122">
        <v>60</v>
      </c>
      <c r="H127" s="3122">
        <v>644.86</v>
      </c>
      <c r="I127" s="3123" t="s">
        <v>988</v>
      </c>
      <c r="J127" s="3122">
        <v>62.65</v>
      </c>
      <c r="K127" s="3122" t="s">
        <v>989</v>
      </c>
      <c r="L127" s="3122" t="s">
        <v>870</v>
      </c>
      <c r="M127" s="3122">
        <f t="shared" si="130"/>
        <v>4.0400479000000002</v>
      </c>
      <c r="N127" s="3122">
        <f t="shared" si="129"/>
        <v>48.480574799999999</v>
      </c>
      <c r="O127" s="3122" t="s">
        <v>824</v>
      </c>
      <c r="P127" s="3122" t="s">
        <v>801</v>
      </c>
      <c r="Q127" s="3122"/>
      <c r="R127" s="3139">
        <f t="shared" si="157"/>
        <v>2.06</v>
      </c>
      <c r="S127" s="3137">
        <v>44459</v>
      </c>
      <c r="T127" s="3137">
        <v>46284</v>
      </c>
      <c r="U127" s="3137">
        <f t="shared" si="161"/>
        <v>46284</v>
      </c>
      <c r="V127" s="3138">
        <f t="shared" si="162"/>
        <v>62.65</v>
      </c>
    </row>
    <row r="128" spans="1:32" ht="33">
      <c r="A128" s="3120">
        <v>185</v>
      </c>
      <c r="B128" s="3122" t="s">
        <v>912</v>
      </c>
      <c r="C128" s="3122" t="s">
        <v>990</v>
      </c>
      <c r="D128" s="3122" t="s">
        <v>990</v>
      </c>
      <c r="E128" s="3123" t="s">
        <v>915</v>
      </c>
      <c r="F128" s="3122">
        <v>13605</v>
      </c>
      <c r="G128" s="3122" t="s">
        <v>816</v>
      </c>
      <c r="H128" s="3122">
        <v>13605</v>
      </c>
      <c r="I128" s="3123" t="s">
        <v>933</v>
      </c>
      <c r="J128" s="3122" t="s">
        <v>816</v>
      </c>
      <c r="K128" s="3122" t="s">
        <v>816</v>
      </c>
      <c r="L128" s="3122" t="s">
        <v>816</v>
      </c>
      <c r="M128" s="3122" t="s">
        <v>816</v>
      </c>
      <c r="N128" s="3122" t="s">
        <v>816</v>
      </c>
      <c r="O128" s="3122" t="s">
        <v>990</v>
      </c>
      <c r="P128" s="3123" t="s">
        <v>933</v>
      </c>
      <c r="Q128" s="3122"/>
      <c r="R128" s="3139"/>
      <c r="S128" s="3143" t="s">
        <v>991</v>
      </c>
    </row>
    <row r="129" spans="1:26" s="3113" customFormat="1" ht="16.5">
      <c r="A129" s="3668" t="s">
        <v>992</v>
      </c>
      <c r="B129" s="3669"/>
      <c r="C129" s="3669"/>
      <c r="D129" s="3147"/>
      <c r="E129" s="3148"/>
      <c r="F129" s="3125">
        <f>SUM(F39:F128)</f>
        <v>48965.54</v>
      </c>
      <c r="G129" s="3125"/>
      <c r="H129" s="3125">
        <f>SUM(H39:H104)</f>
        <v>25283.72</v>
      </c>
      <c r="I129" s="3167"/>
      <c r="J129" s="3168"/>
      <c r="K129" s="3168"/>
      <c r="L129" s="3169"/>
      <c r="M129" s="3170"/>
      <c r="N129" s="3170"/>
      <c r="O129" s="3171"/>
      <c r="P129" s="3168"/>
      <c r="Q129" s="3125"/>
      <c r="R129" s="3130"/>
      <c r="S129"/>
      <c r="T129"/>
    </row>
    <row r="130" spans="1:26" s="3113" customFormat="1" ht="16.5">
      <c r="A130" s="3668" t="s">
        <v>993</v>
      </c>
      <c r="B130" s="3669"/>
      <c r="C130" s="3669"/>
      <c r="D130" s="3670"/>
      <c r="E130" s="3124"/>
      <c r="F130" s="3125">
        <f>F129+F38+F34</f>
        <v>86260.25</v>
      </c>
      <c r="G130" s="3125"/>
      <c r="H130" s="3125"/>
      <c r="I130" s="3167"/>
      <c r="J130" s="3168"/>
      <c r="K130" s="3168"/>
      <c r="L130" s="3169"/>
      <c r="M130" s="3125"/>
      <c r="N130" s="3125"/>
      <c r="O130" s="3172"/>
      <c r="P130" s="3173"/>
      <c r="Q130" s="3125"/>
      <c r="R130" s="3130"/>
      <c r="S130"/>
      <c r="T130"/>
    </row>
    <row r="131" spans="1:26" s="3113" customFormat="1" ht="16.5">
      <c r="A131" s="3131"/>
      <c r="B131" s="3131"/>
      <c r="C131" s="3131" t="s">
        <v>994</v>
      </c>
      <c r="D131" s="3131"/>
      <c r="E131" s="3149"/>
      <c r="F131" s="3131"/>
      <c r="G131" s="3131"/>
      <c r="H131" s="3131"/>
      <c r="I131" s="3149"/>
      <c r="J131" s="3131"/>
      <c r="K131" s="3131"/>
      <c r="L131" s="3131"/>
      <c r="M131" s="3130"/>
      <c r="N131" s="3130"/>
      <c r="O131" s="3131"/>
      <c r="P131" s="3131"/>
      <c r="Q131" s="3131"/>
      <c r="R131" s="3131"/>
      <c r="S131"/>
      <c r="T131"/>
    </row>
    <row r="132" spans="1:26">
      <c r="A132" s="3150"/>
      <c r="B132" s="3150"/>
      <c r="C132" s="3150"/>
      <c r="D132" s="3150"/>
      <c r="E132" s="3151"/>
      <c r="F132" s="3150"/>
      <c r="G132" s="3150"/>
      <c r="H132" s="3150"/>
      <c r="I132" s="3150"/>
      <c r="J132" s="3150"/>
      <c r="K132" s="3150"/>
      <c r="L132" s="3150"/>
      <c r="M132" s="3174"/>
      <c r="N132" s="3174"/>
      <c r="O132" s="3150"/>
      <c r="P132" s="3150"/>
      <c r="Q132" s="3150"/>
      <c r="R132" s="3150"/>
    </row>
    <row r="133" spans="1:26" ht="16.5">
      <c r="A133" s="3152">
        <v>232</v>
      </c>
      <c r="B133" s="3153" t="s">
        <v>995</v>
      </c>
      <c r="C133" s="3153" t="s">
        <v>996</v>
      </c>
      <c r="D133" s="3153" t="s">
        <v>996</v>
      </c>
      <c r="E133" s="3154" t="s">
        <v>997</v>
      </c>
      <c r="F133" s="3153">
        <f>13.06*2</f>
        <v>26.12</v>
      </c>
      <c r="G133" s="3121" t="s">
        <v>816</v>
      </c>
      <c r="H133" s="3153">
        <f>13.06*2</f>
        <v>26.12</v>
      </c>
      <c r="I133" s="3175" t="s">
        <v>817</v>
      </c>
      <c r="J133" s="3121">
        <v>60</v>
      </c>
      <c r="K133" s="3121" t="s">
        <v>816</v>
      </c>
      <c r="L133" s="3121" t="s">
        <v>816</v>
      </c>
      <c r="M133" s="3122">
        <f>H133*J133/10000</f>
        <v>0.15672</v>
      </c>
      <c r="N133" s="3122">
        <f t="shared" ref="N133:N138" si="163">M133*12</f>
        <v>1.8806400000000001</v>
      </c>
      <c r="O133" s="3158" t="s">
        <v>998</v>
      </c>
      <c r="P133" s="3153" t="s">
        <v>818</v>
      </c>
      <c r="Q133" s="3122"/>
      <c r="R133" s="3135"/>
      <c r="S133" t="s">
        <v>816</v>
      </c>
    </row>
    <row r="134" spans="1:26" s="3113" customFormat="1" ht="16.5">
      <c r="A134" s="3661" t="s">
        <v>999</v>
      </c>
      <c r="B134" s="3662"/>
      <c r="C134" s="3662"/>
      <c r="D134" s="3663"/>
      <c r="E134" s="3155"/>
      <c r="F134" s="3156">
        <f>SUM(F133:F133)</f>
        <v>26.12</v>
      </c>
      <c r="G134" s="3125"/>
      <c r="H134" s="3156">
        <f>SUM(H133:H133)</f>
        <v>26.12</v>
      </c>
      <c r="I134" s="3127"/>
      <c r="J134" s="3125"/>
      <c r="K134" s="3125"/>
      <c r="L134" s="3125"/>
      <c r="M134" s="3125"/>
      <c r="N134" s="3125"/>
      <c r="O134" s="3156"/>
      <c r="P134" s="3156"/>
      <c r="Q134" s="3125"/>
      <c r="R134" s="3130"/>
      <c r="S134" t="s">
        <v>812</v>
      </c>
      <c r="T134"/>
    </row>
    <row r="135" spans="1:26" ht="33">
      <c r="A135" s="3157">
        <v>234</v>
      </c>
      <c r="B135" s="3158" t="s">
        <v>995</v>
      </c>
      <c r="C135" s="3158" t="s">
        <v>1000</v>
      </c>
      <c r="D135" s="3158" t="s">
        <v>1000</v>
      </c>
      <c r="E135" s="3133" t="s">
        <v>997</v>
      </c>
      <c r="F135" s="3158">
        <f>931.8+411</f>
        <v>1342.8</v>
      </c>
      <c r="G135" s="3122" t="s">
        <v>816</v>
      </c>
      <c r="H135" s="3158">
        <f>931.8+411</f>
        <v>1342.8</v>
      </c>
      <c r="I135" s="3123" t="s">
        <v>817</v>
      </c>
      <c r="J135" s="3122">
        <v>60</v>
      </c>
      <c r="K135" s="3122" t="s">
        <v>816</v>
      </c>
      <c r="L135" s="3122" t="s">
        <v>816</v>
      </c>
      <c r="M135" s="3122">
        <f>H135*J135/10000</f>
        <v>8.0568000000000008</v>
      </c>
      <c r="N135" s="3122">
        <f t="shared" si="163"/>
        <v>96.681600000000003</v>
      </c>
      <c r="O135" s="3158" t="s">
        <v>1001</v>
      </c>
      <c r="P135" s="3158" t="s">
        <v>818</v>
      </c>
      <c r="Q135" s="3122"/>
      <c r="R135" s="3139">
        <f t="shared" ref="R135:R138" si="164">ROUND(N135*10000/365/F135,2)</f>
        <v>1.97</v>
      </c>
      <c r="S135" t="s">
        <v>816</v>
      </c>
    </row>
    <row r="136" spans="1:26" s="3113" customFormat="1" ht="16.5">
      <c r="A136" s="3661" t="s">
        <v>1002</v>
      </c>
      <c r="B136" s="3662"/>
      <c r="C136" s="3662"/>
      <c r="D136" s="3663"/>
      <c r="E136" s="3155"/>
      <c r="F136" s="3156">
        <f>SUM(F135:F135)</f>
        <v>1342.8</v>
      </c>
      <c r="G136" s="3125"/>
      <c r="H136" s="3156">
        <f>SUM(H135:H135)</f>
        <v>1342.8</v>
      </c>
      <c r="I136" s="3127"/>
      <c r="J136" s="3125"/>
      <c r="K136" s="3125"/>
      <c r="L136" s="3125"/>
      <c r="M136" s="3125"/>
      <c r="N136" s="3125"/>
      <c r="O136" s="3156"/>
      <c r="P136" s="3156"/>
      <c r="Q136" s="3125"/>
      <c r="R136" s="3130"/>
      <c r="S136" t="s">
        <v>812</v>
      </c>
      <c r="T136"/>
    </row>
    <row r="137" spans="1:26" ht="33">
      <c r="A137" s="3157">
        <v>235</v>
      </c>
      <c r="B137" s="3158" t="s">
        <v>995</v>
      </c>
      <c r="C137" s="3158" t="s">
        <v>1003</v>
      </c>
      <c r="D137" s="3158" t="s">
        <v>1004</v>
      </c>
      <c r="E137" s="3133" t="s">
        <v>997</v>
      </c>
      <c r="F137" s="3158">
        <v>2430.3200000000002</v>
      </c>
      <c r="G137" s="3122">
        <v>60</v>
      </c>
      <c r="H137" s="3158">
        <v>2537.16</v>
      </c>
      <c r="I137" s="3123" t="s">
        <v>1005</v>
      </c>
      <c r="J137" s="3122">
        <v>60</v>
      </c>
      <c r="K137" s="3122" t="s">
        <v>1006</v>
      </c>
      <c r="L137" s="3122" t="s">
        <v>829</v>
      </c>
      <c r="M137" s="3122">
        <f>J137*H137/10000</f>
        <v>15.22296</v>
      </c>
      <c r="N137" s="3122">
        <f t="shared" si="163"/>
        <v>182.67552000000001</v>
      </c>
      <c r="O137" s="3158" t="s">
        <v>824</v>
      </c>
      <c r="P137" s="3158" t="s">
        <v>801</v>
      </c>
      <c r="Q137" s="3122"/>
      <c r="R137" s="3139">
        <f t="shared" si="164"/>
        <v>2.06</v>
      </c>
      <c r="S137" s="3136">
        <v>44198</v>
      </c>
      <c r="T137" s="3137">
        <v>45292</v>
      </c>
      <c r="U137" s="3137">
        <f>T137</f>
        <v>45292</v>
      </c>
      <c r="V137" s="3138">
        <f>J137</f>
        <v>60</v>
      </c>
    </row>
    <row r="138" spans="1:26" ht="33">
      <c r="A138" s="3157">
        <v>236</v>
      </c>
      <c r="B138" s="3158" t="s">
        <v>995</v>
      </c>
      <c r="C138" s="3158" t="s">
        <v>1007</v>
      </c>
      <c r="D138" s="3158" t="s">
        <v>1008</v>
      </c>
      <c r="E138" s="3133" t="s">
        <v>997</v>
      </c>
      <c r="F138" s="3158">
        <v>4668.6499999999996</v>
      </c>
      <c r="G138" s="3122">
        <v>60</v>
      </c>
      <c r="H138" s="3158">
        <v>4871.7700000000004</v>
      </c>
      <c r="I138" s="3123" t="s">
        <v>1005</v>
      </c>
      <c r="J138" s="3122">
        <v>60</v>
      </c>
      <c r="K138" s="3122" t="s">
        <v>1006</v>
      </c>
      <c r="L138" s="3122" t="s">
        <v>829</v>
      </c>
      <c r="M138" s="3122">
        <f>J138*H138/10000</f>
        <v>29.230619999999998</v>
      </c>
      <c r="N138" s="3122">
        <f t="shared" si="163"/>
        <v>350.76744000000002</v>
      </c>
      <c r="O138" s="3158" t="s">
        <v>824</v>
      </c>
      <c r="P138" s="3158" t="s">
        <v>801</v>
      </c>
      <c r="Q138" s="3122"/>
      <c r="R138" s="3139">
        <f t="shared" si="164"/>
        <v>2.06</v>
      </c>
      <c r="S138" s="3137">
        <v>44198</v>
      </c>
      <c r="T138" s="3137">
        <v>45292</v>
      </c>
      <c r="U138" s="3137">
        <f>T138</f>
        <v>45292</v>
      </c>
      <c r="V138" s="3138">
        <f>J138</f>
        <v>60</v>
      </c>
    </row>
    <row r="139" spans="1:26" s="3113" customFormat="1" ht="16.5">
      <c r="A139" s="3661" t="s">
        <v>1009</v>
      </c>
      <c r="B139" s="3662"/>
      <c r="C139" s="3662"/>
      <c r="D139" s="3663"/>
      <c r="E139" s="3155"/>
      <c r="F139" s="3156">
        <f>SUM(F137:F138)</f>
        <v>7098.97</v>
      </c>
      <c r="G139" s="3125"/>
      <c r="H139" s="3156">
        <f>SUM(H137:H138)</f>
        <v>7408.93</v>
      </c>
      <c r="I139" s="3127"/>
      <c r="J139" s="3125"/>
      <c r="K139" s="3125"/>
      <c r="L139" s="3125"/>
      <c r="M139" s="3125"/>
      <c r="N139" s="3125"/>
      <c r="O139" s="3156"/>
      <c r="P139" s="3156"/>
      <c r="Q139" s="3125"/>
      <c r="R139" s="3130"/>
      <c r="S139" t="s">
        <v>812</v>
      </c>
      <c r="T139" t="s">
        <v>812</v>
      </c>
    </row>
    <row r="140" spans="1:26" s="3113" customFormat="1" ht="16.5">
      <c r="A140" s="3661" t="s">
        <v>1010</v>
      </c>
      <c r="B140" s="3662"/>
      <c r="C140" s="3662"/>
      <c r="D140" s="3663"/>
      <c r="E140" s="3155"/>
      <c r="F140" s="3156">
        <f>F134+F139+F136</f>
        <v>8467.89</v>
      </c>
      <c r="G140" s="3125"/>
      <c r="H140" s="3156">
        <f>H134+H139+H136</f>
        <v>8777.85</v>
      </c>
      <c r="I140" s="3127"/>
      <c r="J140" s="3125"/>
      <c r="K140" s="3125"/>
      <c r="L140" s="3125"/>
      <c r="M140" s="3125"/>
      <c r="N140" s="3125"/>
      <c r="O140" s="3156"/>
      <c r="P140" s="3156"/>
      <c r="Q140" s="3125"/>
      <c r="R140" s="3130"/>
      <c r="S140" t="s">
        <v>812</v>
      </c>
      <c r="T140" t="s">
        <v>812</v>
      </c>
    </row>
    <row r="141" spans="1:26" ht="33">
      <c r="A141" s="3159">
        <v>242</v>
      </c>
      <c r="B141" s="3160" t="s">
        <v>440</v>
      </c>
      <c r="C141" s="3160" t="s">
        <v>1011</v>
      </c>
      <c r="D141" s="3160" t="s">
        <v>1012</v>
      </c>
      <c r="E141" s="3161" t="s">
        <v>1013</v>
      </c>
      <c r="F141" s="3160">
        <v>96.4</v>
      </c>
      <c r="G141" s="3160">
        <v>110</v>
      </c>
      <c r="H141" s="3160">
        <v>96.4</v>
      </c>
      <c r="I141" s="3145" t="s">
        <v>1014</v>
      </c>
      <c r="J141" s="3176">
        <v>97</v>
      </c>
      <c r="K141" s="3176" t="s">
        <v>1015</v>
      </c>
      <c r="L141" s="3144" t="s">
        <v>799</v>
      </c>
      <c r="M141" s="3144">
        <f t="shared" ref="M141:M152" si="165">H141*J141/10000</f>
        <v>0.93508000000000002</v>
      </c>
      <c r="N141" s="3144">
        <f t="shared" ref="N141:N152" si="166">M141*12</f>
        <v>11.22096</v>
      </c>
      <c r="O141" s="3160" t="s">
        <v>919</v>
      </c>
      <c r="P141" s="3160" t="s">
        <v>801</v>
      </c>
      <c r="Q141" s="3122"/>
      <c r="R141" s="3139">
        <f t="shared" ref="R141:R152" si="167">ROUND(N141*10000/365/F141,2)</f>
        <v>3.19</v>
      </c>
      <c r="S141" s="3137">
        <v>45200</v>
      </c>
      <c r="T141" s="3137">
        <v>47026</v>
      </c>
      <c r="U141" s="3137">
        <f t="shared" ref="U141:W141" si="168">S141+2*365</f>
        <v>45930</v>
      </c>
      <c r="V141" s="3138">
        <f t="shared" ref="V141:V144" si="169">J141</f>
        <v>97</v>
      </c>
      <c r="W141" s="3137">
        <f t="shared" si="168"/>
        <v>46660</v>
      </c>
      <c r="X141" s="3140">
        <f t="shared" ref="X141" si="170">V141*1.05</f>
        <v>101.85</v>
      </c>
      <c r="Y141" s="3137">
        <f>T141</f>
        <v>47026</v>
      </c>
      <c r="Z141" s="3140">
        <f t="shared" ref="Z141" si="171">X141*1.05</f>
        <v>106.9425</v>
      </c>
    </row>
    <row r="142" spans="1:26" ht="16.5">
      <c r="A142" s="3157">
        <v>243</v>
      </c>
      <c r="B142" s="3158" t="s">
        <v>440</v>
      </c>
      <c r="C142" s="3158" t="s">
        <v>1011</v>
      </c>
      <c r="D142" s="3158" t="s">
        <v>1016</v>
      </c>
      <c r="E142" s="3133" t="s">
        <v>1013</v>
      </c>
      <c r="F142" s="3158">
        <v>222.5</v>
      </c>
      <c r="G142" s="3158">
        <v>105</v>
      </c>
      <c r="H142" s="3158">
        <v>226.23</v>
      </c>
      <c r="I142" s="3123" t="s">
        <v>1017</v>
      </c>
      <c r="J142" s="3122">
        <v>125</v>
      </c>
      <c r="K142" s="3122" t="s">
        <v>1018</v>
      </c>
      <c r="L142" s="3122" t="s">
        <v>829</v>
      </c>
      <c r="M142" s="3122">
        <f t="shared" si="165"/>
        <v>2.8278750000000001</v>
      </c>
      <c r="N142" s="3122">
        <f t="shared" si="166"/>
        <v>33.9345</v>
      </c>
      <c r="O142" s="3158" t="s">
        <v>919</v>
      </c>
      <c r="P142" s="3158" t="s">
        <v>801</v>
      </c>
      <c r="Q142" s="3122"/>
      <c r="R142" s="3139">
        <f t="shared" si="167"/>
        <v>4.18</v>
      </c>
      <c r="S142" s="3137">
        <v>44659</v>
      </c>
      <c r="T142" s="3137">
        <v>45389</v>
      </c>
      <c r="U142" s="3137">
        <f>T142</f>
        <v>45389</v>
      </c>
      <c r="V142" s="3138">
        <f t="shared" si="169"/>
        <v>125</v>
      </c>
    </row>
    <row r="143" spans="1:26" ht="33">
      <c r="A143" s="3157">
        <v>244</v>
      </c>
      <c r="B143" s="3158" t="s">
        <v>440</v>
      </c>
      <c r="C143" s="3158" t="s">
        <v>1011</v>
      </c>
      <c r="D143" s="3158" t="s">
        <v>1019</v>
      </c>
      <c r="E143" s="3133" t="s">
        <v>1013</v>
      </c>
      <c r="F143" s="3158">
        <v>387.85</v>
      </c>
      <c r="G143" s="3158">
        <v>105</v>
      </c>
      <c r="H143" s="3158">
        <v>382.97</v>
      </c>
      <c r="I143" s="3123" t="s">
        <v>1020</v>
      </c>
      <c r="J143" s="3122">
        <v>64.31</v>
      </c>
      <c r="K143" s="3122" t="s">
        <v>1021</v>
      </c>
      <c r="L143" s="3122" t="s">
        <v>1022</v>
      </c>
      <c r="M143" s="3122">
        <f t="shared" si="165"/>
        <v>2.4628800700000002</v>
      </c>
      <c r="N143" s="3122">
        <f t="shared" si="166"/>
        <v>29.554560840000001</v>
      </c>
      <c r="O143" s="3158" t="s">
        <v>919</v>
      </c>
      <c r="P143" s="3158" t="s">
        <v>801</v>
      </c>
      <c r="Q143" s="3122"/>
      <c r="R143" s="3139">
        <f t="shared" si="167"/>
        <v>2.09</v>
      </c>
      <c r="S143" s="3137">
        <v>43128</v>
      </c>
      <c r="T143" s="3137">
        <v>45318</v>
      </c>
      <c r="U143" s="3137">
        <f>T143</f>
        <v>45318</v>
      </c>
      <c r="V143" s="3138">
        <f t="shared" si="169"/>
        <v>64.31</v>
      </c>
    </row>
    <row r="144" spans="1:26" ht="33">
      <c r="A144" s="3157">
        <v>245</v>
      </c>
      <c r="B144" s="3158" t="s">
        <v>440</v>
      </c>
      <c r="C144" s="3158" t="s">
        <v>1011</v>
      </c>
      <c r="D144" s="3158" t="s">
        <v>1023</v>
      </c>
      <c r="E144" s="3133" t="s">
        <v>1013</v>
      </c>
      <c r="F144" s="3158">
        <v>880.1</v>
      </c>
      <c r="G144" s="3158">
        <v>100</v>
      </c>
      <c r="H144" s="3158">
        <v>869.03</v>
      </c>
      <c r="I144" s="3123" t="s">
        <v>1020</v>
      </c>
      <c r="J144" s="3122">
        <v>64.31</v>
      </c>
      <c r="K144" s="3122" t="s">
        <v>1021</v>
      </c>
      <c r="L144" s="3122" t="s">
        <v>1022</v>
      </c>
      <c r="M144" s="3122">
        <f t="shared" si="165"/>
        <v>5.5887319299999998</v>
      </c>
      <c r="N144" s="3122">
        <f t="shared" si="166"/>
        <v>67.064783160000005</v>
      </c>
      <c r="O144" s="3158" t="s">
        <v>919</v>
      </c>
      <c r="P144" s="3158" t="s">
        <v>801</v>
      </c>
      <c r="Q144" s="3122"/>
      <c r="R144" s="3139">
        <f t="shared" si="167"/>
        <v>2.09</v>
      </c>
      <c r="S144" s="3137">
        <v>43128</v>
      </c>
      <c r="T144" s="3137">
        <v>45318</v>
      </c>
      <c r="U144" s="3137">
        <f>T144</f>
        <v>45318</v>
      </c>
      <c r="V144" s="3138">
        <f t="shared" si="169"/>
        <v>64.31</v>
      </c>
    </row>
    <row r="145" spans="1:24" ht="16.5">
      <c r="A145" s="3157">
        <v>246</v>
      </c>
      <c r="B145" s="3158" t="s">
        <v>440</v>
      </c>
      <c r="C145" s="3158" t="s">
        <v>1011</v>
      </c>
      <c r="D145" s="3158" t="s">
        <v>1024</v>
      </c>
      <c r="E145" s="3133" t="s">
        <v>1013</v>
      </c>
      <c r="F145" s="3158">
        <v>359.64</v>
      </c>
      <c r="G145" s="3158">
        <v>100</v>
      </c>
      <c r="H145" s="3158">
        <v>365.69</v>
      </c>
      <c r="I145" s="3123" t="s">
        <v>1025</v>
      </c>
      <c r="J145" s="3122">
        <v>65.95</v>
      </c>
      <c r="K145" s="3122" t="s">
        <v>1026</v>
      </c>
      <c r="L145" s="3122" t="s">
        <v>1022</v>
      </c>
      <c r="M145" s="3122">
        <f t="shared" si="165"/>
        <v>2.4117255499999999</v>
      </c>
      <c r="N145" s="3122">
        <f t="shared" si="166"/>
        <v>28.940706599999999</v>
      </c>
      <c r="O145" s="3158" t="s">
        <v>919</v>
      </c>
      <c r="P145" s="3158" t="s">
        <v>801</v>
      </c>
      <c r="Q145" s="3122"/>
      <c r="R145" s="3139">
        <f t="shared" si="167"/>
        <v>2.2000000000000002</v>
      </c>
      <c r="S145" s="3137">
        <v>40652</v>
      </c>
      <c r="T145" s="3137">
        <v>45765</v>
      </c>
      <c r="U145" s="3137">
        <v>45400</v>
      </c>
      <c r="V145" s="3138">
        <f t="shared" ref="V145:V152" si="172">J145</f>
        <v>65.95</v>
      </c>
      <c r="W145" s="3137">
        <f>T145</f>
        <v>45765</v>
      </c>
      <c r="X145" s="3140">
        <f t="shared" ref="X145:X146" si="173">V145*1.05</f>
        <v>69.247500000000002</v>
      </c>
    </row>
    <row r="146" spans="1:24" ht="16.5">
      <c r="A146" s="3157">
        <v>247</v>
      </c>
      <c r="B146" s="3158" t="s">
        <v>440</v>
      </c>
      <c r="C146" s="3158" t="s">
        <v>1011</v>
      </c>
      <c r="D146" s="3158" t="s">
        <v>1027</v>
      </c>
      <c r="E146" s="3133" t="s">
        <v>1013</v>
      </c>
      <c r="F146" s="3158">
        <v>391.21</v>
      </c>
      <c r="G146" s="3158">
        <v>100</v>
      </c>
      <c r="H146" s="3158">
        <v>397.79</v>
      </c>
      <c r="I146" s="3123" t="s">
        <v>1025</v>
      </c>
      <c r="J146" s="3122">
        <v>65.95</v>
      </c>
      <c r="K146" s="3122" t="s">
        <v>1026</v>
      </c>
      <c r="L146" s="3122" t="s">
        <v>1022</v>
      </c>
      <c r="M146" s="3122">
        <f t="shared" si="165"/>
        <v>2.6234250499999998</v>
      </c>
      <c r="N146" s="3122">
        <f t="shared" si="166"/>
        <v>31.481100600000001</v>
      </c>
      <c r="O146" s="3158" t="s">
        <v>919</v>
      </c>
      <c r="P146" s="3158" t="s">
        <v>801</v>
      </c>
      <c r="Q146" s="3122"/>
      <c r="R146" s="3139">
        <f t="shared" si="167"/>
        <v>2.2000000000000002</v>
      </c>
      <c r="S146" s="3137">
        <v>40652</v>
      </c>
      <c r="T146" s="3137">
        <v>45765</v>
      </c>
      <c r="U146" s="3137">
        <v>45400</v>
      </c>
      <c r="V146" s="3138">
        <f t="shared" si="172"/>
        <v>65.95</v>
      </c>
      <c r="W146" s="3137">
        <f>T146</f>
        <v>45765</v>
      </c>
      <c r="X146" s="3140">
        <f t="shared" si="173"/>
        <v>69.247500000000002</v>
      </c>
    </row>
    <row r="147" spans="1:24" ht="33">
      <c r="A147" s="3157">
        <v>248</v>
      </c>
      <c r="B147" s="3158" t="s">
        <v>440</v>
      </c>
      <c r="C147" s="3158" t="s">
        <v>1011</v>
      </c>
      <c r="D147" s="3158" t="s">
        <v>1028</v>
      </c>
      <c r="E147" s="3133" t="s">
        <v>1013</v>
      </c>
      <c r="F147" s="3158">
        <v>629.99</v>
      </c>
      <c r="G147" s="3158">
        <v>90</v>
      </c>
      <c r="H147" s="3158">
        <v>633.08000000000004</v>
      </c>
      <c r="I147" s="3123" t="s">
        <v>1020</v>
      </c>
      <c r="J147" s="3122">
        <v>64.31</v>
      </c>
      <c r="K147" s="3122" t="s">
        <v>1021</v>
      </c>
      <c r="L147" s="3122" t="s">
        <v>1022</v>
      </c>
      <c r="M147" s="3122">
        <f t="shared" si="165"/>
        <v>4.0713374800000004</v>
      </c>
      <c r="N147" s="3122">
        <f t="shared" si="166"/>
        <v>48.856049759999998</v>
      </c>
      <c r="O147" s="3158" t="s">
        <v>919</v>
      </c>
      <c r="P147" s="3158" t="s">
        <v>801</v>
      </c>
      <c r="Q147" s="3122"/>
      <c r="R147" s="3139">
        <f t="shared" si="167"/>
        <v>2.12</v>
      </c>
      <c r="S147" s="3137">
        <v>43128</v>
      </c>
      <c r="T147" s="3137">
        <v>45318</v>
      </c>
      <c r="U147" s="3137">
        <f>T147</f>
        <v>45318</v>
      </c>
      <c r="V147" s="3138">
        <f t="shared" si="172"/>
        <v>64.31</v>
      </c>
    </row>
    <row r="148" spans="1:24" ht="33">
      <c r="A148" s="3157">
        <v>249</v>
      </c>
      <c r="B148" s="3158" t="s">
        <v>440</v>
      </c>
      <c r="C148" s="3158" t="s">
        <v>1011</v>
      </c>
      <c r="D148" s="3158" t="s">
        <v>1029</v>
      </c>
      <c r="E148" s="3133" t="s">
        <v>1013</v>
      </c>
      <c r="F148" s="3158">
        <v>510.69</v>
      </c>
      <c r="G148" s="3158">
        <v>90</v>
      </c>
      <c r="H148" s="3158">
        <v>513.19000000000005</v>
      </c>
      <c r="I148" s="3123" t="s">
        <v>1020</v>
      </c>
      <c r="J148" s="3122">
        <v>64.31</v>
      </c>
      <c r="K148" s="3122" t="s">
        <v>1021</v>
      </c>
      <c r="L148" s="3122" t="s">
        <v>1022</v>
      </c>
      <c r="M148" s="3122">
        <f t="shared" si="165"/>
        <v>3.3003248900000002</v>
      </c>
      <c r="N148" s="3122">
        <f t="shared" si="166"/>
        <v>39.60389868</v>
      </c>
      <c r="O148" s="3158" t="s">
        <v>919</v>
      </c>
      <c r="P148" s="3158" t="s">
        <v>801</v>
      </c>
      <c r="Q148" s="3122"/>
      <c r="R148" s="3139">
        <f t="shared" si="167"/>
        <v>2.12</v>
      </c>
      <c r="S148" s="3137">
        <v>43128</v>
      </c>
      <c r="T148" s="3137">
        <v>45318</v>
      </c>
      <c r="U148" s="3137">
        <f>T148</f>
        <v>45318</v>
      </c>
      <c r="V148" s="3138">
        <f t="shared" si="172"/>
        <v>64.31</v>
      </c>
    </row>
    <row r="149" spans="1:24" ht="33">
      <c r="A149" s="3157">
        <v>250</v>
      </c>
      <c r="B149" s="3158" t="s">
        <v>440</v>
      </c>
      <c r="C149" s="3158" t="s">
        <v>1011</v>
      </c>
      <c r="D149" s="3158" t="s">
        <v>1030</v>
      </c>
      <c r="E149" s="3133" t="s">
        <v>1013</v>
      </c>
      <c r="F149" s="3158">
        <v>651.22</v>
      </c>
      <c r="G149" s="3158">
        <v>90</v>
      </c>
      <c r="H149" s="3158">
        <v>654.41</v>
      </c>
      <c r="I149" s="3123" t="s">
        <v>1020</v>
      </c>
      <c r="J149" s="3122">
        <v>64.31</v>
      </c>
      <c r="K149" s="3122" t="s">
        <v>1021</v>
      </c>
      <c r="L149" s="3122" t="s">
        <v>1022</v>
      </c>
      <c r="M149" s="3122">
        <f t="shared" si="165"/>
        <v>4.2085107099999997</v>
      </c>
      <c r="N149" s="3122">
        <f t="shared" si="166"/>
        <v>50.502128519999999</v>
      </c>
      <c r="O149" s="3158" t="s">
        <v>919</v>
      </c>
      <c r="P149" s="3158" t="s">
        <v>801</v>
      </c>
      <c r="Q149" s="3122"/>
      <c r="R149" s="3139">
        <f t="shared" si="167"/>
        <v>2.12</v>
      </c>
      <c r="S149" s="3137">
        <v>43128</v>
      </c>
      <c r="T149" s="3137">
        <v>45318</v>
      </c>
      <c r="U149" s="3137">
        <f>T149</f>
        <v>45318</v>
      </c>
      <c r="V149" s="3138">
        <f t="shared" si="172"/>
        <v>64.31</v>
      </c>
    </row>
    <row r="150" spans="1:24" ht="33">
      <c r="A150" s="3157">
        <v>251</v>
      </c>
      <c r="B150" s="3158" t="s">
        <v>440</v>
      </c>
      <c r="C150" s="3158" t="s">
        <v>1011</v>
      </c>
      <c r="D150" s="3158" t="s">
        <v>1031</v>
      </c>
      <c r="E150" s="3133" t="s">
        <v>1013</v>
      </c>
      <c r="F150" s="3158">
        <v>269.99</v>
      </c>
      <c r="G150" s="3158">
        <v>90</v>
      </c>
      <c r="H150" s="3158">
        <v>271.31</v>
      </c>
      <c r="I150" s="3123" t="s">
        <v>1020</v>
      </c>
      <c r="J150" s="3122">
        <v>64.31</v>
      </c>
      <c r="K150" s="3122" t="s">
        <v>1021</v>
      </c>
      <c r="L150" s="3122" t="s">
        <v>1022</v>
      </c>
      <c r="M150" s="3122">
        <f t="shared" si="165"/>
        <v>1.74479461</v>
      </c>
      <c r="N150" s="3122">
        <f t="shared" si="166"/>
        <v>20.937535319999999</v>
      </c>
      <c r="O150" s="3158" t="s">
        <v>919</v>
      </c>
      <c r="P150" s="3158" t="s">
        <v>801</v>
      </c>
      <c r="Q150" s="3122"/>
      <c r="R150" s="3139">
        <f t="shared" si="167"/>
        <v>2.12</v>
      </c>
      <c r="S150" s="3137">
        <v>43128</v>
      </c>
      <c r="T150" s="3137">
        <v>45318</v>
      </c>
      <c r="U150" s="3137">
        <f>T150</f>
        <v>45318</v>
      </c>
      <c r="V150" s="3138">
        <f t="shared" si="172"/>
        <v>64.31</v>
      </c>
    </row>
    <row r="151" spans="1:24" ht="16.5">
      <c r="A151" s="3157">
        <v>252</v>
      </c>
      <c r="B151" s="3158" t="s">
        <v>440</v>
      </c>
      <c r="C151" s="3158" t="s">
        <v>1011</v>
      </c>
      <c r="D151" s="3158" t="s">
        <v>1032</v>
      </c>
      <c r="E151" s="3133" t="s">
        <v>1013</v>
      </c>
      <c r="F151" s="3158">
        <v>657.75</v>
      </c>
      <c r="G151" s="3158">
        <v>90</v>
      </c>
      <c r="H151" s="3158">
        <v>651.16</v>
      </c>
      <c r="I151" s="3123" t="s">
        <v>1025</v>
      </c>
      <c r="J151" s="3122">
        <v>65.95</v>
      </c>
      <c r="K151" s="3122" t="s">
        <v>1026</v>
      </c>
      <c r="L151" s="3122" t="s">
        <v>1022</v>
      </c>
      <c r="M151" s="3122">
        <f t="shared" si="165"/>
        <v>4.2944002000000001</v>
      </c>
      <c r="N151" s="3122">
        <f t="shared" si="166"/>
        <v>51.532802400000001</v>
      </c>
      <c r="O151" s="3158" t="s">
        <v>919</v>
      </c>
      <c r="P151" s="3158" t="s">
        <v>801</v>
      </c>
      <c r="Q151" s="3122"/>
      <c r="R151" s="3139">
        <f t="shared" si="167"/>
        <v>2.15</v>
      </c>
      <c r="S151" s="3137">
        <v>40652</v>
      </c>
      <c r="T151" s="3137">
        <v>45765</v>
      </c>
      <c r="U151" s="3137">
        <v>45400</v>
      </c>
      <c r="V151" s="3138">
        <f t="shared" si="172"/>
        <v>65.95</v>
      </c>
      <c r="W151" s="3137">
        <f>T151</f>
        <v>45765</v>
      </c>
      <c r="X151" s="3140">
        <f t="shared" ref="X151:X152" si="174">V151*1.05</f>
        <v>69.247500000000002</v>
      </c>
    </row>
    <row r="152" spans="1:24" ht="16.5">
      <c r="A152" s="3157">
        <v>253</v>
      </c>
      <c r="B152" s="3158" t="s">
        <v>440</v>
      </c>
      <c r="C152" s="3158" t="s">
        <v>1011</v>
      </c>
      <c r="D152" s="3158" t="s">
        <v>1033</v>
      </c>
      <c r="E152" s="3133" t="s">
        <v>1013</v>
      </c>
      <c r="F152" s="3158">
        <v>551.13</v>
      </c>
      <c r="G152" s="3158"/>
      <c r="H152" s="3158">
        <v>545.61</v>
      </c>
      <c r="I152" s="3123" t="s">
        <v>1025</v>
      </c>
      <c r="J152" s="3122">
        <v>65.95</v>
      </c>
      <c r="K152" s="3122" t="s">
        <v>1026</v>
      </c>
      <c r="L152" s="3122" t="s">
        <v>1022</v>
      </c>
      <c r="M152" s="3122">
        <f t="shared" si="165"/>
        <v>3.5982979500000001</v>
      </c>
      <c r="N152" s="3122">
        <f t="shared" si="166"/>
        <v>43.179575399999997</v>
      </c>
      <c r="O152" s="3158" t="s">
        <v>919</v>
      </c>
      <c r="P152" s="3158" t="s">
        <v>801</v>
      </c>
      <c r="Q152" s="3122"/>
      <c r="R152" s="3139">
        <f t="shared" si="167"/>
        <v>2.15</v>
      </c>
      <c r="S152" s="3137">
        <v>40652</v>
      </c>
      <c r="T152" s="3137">
        <v>45765</v>
      </c>
      <c r="U152" s="3137">
        <v>45400</v>
      </c>
      <c r="V152" s="3138">
        <f t="shared" si="172"/>
        <v>65.95</v>
      </c>
      <c r="W152" s="3137">
        <f>T152</f>
        <v>45765</v>
      </c>
      <c r="X152" s="3140">
        <f t="shared" si="174"/>
        <v>69.247500000000002</v>
      </c>
    </row>
    <row r="153" spans="1:24" s="3113" customFormat="1" ht="16.5">
      <c r="A153" s="3664" t="s">
        <v>1034</v>
      </c>
      <c r="B153" s="3664"/>
      <c r="C153" s="3664"/>
      <c r="D153" s="3664"/>
      <c r="E153" s="3162"/>
      <c r="F153" s="3163">
        <f>SUM(F141:F152)</f>
        <v>5608.47</v>
      </c>
      <c r="G153" s="3163"/>
      <c r="H153" s="3163">
        <f>SUM(H141:H152)</f>
        <v>5606.87</v>
      </c>
      <c r="I153" s="3177"/>
      <c r="J153" s="3170"/>
      <c r="K153" s="3170"/>
      <c r="L153" s="3170"/>
      <c r="M153" s="3170"/>
      <c r="N153" s="3170"/>
      <c r="O153" s="3178"/>
      <c r="P153" s="3178"/>
      <c r="Q153" s="3125"/>
      <c r="R153" s="3130"/>
      <c r="S153" t="s">
        <v>812</v>
      </c>
      <c r="T153" t="s">
        <v>812</v>
      </c>
    </row>
    <row r="154" spans="1:24" ht="33">
      <c r="A154" s="3157">
        <v>254</v>
      </c>
      <c r="B154" s="3158" t="s">
        <v>440</v>
      </c>
      <c r="C154" s="3158" t="s">
        <v>1035</v>
      </c>
      <c r="D154" s="3158" t="s">
        <v>1035</v>
      </c>
      <c r="E154" s="3133" t="s">
        <v>1013</v>
      </c>
      <c r="F154" s="3158">
        <v>3996.84</v>
      </c>
      <c r="G154" s="3158" t="s">
        <v>816</v>
      </c>
      <c r="H154" s="3158">
        <v>3996.84</v>
      </c>
      <c r="I154" s="3123"/>
      <c r="J154" s="3122" t="s">
        <v>816</v>
      </c>
      <c r="K154" s="3122" t="s">
        <v>816</v>
      </c>
      <c r="L154" s="3122" t="s">
        <v>816</v>
      </c>
      <c r="M154" s="3122" t="s">
        <v>816</v>
      </c>
      <c r="N154" s="3122" t="s">
        <v>816</v>
      </c>
      <c r="O154" s="3158" t="s">
        <v>626</v>
      </c>
      <c r="P154" s="3158" t="s">
        <v>933</v>
      </c>
      <c r="Q154" s="3122"/>
      <c r="R154" s="3135"/>
      <c r="S154" t="s">
        <v>933</v>
      </c>
      <c r="T154" t="s">
        <v>816</v>
      </c>
    </row>
    <row r="155" spans="1:24" ht="16.5">
      <c r="A155" s="3157">
        <v>255</v>
      </c>
      <c r="B155" s="3158" t="s">
        <v>440</v>
      </c>
      <c r="C155" s="3158" t="s">
        <v>1011</v>
      </c>
      <c r="D155" s="3158" t="s">
        <v>1036</v>
      </c>
      <c r="E155" s="3133" t="s">
        <v>1013</v>
      </c>
      <c r="F155" s="3158">
        <v>157.57</v>
      </c>
      <c r="G155" s="3158">
        <v>100</v>
      </c>
      <c r="H155" s="3158">
        <v>157.57</v>
      </c>
      <c r="I155" s="3123"/>
      <c r="J155" s="3122">
        <v>65</v>
      </c>
      <c r="K155" s="3122" t="s">
        <v>816</v>
      </c>
      <c r="L155" s="3122" t="s">
        <v>816</v>
      </c>
      <c r="M155" s="3122">
        <f t="shared" ref="M155:M158" si="175">H155*J155/10000</f>
        <v>1.024205</v>
      </c>
      <c r="N155" s="3122">
        <f t="shared" ref="N155:N158" si="176">M155*12</f>
        <v>12.290459999999999</v>
      </c>
      <c r="O155" s="3158" t="s">
        <v>919</v>
      </c>
      <c r="P155" s="3158" t="s">
        <v>933</v>
      </c>
      <c r="Q155" s="3122"/>
      <c r="R155" s="3139">
        <f t="shared" ref="R155" si="177">ROUND(N155*10000/365/F155,2)</f>
        <v>2.14</v>
      </c>
      <c r="S155" t="s">
        <v>933</v>
      </c>
      <c r="T155" t="s">
        <v>816</v>
      </c>
    </row>
    <row r="156" spans="1:24" s="3114" customFormat="1" ht="16.5">
      <c r="A156" s="3661" t="s">
        <v>1037</v>
      </c>
      <c r="B156" s="3662"/>
      <c r="C156" s="3662"/>
      <c r="D156" s="3663"/>
      <c r="E156" s="3155"/>
      <c r="F156" s="3156">
        <f>SUM(F154:F155)</f>
        <v>4154.41</v>
      </c>
      <c r="G156" s="3156"/>
      <c r="H156" s="3156">
        <f>SUM(H154:H155)</f>
        <v>4154.41</v>
      </c>
      <c r="I156" s="3127"/>
      <c r="J156" s="3125"/>
      <c r="K156" s="3125"/>
      <c r="L156" s="3125"/>
      <c r="M156" s="3125"/>
      <c r="N156" s="3125"/>
      <c r="O156" s="3156"/>
      <c r="P156" s="3156"/>
      <c r="Q156" s="3125"/>
      <c r="R156" s="3130"/>
      <c r="S156" t="s">
        <v>812</v>
      </c>
      <c r="T156" t="s">
        <v>812</v>
      </c>
    </row>
    <row r="157" spans="1:24" s="3114" customFormat="1" ht="49.5">
      <c r="A157" s="3661" t="s">
        <v>1038</v>
      </c>
      <c r="B157" s="3662"/>
      <c r="C157" s="3662"/>
      <c r="D157" s="3663"/>
      <c r="E157" s="3155"/>
      <c r="F157" s="3156">
        <f>F156+F153+F140</f>
        <v>18230.77</v>
      </c>
      <c r="G157" s="3156"/>
      <c r="H157" s="3156">
        <f>H153++H156</f>
        <v>9761.2800000000007</v>
      </c>
      <c r="I157" s="3127" t="s">
        <v>1039</v>
      </c>
      <c r="J157" s="3125"/>
      <c r="K157" s="3125"/>
      <c r="L157" s="3125"/>
      <c r="M157" s="3125"/>
      <c r="N157" s="3125"/>
      <c r="O157" s="3156"/>
      <c r="P157" s="3156"/>
      <c r="Q157" s="3125"/>
      <c r="R157" s="3130"/>
      <c r="S157" t="s">
        <v>812</v>
      </c>
      <c r="T157" t="s">
        <v>812</v>
      </c>
    </row>
    <row r="158" spans="1:24" s="3115" customFormat="1" ht="49.5">
      <c r="A158" s="3157">
        <v>261</v>
      </c>
      <c r="B158" s="3158" t="s">
        <v>1040</v>
      </c>
      <c r="C158" s="3158" t="s">
        <v>1041</v>
      </c>
      <c r="D158" s="3158" t="s">
        <v>1042</v>
      </c>
      <c r="E158" s="3133" t="s">
        <v>1043</v>
      </c>
      <c r="F158" s="3158">
        <v>6634.1</v>
      </c>
      <c r="G158" s="3158" t="s">
        <v>816</v>
      </c>
      <c r="H158" s="3158">
        <v>6634.1</v>
      </c>
      <c r="I158" s="3133" t="s">
        <v>1044</v>
      </c>
      <c r="J158" s="3158">
        <v>120</v>
      </c>
      <c r="K158" s="3158" t="s">
        <v>1045</v>
      </c>
      <c r="L158" s="3158" t="s">
        <v>823</v>
      </c>
      <c r="M158" s="3158">
        <f t="shared" si="175"/>
        <v>79.609200000000001</v>
      </c>
      <c r="N158" s="3158">
        <f t="shared" si="176"/>
        <v>955.31039999999996</v>
      </c>
      <c r="O158" s="3158" t="s">
        <v>818</v>
      </c>
      <c r="P158" s="3158" t="s">
        <v>818</v>
      </c>
      <c r="Q158" s="3158"/>
      <c r="R158" s="3179"/>
      <c r="S158" t="s">
        <v>933</v>
      </c>
      <c r="T158"/>
    </row>
    <row r="159" spans="1:24" s="3113" customFormat="1" ht="16.5">
      <c r="A159" s="3665" t="s">
        <v>1046</v>
      </c>
      <c r="B159" s="3666"/>
      <c r="C159" s="3666"/>
      <c r="D159" s="3667"/>
      <c r="E159" s="3164"/>
      <c r="F159" s="3165">
        <f>SUM(F158:F158)</f>
        <v>6634.1</v>
      </c>
      <c r="G159" s="3165"/>
      <c r="H159" s="3165">
        <f>SUM(H158:H158)</f>
        <v>6634.1</v>
      </c>
      <c r="I159" s="3167"/>
      <c r="J159" s="3168"/>
      <c r="K159" s="3168"/>
      <c r="L159" s="3168"/>
      <c r="M159" s="3168"/>
      <c r="N159" s="3168"/>
      <c r="O159" s="3168"/>
      <c r="P159" s="3168"/>
      <c r="Q159" s="3125"/>
      <c r="R159" s="3130"/>
      <c r="S159" t="s">
        <v>812</v>
      </c>
      <c r="T159" t="s">
        <v>812</v>
      </c>
    </row>
    <row r="160" spans="1:24" ht="33">
      <c r="A160" s="3157">
        <v>262</v>
      </c>
      <c r="B160" s="3158" t="s">
        <v>1040</v>
      </c>
      <c r="C160" s="3158" t="s">
        <v>1047</v>
      </c>
      <c r="D160" s="3158" t="s">
        <v>1048</v>
      </c>
      <c r="E160" s="3133" t="s">
        <v>1043</v>
      </c>
      <c r="F160" s="3158">
        <v>127.77</v>
      </c>
      <c r="G160" s="3158">
        <v>100</v>
      </c>
      <c r="H160" s="3158">
        <v>127.77</v>
      </c>
      <c r="I160" s="3123" t="s">
        <v>1049</v>
      </c>
      <c r="J160" s="3122">
        <f>40247.55*4/12/127.77*1.05</f>
        <v>110.25</v>
      </c>
      <c r="K160" s="3122" t="s">
        <v>1050</v>
      </c>
      <c r="L160" s="3122" t="s">
        <v>1051</v>
      </c>
      <c r="M160" s="3122">
        <f t="shared" ref="M160:M187" si="178">H160*J160/10000</f>
        <v>1.40866425</v>
      </c>
      <c r="N160" s="3122">
        <f t="shared" ref="N160:N187" si="179">M160*12</f>
        <v>16.903970999999999</v>
      </c>
      <c r="O160" s="3158" t="s">
        <v>919</v>
      </c>
      <c r="P160" s="3158" t="s">
        <v>801</v>
      </c>
      <c r="Q160" s="3122"/>
      <c r="R160" s="3139">
        <f t="shared" ref="R160:R187" si="180">ROUND(N160*10000/365/F160,2)</f>
        <v>3.62</v>
      </c>
      <c r="S160" s="3137">
        <v>42614</v>
      </c>
      <c r="T160" s="3137">
        <v>45900</v>
      </c>
      <c r="U160" s="3137">
        <f>T160</f>
        <v>45900</v>
      </c>
      <c r="V160" s="3138">
        <f>J160</f>
        <v>110.25</v>
      </c>
    </row>
    <row r="161" spans="1:26" ht="33">
      <c r="A161" s="3157">
        <v>263</v>
      </c>
      <c r="B161" s="3158" t="s">
        <v>1040</v>
      </c>
      <c r="C161" s="3158" t="s">
        <v>1047</v>
      </c>
      <c r="D161" s="3158" t="s">
        <v>920</v>
      </c>
      <c r="E161" s="3133" t="s">
        <v>1043</v>
      </c>
      <c r="F161" s="3158">
        <v>128.96</v>
      </c>
      <c r="G161" s="3158">
        <v>105</v>
      </c>
      <c r="H161" s="3158">
        <v>126.74</v>
      </c>
      <c r="I161" s="3123" t="s">
        <v>1052</v>
      </c>
      <c r="J161" s="3122">
        <v>110.25</v>
      </c>
      <c r="K161" s="3122" t="s">
        <v>1053</v>
      </c>
      <c r="L161" s="3122" t="s">
        <v>799</v>
      </c>
      <c r="M161" s="3122">
        <f t="shared" si="178"/>
        <v>1.3973085000000001</v>
      </c>
      <c r="N161" s="3122">
        <f t="shared" si="179"/>
        <v>16.767702</v>
      </c>
      <c r="O161" s="3158" t="s">
        <v>919</v>
      </c>
      <c r="P161" s="3158" t="s">
        <v>801</v>
      </c>
      <c r="Q161" s="3122"/>
      <c r="R161" s="3139">
        <f t="shared" si="180"/>
        <v>3.56</v>
      </c>
      <c r="S161" t="s">
        <v>933</v>
      </c>
      <c r="T161" s="3137"/>
    </row>
    <row r="162" spans="1:26" s="3115" customFormat="1" ht="16.5">
      <c r="A162" s="3157">
        <v>264</v>
      </c>
      <c r="B162" s="3158" t="s">
        <v>1040</v>
      </c>
      <c r="C162" s="3158" t="s">
        <v>1047</v>
      </c>
      <c r="D162" s="3158" t="s">
        <v>1054</v>
      </c>
      <c r="E162" s="3133" t="s">
        <v>1043</v>
      </c>
      <c r="F162" s="3158">
        <v>54.35</v>
      </c>
      <c r="G162" s="3158">
        <v>100</v>
      </c>
      <c r="H162" s="3158">
        <v>54.35</v>
      </c>
      <c r="I162" s="3133" t="s">
        <v>1055</v>
      </c>
      <c r="J162" s="3158">
        <v>120</v>
      </c>
      <c r="K162" s="3158" t="s">
        <v>1056</v>
      </c>
      <c r="L162" s="3158" t="s">
        <v>799</v>
      </c>
      <c r="M162" s="3158">
        <f t="shared" si="178"/>
        <v>0.6522</v>
      </c>
      <c r="N162" s="3158">
        <f t="shared" si="179"/>
        <v>7.8263999999999996</v>
      </c>
      <c r="O162" s="3158" t="s">
        <v>919</v>
      </c>
      <c r="P162" s="3158" t="s">
        <v>801</v>
      </c>
      <c r="Q162" s="3179"/>
      <c r="R162" s="3139">
        <f t="shared" si="180"/>
        <v>3.95</v>
      </c>
      <c r="S162" s="3137">
        <v>45108</v>
      </c>
      <c r="T162" s="3137">
        <v>46934</v>
      </c>
      <c r="U162" s="3137">
        <f t="shared" ref="U162:W163" si="181">S162+2*365</f>
        <v>45838</v>
      </c>
      <c r="V162" s="3138">
        <f t="shared" ref="V162:V163" si="182">J162</f>
        <v>120</v>
      </c>
      <c r="W162" s="3137">
        <f t="shared" si="181"/>
        <v>46568</v>
      </c>
      <c r="X162" s="3140">
        <f t="shared" ref="X162:Z163" si="183">V162*1.05</f>
        <v>126</v>
      </c>
      <c r="Y162" s="3181">
        <f>T162</f>
        <v>46934</v>
      </c>
      <c r="Z162" s="3140">
        <f t="shared" si="183"/>
        <v>132.30000000000001</v>
      </c>
    </row>
    <row r="163" spans="1:26" s="3115" customFormat="1" ht="16.5">
      <c r="A163" s="3157">
        <v>265</v>
      </c>
      <c r="B163" s="3158" t="s">
        <v>1040</v>
      </c>
      <c r="C163" s="3158" t="s">
        <v>1047</v>
      </c>
      <c r="D163" s="3158" t="s">
        <v>1057</v>
      </c>
      <c r="E163" s="3133" t="s">
        <v>1043</v>
      </c>
      <c r="F163" s="3158">
        <v>131.28</v>
      </c>
      <c r="G163" s="3158">
        <v>105</v>
      </c>
      <c r="H163" s="3158">
        <v>131.28</v>
      </c>
      <c r="I163" s="3133" t="s">
        <v>1055</v>
      </c>
      <c r="J163" s="3158">
        <v>120</v>
      </c>
      <c r="K163" s="3158" t="s">
        <v>1056</v>
      </c>
      <c r="L163" s="3158" t="s">
        <v>799</v>
      </c>
      <c r="M163" s="3158">
        <f t="shared" si="178"/>
        <v>1.5753600000000001</v>
      </c>
      <c r="N163" s="3158">
        <f t="shared" si="179"/>
        <v>18.904319999999998</v>
      </c>
      <c r="O163" s="3158" t="s">
        <v>919</v>
      </c>
      <c r="P163" s="3158" t="s">
        <v>801</v>
      </c>
      <c r="Q163" s="3179"/>
      <c r="R163" s="3139">
        <f t="shared" si="180"/>
        <v>3.95</v>
      </c>
      <c r="S163" s="3137">
        <v>45108</v>
      </c>
      <c r="T163" s="3137">
        <v>46934</v>
      </c>
      <c r="U163" s="3137">
        <f t="shared" si="181"/>
        <v>45838</v>
      </c>
      <c r="V163" s="3138">
        <f t="shared" si="182"/>
        <v>120</v>
      </c>
      <c r="W163" s="3137">
        <f t="shared" si="181"/>
        <v>46568</v>
      </c>
      <c r="X163" s="3140">
        <f t="shared" si="183"/>
        <v>126</v>
      </c>
      <c r="Y163" s="3181">
        <f>T163</f>
        <v>46934</v>
      </c>
      <c r="Z163" s="3140">
        <f t="shared" si="183"/>
        <v>132.30000000000001</v>
      </c>
    </row>
    <row r="164" spans="1:26" ht="16.5">
      <c r="A164" s="3157">
        <v>266</v>
      </c>
      <c r="B164" s="3158" t="s">
        <v>1040</v>
      </c>
      <c r="C164" s="3158" t="s">
        <v>1047</v>
      </c>
      <c r="D164" s="3158" t="s">
        <v>969</v>
      </c>
      <c r="E164" s="3133" t="s">
        <v>1043</v>
      </c>
      <c r="F164" s="3158">
        <v>169.64</v>
      </c>
      <c r="G164" s="3158">
        <v>105</v>
      </c>
      <c r="H164" s="3158">
        <v>166.75</v>
      </c>
      <c r="I164" s="3123" t="s">
        <v>1058</v>
      </c>
      <c r="J164" s="3122">
        <v>110.25</v>
      </c>
      <c r="K164" s="3122" t="s">
        <v>1059</v>
      </c>
      <c r="L164" s="3122" t="s">
        <v>799</v>
      </c>
      <c r="M164" s="3122">
        <f t="shared" si="178"/>
        <v>1.83841875</v>
      </c>
      <c r="N164" s="3122">
        <f t="shared" si="179"/>
        <v>22.061025000000001</v>
      </c>
      <c r="O164" s="3158" t="s">
        <v>919</v>
      </c>
      <c r="P164" s="3158" t="s">
        <v>801</v>
      </c>
      <c r="Q164" s="3122"/>
      <c r="R164" s="3139">
        <f t="shared" si="180"/>
        <v>3.56</v>
      </c>
      <c r="S164" s="3136" t="s">
        <v>933</v>
      </c>
      <c r="T164" s="3137"/>
    </row>
    <row r="165" spans="1:26" ht="16.5">
      <c r="A165" s="3157">
        <v>267</v>
      </c>
      <c r="B165" s="3158" t="s">
        <v>1040</v>
      </c>
      <c r="C165" s="3158" t="s">
        <v>1047</v>
      </c>
      <c r="D165" s="3158" t="s">
        <v>970</v>
      </c>
      <c r="E165" s="3133" t="s">
        <v>1043</v>
      </c>
      <c r="F165" s="3158">
        <v>57</v>
      </c>
      <c r="G165" s="3158">
        <v>110</v>
      </c>
      <c r="H165" s="3158">
        <v>57</v>
      </c>
      <c r="I165" s="3123" t="s">
        <v>1060</v>
      </c>
      <c r="J165" s="3122">
        <v>122.96</v>
      </c>
      <c r="K165" s="3122" t="s">
        <v>1061</v>
      </c>
      <c r="L165" s="3122" t="s">
        <v>799</v>
      </c>
      <c r="M165" s="3122">
        <f t="shared" si="178"/>
        <v>0.70087200000000005</v>
      </c>
      <c r="N165" s="3122">
        <f t="shared" si="179"/>
        <v>8.4104639999999993</v>
      </c>
      <c r="O165" s="3158" t="s">
        <v>919</v>
      </c>
      <c r="P165" s="3158" t="s">
        <v>801</v>
      </c>
      <c r="Q165" s="3122"/>
      <c r="R165" s="3139">
        <f t="shared" si="180"/>
        <v>4.04</v>
      </c>
      <c r="S165" s="3137">
        <v>44317</v>
      </c>
      <c r="T165" s="3137">
        <v>45412</v>
      </c>
      <c r="U165" s="3137">
        <f>T165</f>
        <v>45412</v>
      </c>
      <c r="V165" s="3138">
        <f>J165</f>
        <v>122.96</v>
      </c>
    </row>
    <row r="166" spans="1:26" ht="33">
      <c r="A166" s="3157">
        <v>268</v>
      </c>
      <c r="B166" s="3158" t="s">
        <v>1040</v>
      </c>
      <c r="C166" s="3158" t="s">
        <v>1047</v>
      </c>
      <c r="D166" s="3158" t="s">
        <v>930</v>
      </c>
      <c r="E166" s="3133" t="s">
        <v>1043</v>
      </c>
      <c r="F166" s="3158">
        <v>66.31</v>
      </c>
      <c r="G166" s="3158">
        <v>85</v>
      </c>
      <c r="H166" s="3158">
        <v>66.31</v>
      </c>
      <c r="I166" s="3123" t="s">
        <v>1052</v>
      </c>
      <c r="J166" s="3122">
        <v>90</v>
      </c>
      <c r="K166" s="3122" t="s">
        <v>1062</v>
      </c>
      <c r="L166" s="3122" t="s">
        <v>799</v>
      </c>
      <c r="M166" s="3122">
        <f t="shared" si="178"/>
        <v>0.59679000000000004</v>
      </c>
      <c r="N166" s="3122">
        <f t="shared" si="179"/>
        <v>7.1614800000000001</v>
      </c>
      <c r="O166" s="3158" t="s">
        <v>919</v>
      </c>
      <c r="P166" s="3158" t="s">
        <v>801</v>
      </c>
      <c r="Q166" s="3122"/>
      <c r="R166" s="3139">
        <f t="shared" si="180"/>
        <v>2.96</v>
      </c>
      <c r="S166" s="3137">
        <v>44409</v>
      </c>
      <c r="T166" s="3137">
        <v>45655</v>
      </c>
      <c r="U166" s="3137">
        <f t="shared" ref="U166:U172" si="184">T166</f>
        <v>45655</v>
      </c>
      <c r="V166" s="3138">
        <f t="shared" ref="V166:V172" si="185">J166</f>
        <v>90</v>
      </c>
    </row>
    <row r="167" spans="1:26" ht="33">
      <c r="A167" s="3157">
        <v>269</v>
      </c>
      <c r="B167" s="3158" t="s">
        <v>1040</v>
      </c>
      <c r="C167" s="3158" t="s">
        <v>1047</v>
      </c>
      <c r="D167" s="3158" t="s">
        <v>931</v>
      </c>
      <c r="E167" s="3133" t="s">
        <v>1043</v>
      </c>
      <c r="F167" s="3158">
        <v>57</v>
      </c>
      <c r="G167" s="3158">
        <v>85</v>
      </c>
      <c r="H167" s="3158">
        <v>57</v>
      </c>
      <c r="I167" s="3123" t="s">
        <v>1052</v>
      </c>
      <c r="J167" s="3122">
        <v>90</v>
      </c>
      <c r="K167" s="3122" t="s">
        <v>1062</v>
      </c>
      <c r="L167" s="3122" t="s">
        <v>799</v>
      </c>
      <c r="M167" s="3122">
        <f t="shared" si="178"/>
        <v>0.51300000000000001</v>
      </c>
      <c r="N167" s="3122">
        <f t="shared" si="179"/>
        <v>6.1559999999999997</v>
      </c>
      <c r="O167" s="3158" t="s">
        <v>919</v>
      </c>
      <c r="P167" s="3158" t="s">
        <v>801</v>
      </c>
      <c r="Q167" s="3122"/>
      <c r="R167" s="3139">
        <f t="shared" si="180"/>
        <v>2.96</v>
      </c>
      <c r="S167" s="3137">
        <v>44409</v>
      </c>
      <c r="T167" s="3137">
        <v>45655</v>
      </c>
      <c r="U167" s="3137">
        <f t="shared" si="184"/>
        <v>45655</v>
      </c>
      <c r="V167" s="3138">
        <f t="shared" si="185"/>
        <v>90</v>
      </c>
    </row>
    <row r="168" spans="1:26" ht="33">
      <c r="A168" s="3157">
        <v>270</v>
      </c>
      <c r="B168" s="3158" t="s">
        <v>1040</v>
      </c>
      <c r="C168" s="3158" t="s">
        <v>1047</v>
      </c>
      <c r="D168" s="3158" t="s">
        <v>921</v>
      </c>
      <c r="E168" s="3133" t="s">
        <v>1043</v>
      </c>
      <c r="F168" s="3158">
        <v>246.25</v>
      </c>
      <c r="G168" s="3158">
        <v>85</v>
      </c>
      <c r="H168" s="3158">
        <v>251.08</v>
      </c>
      <c r="I168" s="3123" t="s">
        <v>1052</v>
      </c>
      <c r="J168" s="3122">
        <f t="shared" ref="J168:J172" si="186">391594.61*4/12/1912.55*1.05</f>
        <v>71.662499542495596</v>
      </c>
      <c r="K168" s="3122" t="s">
        <v>1063</v>
      </c>
      <c r="L168" s="3122" t="s">
        <v>799</v>
      </c>
      <c r="M168" s="3122">
        <f t="shared" si="178"/>
        <v>1.7993020385129801</v>
      </c>
      <c r="N168" s="3122">
        <f t="shared" si="179"/>
        <v>21.591624462155799</v>
      </c>
      <c r="O168" s="3158" t="s">
        <v>919</v>
      </c>
      <c r="P168" s="3158" t="s">
        <v>801</v>
      </c>
      <c r="Q168" s="3122"/>
      <c r="R168" s="3139">
        <f t="shared" si="180"/>
        <v>2.4</v>
      </c>
      <c r="S168" s="3137">
        <v>42707</v>
      </c>
      <c r="T168" s="3137">
        <v>45655</v>
      </c>
      <c r="U168" s="3137">
        <f t="shared" si="184"/>
        <v>45655</v>
      </c>
      <c r="V168" s="3138">
        <f t="shared" si="185"/>
        <v>71.662499542495596</v>
      </c>
    </row>
    <row r="169" spans="1:26" ht="33">
      <c r="A169" s="3157">
        <v>271</v>
      </c>
      <c r="B169" s="3158" t="s">
        <v>1040</v>
      </c>
      <c r="C169" s="3158" t="s">
        <v>1047</v>
      </c>
      <c r="D169" s="3158" t="s">
        <v>1064</v>
      </c>
      <c r="E169" s="3133" t="s">
        <v>1043</v>
      </c>
      <c r="F169" s="3158">
        <v>315.64999999999998</v>
      </c>
      <c r="G169" s="3158">
        <v>85</v>
      </c>
      <c r="H169" s="3158">
        <v>321.85000000000002</v>
      </c>
      <c r="I169" s="3123" t="s">
        <v>1052</v>
      </c>
      <c r="J169" s="3122">
        <f t="shared" si="186"/>
        <v>71.662499542495596</v>
      </c>
      <c r="K169" s="3122" t="s">
        <v>1063</v>
      </c>
      <c r="L169" s="3122" t="s">
        <v>799</v>
      </c>
      <c r="M169" s="3122">
        <f t="shared" si="178"/>
        <v>2.3064575477752198</v>
      </c>
      <c r="N169" s="3122">
        <f t="shared" si="179"/>
        <v>27.677490573302698</v>
      </c>
      <c r="O169" s="3158" t="s">
        <v>919</v>
      </c>
      <c r="P169" s="3158" t="s">
        <v>801</v>
      </c>
      <c r="Q169" s="3122"/>
      <c r="R169" s="3139">
        <f t="shared" si="180"/>
        <v>2.4</v>
      </c>
      <c r="S169" s="3137">
        <v>42707</v>
      </c>
      <c r="T169" s="3137">
        <v>45655</v>
      </c>
      <c r="U169" s="3137">
        <f t="shared" si="184"/>
        <v>45655</v>
      </c>
      <c r="V169" s="3138">
        <f t="shared" si="185"/>
        <v>71.662499542495596</v>
      </c>
    </row>
    <row r="170" spans="1:26" ht="33">
      <c r="A170" s="3157">
        <v>272</v>
      </c>
      <c r="B170" s="3158" t="s">
        <v>1040</v>
      </c>
      <c r="C170" s="3158" t="s">
        <v>1047</v>
      </c>
      <c r="D170" s="3158" t="s">
        <v>922</v>
      </c>
      <c r="E170" s="3133" t="s">
        <v>1043</v>
      </c>
      <c r="F170" s="3158">
        <v>197.92</v>
      </c>
      <c r="G170" s="3158">
        <v>85</v>
      </c>
      <c r="H170" s="3158">
        <v>201.81</v>
      </c>
      <c r="I170" s="3123" t="s">
        <v>1052</v>
      </c>
      <c r="J170" s="3122">
        <f t="shared" si="186"/>
        <v>71.662499542495596</v>
      </c>
      <c r="K170" s="3122" t="s">
        <v>1063</v>
      </c>
      <c r="L170" s="3122" t="s">
        <v>799</v>
      </c>
      <c r="M170" s="3122">
        <f t="shared" si="178"/>
        <v>1.4462209032671001</v>
      </c>
      <c r="N170" s="3122">
        <f t="shared" si="179"/>
        <v>17.354650839205298</v>
      </c>
      <c r="O170" s="3158" t="s">
        <v>919</v>
      </c>
      <c r="P170" s="3158" t="s">
        <v>801</v>
      </c>
      <c r="Q170" s="3122"/>
      <c r="R170" s="3139">
        <f t="shared" si="180"/>
        <v>2.4</v>
      </c>
      <c r="S170" s="3137">
        <v>42707</v>
      </c>
      <c r="T170" s="3137">
        <v>45655</v>
      </c>
      <c r="U170" s="3137">
        <f t="shared" si="184"/>
        <v>45655</v>
      </c>
      <c r="V170" s="3138">
        <f t="shared" si="185"/>
        <v>71.662499542495596</v>
      </c>
    </row>
    <row r="171" spans="1:26" ht="33">
      <c r="A171" s="3157">
        <v>273</v>
      </c>
      <c r="B171" s="3158" t="s">
        <v>1040</v>
      </c>
      <c r="C171" s="3158" t="s">
        <v>1047</v>
      </c>
      <c r="D171" s="3158" t="s">
        <v>924</v>
      </c>
      <c r="E171" s="3133" t="s">
        <v>1043</v>
      </c>
      <c r="F171" s="3158">
        <v>135.16999999999999</v>
      </c>
      <c r="G171" s="3158">
        <v>85</v>
      </c>
      <c r="H171" s="3158">
        <v>137.82</v>
      </c>
      <c r="I171" s="3123" t="s">
        <v>1052</v>
      </c>
      <c r="J171" s="3122">
        <f t="shared" si="186"/>
        <v>71.662499542495596</v>
      </c>
      <c r="K171" s="3122" t="s">
        <v>1063</v>
      </c>
      <c r="L171" s="3122" t="s">
        <v>799</v>
      </c>
      <c r="M171" s="3122">
        <f t="shared" si="178"/>
        <v>0.98765256869467499</v>
      </c>
      <c r="N171" s="3122">
        <f t="shared" si="179"/>
        <v>11.851830824336099</v>
      </c>
      <c r="O171" s="3158" t="s">
        <v>919</v>
      </c>
      <c r="P171" s="3158" t="s">
        <v>801</v>
      </c>
      <c r="Q171" s="3122"/>
      <c r="R171" s="3139">
        <f t="shared" si="180"/>
        <v>2.4</v>
      </c>
      <c r="S171" s="3137">
        <v>42707</v>
      </c>
      <c r="T171" s="3137">
        <v>45655</v>
      </c>
      <c r="U171" s="3137">
        <f t="shared" si="184"/>
        <v>45655</v>
      </c>
      <c r="V171" s="3138">
        <f t="shared" si="185"/>
        <v>71.662499542495596</v>
      </c>
    </row>
    <row r="172" spans="1:26" ht="33">
      <c r="A172" s="3157">
        <v>274</v>
      </c>
      <c r="B172" s="3158" t="s">
        <v>1040</v>
      </c>
      <c r="C172" s="3158" t="s">
        <v>1047</v>
      </c>
      <c r="D172" s="3158" t="s">
        <v>937</v>
      </c>
      <c r="E172" s="3133" t="s">
        <v>1043</v>
      </c>
      <c r="F172" s="3158">
        <v>1018.56</v>
      </c>
      <c r="G172" s="3158">
        <v>85</v>
      </c>
      <c r="H172" s="3158">
        <v>999.99</v>
      </c>
      <c r="I172" s="3123" t="s">
        <v>1052</v>
      </c>
      <c r="J172" s="3122">
        <f t="shared" si="186"/>
        <v>71.662499542495596</v>
      </c>
      <c r="K172" s="3122" t="s">
        <v>1063</v>
      </c>
      <c r="L172" s="3122" t="s">
        <v>799</v>
      </c>
      <c r="M172" s="3122">
        <f t="shared" si="178"/>
        <v>7.1661782917500201</v>
      </c>
      <c r="N172" s="3122">
        <f t="shared" si="179"/>
        <v>85.994139501000205</v>
      </c>
      <c r="O172" s="3158" t="s">
        <v>919</v>
      </c>
      <c r="P172" s="3158" t="s">
        <v>801</v>
      </c>
      <c r="Q172" s="3122"/>
      <c r="R172" s="3139">
        <f t="shared" si="180"/>
        <v>2.31</v>
      </c>
      <c r="S172" s="3137">
        <v>42707</v>
      </c>
      <c r="T172" s="3137">
        <v>45655</v>
      </c>
      <c r="U172" s="3137">
        <f t="shared" si="184"/>
        <v>45655</v>
      </c>
      <c r="V172" s="3138">
        <f t="shared" si="185"/>
        <v>71.662499542495596</v>
      </c>
    </row>
    <row r="173" spans="1:26" ht="16.5">
      <c r="A173" s="3157">
        <v>275</v>
      </c>
      <c r="B173" s="3158" t="s">
        <v>1040</v>
      </c>
      <c r="C173" s="3158" t="s">
        <v>1065</v>
      </c>
      <c r="D173" s="3158" t="s">
        <v>809</v>
      </c>
      <c r="E173" s="3133" t="s">
        <v>1043</v>
      </c>
      <c r="F173" s="3158">
        <v>341.21</v>
      </c>
      <c r="G173" s="3158">
        <v>60</v>
      </c>
      <c r="H173" s="3158">
        <v>344.98</v>
      </c>
      <c r="I173" s="3123" t="s">
        <v>1066</v>
      </c>
      <c r="J173" s="3122">
        <f t="shared" ref="J173:J175" si="187">328959.99*4/12/1724.9</f>
        <v>63.570833091773402</v>
      </c>
      <c r="K173" s="3122" t="s">
        <v>1067</v>
      </c>
      <c r="L173" s="3122" t="s">
        <v>799</v>
      </c>
      <c r="M173" s="3122">
        <f t="shared" si="178"/>
        <v>2.1930665999999999</v>
      </c>
      <c r="N173" s="3122">
        <f t="shared" si="179"/>
        <v>26.316799199999998</v>
      </c>
      <c r="O173" s="3158" t="s">
        <v>800</v>
      </c>
      <c r="P173" s="3158" t="s">
        <v>801</v>
      </c>
      <c r="Q173" s="3122"/>
      <c r="R173" s="3139">
        <f t="shared" si="180"/>
        <v>2.11</v>
      </c>
      <c r="S173" s="3136" t="s">
        <v>933</v>
      </c>
      <c r="T173" s="3137"/>
    </row>
    <row r="174" spans="1:26" ht="16.5">
      <c r="A174" s="3157">
        <v>276</v>
      </c>
      <c r="B174" s="3158" t="s">
        <v>1040</v>
      </c>
      <c r="C174" s="3158" t="s">
        <v>1065</v>
      </c>
      <c r="D174" s="3158" t="s">
        <v>810</v>
      </c>
      <c r="E174" s="3133" t="s">
        <v>1043</v>
      </c>
      <c r="F174" s="3158">
        <v>341.21</v>
      </c>
      <c r="G174" s="3158">
        <v>60</v>
      </c>
      <c r="H174" s="3158">
        <v>344.98</v>
      </c>
      <c r="I174" s="3123" t="s">
        <v>1066</v>
      </c>
      <c r="J174" s="3122">
        <f t="shared" si="187"/>
        <v>63.570833091773402</v>
      </c>
      <c r="K174" s="3122" t="s">
        <v>1067</v>
      </c>
      <c r="L174" s="3122" t="s">
        <v>799</v>
      </c>
      <c r="M174" s="3122">
        <f t="shared" si="178"/>
        <v>2.1930665999999999</v>
      </c>
      <c r="N174" s="3122">
        <f t="shared" si="179"/>
        <v>26.316799199999998</v>
      </c>
      <c r="O174" s="3158" t="s">
        <v>800</v>
      </c>
      <c r="P174" s="3158" t="s">
        <v>801</v>
      </c>
      <c r="Q174" s="3122"/>
      <c r="R174" s="3139">
        <f t="shared" si="180"/>
        <v>2.11</v>
      </c>
      <c r="S174" s="3136" t="s">
        <v>933</v>
      </c>
      <c r="T174" s="3137"/>
    </row>
    <row r="175" spans="1:26" ht="33">
      <c r="A175" s="3157">
        <v>277</v>
      </c>
      <c r="B175" s="3158" t="s">
        <v>1040</v>
      </c>
      <c r="C175" s="3158" t="s">
        <v>1065</v>
      </c>
      <c r="D175" s="3158" t="s">
        <v>1068</v>
      </c>
      <c r="E175" s="3133" t="s">
        <v>1043</v>
      </c>
      <c r="F175" s="3158">
        <v>0</v>
      </c>
      <c r="G175" s="3158">
        <v>0</v>
      </c>
      <c r="H175" s="3158">
        <v>54</v>
      </c>
      <c r="I175" s="3123" t="s">
        <v>1066</v>
      </c>
      <c r="J175" s="3122">
        <f t="shared" si="187"/>
        <v>63.570833091773402</v>
      </c>
      <c r="K175" s="3122" t="s">
        <v>1069</v>
      </c>
      <c r="L175" s="3122" t="s">
        <v>799</v>
      </c>
      <c r="M175" s="3122">
        <f t="shared" si="178"/>
        <v>0.34328249869557698</v>
      </c>
      <c r="N175" s="3122">
        <f t="shared" si="179"/>
        <v>4.1193899843469204</v>
      </c>
      <c r="O175" s="3158" t="s">
        <v>1070</v>
      </c>
      <c r="P175" s="3158" t="s">
        <v>801</v>
      </c>
      <c r="Q175" s="3122"/>
      <c r="R175" s="3139" t="e">
        <f t="shared" si="180"/>
        <v>#DIV/0!</v>
      </c>
      <c r="S175" s="3136" t="s">
        <v>933</v>
      </c>
      <c r="T175" s="3137"/>
    </row>
    <row r="176" spans="1:26" ht="33">
      <c r="A176" s="3157">
        <v>278</v>
      </c>
      <c r="B176" s="3158" t="s">
        <v>1040</v>
      </c>
      <c r="C176" s="3158" t="s">
        <v>1071</v>
      </c>
      <c r="D176" s="3158" t="s">
        <v>805</v>
      </c>
      <c r="E176" s="3133" t="s">
        <v>1043</v>
      </c>
      <c r="F176" s="3158">
        <v>349.03</v>
      </c>
      <c r="G176" s="3158">
        <v>60</v>
      </c>
      <c r="H176" s="3158">
        <v>347.25</v>
      </c>
      <c r="I176" s="3123" t="s">
        <v>1052</v>
      </c>
      <c r="J176" s="3122">
        <v>69.45</v>
      </c>
      <c r="K176" s="3122" t="s">
        <v>1053</v>
      </c>
      <c r="L176" s="3122" t="s">
        <v>799</v>
      </c>
      <c r="M176" s="3122">
        <f t="shared" si="178"/>
        <v>2.4116512499999998</v>
      </c>
      <c r="N176" s="3122">
        <f t="shared" si="179"/>
        <v>28.939814999999999</v>
      </c>
      <c r="O176" s="3158" t="s">
        <v>800</v>
      </c>
      <c r="P176" s="3158" t="s">
        <v>801</v>
      </c>
      <c r="Q176" s="3122"/>
      <c r="R176" s="3139">
        <f t="shared" si="180"/>
        <v>2.27</v>
      </c>
      <c r="S176" s="3136" t="s">
        <v>933</v>
      </c>
      <c r="T176" s="3137"/>
    </row>
    <row r="177" spans="1:32" ht="33">
      <c r="A177" s="3157">
        <v>279</v>
      </c>
      <c r="B177" s="3158" t="s">
        <v>1040</v>
      </c>
      <c r="C177" s="3158" t="s">
        <v>1071</v>
      </c>
      <c r="D177" s="3158" t="s">
        <v>807</v>
      </c>
      <c r="E177" s="3133" t="s">
        <v>1043</v>
      </c>
      <c r="F177" s="3158">
        <v>349.03</v>
      </c>
      <c r="G177" s="3158">
        <v>60</v>
      </c>
      <c r="H177" s="3158">
        <v>347.25</v>
      </c>
      <c r="I177" s="3123" t="s">
        <v>1052</v>
      </c>
      <c r="J177" s="3122">
        <v>69.45</v>
      </c>
      <c r="K177" s="3122" t="s">
        <v>1053</v>
      </c>
      <c r="L177" s="3122" t="s">
        <v>799</v>
      </c>
      <c r="M177" s="3122">
        <f t="shared" si="178"/>
        <v>2.4116512499999998</v>
      </c>
      <c r="N177" s="3122">
        <f t="shared" si="179"/>
        <v>28.939814999999999</v>
      </c>
      <c r="O177" s="3158" t="s">
        <v>800</v>
      </c>
      <c r="P177" s="3158" t="s">
        <v>801</v>
      </c>
      <c r="Q177" s="3122"/>
      <c r="R177" s="3139">
        <f t="shared" si="180"/>
        <v>2.27</v>
      </c>
      <c r="S177" s="3136" t="s">
        <v>933</v>
      </c>
      <c r="T177" s="3137"/>
    </row>
    <row r="178" spans="1:32" ht="33">
      <c r="A178" s="3157">
        <v>280</v>
      </c>
      <c r="B178" s="3158" t="s">
        <v>1040</v>
      </c>
      <c r="C178" s="3158" t="s">
        <v>1071</v>
      </c>
      <c r="D178" s="3158" t="s">
        <v>808</v>
      </c>
      <c r="E178" s="3133" t="s">
        <v>1043</v>
      </c>
      <c r="F178" s="3158">
        <v>349.03</v>
      </c>
      <c r="G178" s="3158">
        <v>60</v>
      </c>
      <c r="H178" s="3158">
        <v>347.25</v>
      </c>
      <c r="I178" s="3123" t="s">
        <v>1052</v>
      </c>
      <c r="J178" s="3122">
        <v>69.45</v>
      </c>
      <c r="K178" s="3122" t="s">
        <v>1072</v>
      </c>
      <c r="L178" s="3122" t="s">
        <v>799</v>
      </c>
      <c r="M178" s="3122">
        <f t="shared" si="178"/>
        <v>2.4116512499999998</v>
      </c>
      <c r="N178" s="3122">
        <f t="shared" si="179"/>
        <v>28.939814999999999</v>
      </c>
      <c r="O178" s="3158" t="s">
        <v>800</v>
      </c>
      <c r="P178" s="3158" t="s">
        <v>801</v>
      </c>
      <c r="Q178" s="3122"/>
      <c r="R178" s="3139">
        <f t="shared" si="180"/>
        <v>2.27</v>
      </c>
      <c r="S178" s="3136" t="s">
        <v>933</v>
      </c>
      <c r="T178" s="3137"/>
    </row>
    <row r="179" spans="1:32" ht="33">
      <c r="A179" s="3157">
        <v>281</v>
      </c>
      <c r="B179" s="3158" t="s">
        <v>1040</v>
      </c>
      <c r="C179" s="3158" t="s">
        <v>1071</v>
      </c>
      <c r="D179" s="3158" t="s">
        <v>809</v>
      </c>
      <c r="E179" s="3133" t="s">
        <v>1043</v>
      </c>
      <c r="F179" s="3158">
        <v>349.03</v>
      </c>
      <c r="G179" s="3158">
        <v>60</v>
      </c>
      <c r="H179" s="3158">
        <v>349.03</v>
      </c>
      <c r="I179" s="3123" t="s">
        <v>1052</v>
      </c>
      <c r="J179" s="3122">
        <v>69.45</v>
      </c>
      <c r="K179" s="3122" t="s">
        <v>1073</v>
      </c>
      <c r="L179" s="3122" t="s">
        <v>1022</v>
      </c>
      <c r="M179" s="3122">
        <f t="shared" si="178"/>
        <v>2.4240133500000001</v>
      </c>
      <c r="N179" s="3122">
        <f t="shared" si="179"/>
        <v>29.088160200000001</v>
      </c>
      <c r="O179" s="3158" t="s">
        <v>800</v>
      </c>
      <c r="P179" s="3158" t="s">
        <v>801</v>
      </c>
      <c r="Q179" s="3122"/>
      <c r="R179" s="3139">
        <f t="shared" si="180"/>
        <v>2.2799999999999998</v>
      </c>
      <c r="S179" s="3137">
        <v>43436</v>
      </c>
      <c r="T179" s="3137">
        <v>45651</v>
      </c>
      <c r="U179" s="3137">
        <f>T179</f>
        <v>45651</v>
      </c>
      <c r="V179" s="3138">
        <f>J179</f>
        <v>69.45</v>
      </c>
    </row>
    <row r="180" spans="1:32" ht="33">
      <c r="A180" s="3157">
        <v>282</v>
      </c>
      <c r="B180" s="3158" t="s">
        <v>1040</v>
      </c>
      <c r="C180" s="3158" t="s">
        <v>1071</v>
      </c>
      <c r="D180" s="3158" t="s">
        <v>810</v>
      </c>
      <c r="E180" s="3133" t="s">
        <v>1043</v>
      </c>
      <c r="F180" s="3158">
        <v>349.17</v>
      </c>
      <c r="G180" s="3158">
        <v>60</v>
      </c>
      <c r="H180" s="3158">
        <v>349.17</v>
      </c>
      <c r="I180" s="3123" t="s">
        <v>1052</v>
      </c>
      <c r="J180" s="3122">
        <v>69.45</v>
      </c>
      <c r="K180" s="3122" t="s">
        <v>1073</v>
      </c>
      <c r="L180" s="3122" t="s">
        <v>1022</v>
      </c>
      <c r="M180" s="3122">
        <f t="shared" si="178"/>
        <v>2.42498565</v>
      </c>
      <c r="N180" s="3122">
        <f t="shared" si="179"/>
        <v>29.0998278</v>
      </c>
      <c r="O180" s="3158" t="s">
        <v>800</v>
      </c>
      <c r="P180" s="3158" t="s">
        <v>801</v>
      </c>
      <c r="Q180" s="3122"/>
      <c r="R180" s="3139">
        <f t="shared" si="180"/>
        <v>2.2799999999999998</v>
      </c>
      <c r="S180" s="3137">
        <v>43436</v>
      </c>
      <c r="T180" s="3137">
        <v>45651</v>
      </c>
      <c r="U180" s="3137">
        <f t="shared" ref="U180:U183" si="188">T180</f>
        <v>45651</v>
      </c>
      <c r="V180" s="3138">
        <f t="shared" ref="V180:V183" si="189">J180</f>
        <v>69.45</v>
      </c>
    </row>
    <row r="181" spans="1:32" ht="33">
      <c r="A181" s="3157">
        <v>283</v>
      </c>
      <c r="B181" s="3158" t="s">
        <v>1040</v>
      </c>
      <c r="C181" s="3158" t="s">
        <v>1071</v>
      </c>
      <c r="D181" s="3158" t="s">
        <v>1074</v>
      </c>
      <c r="E181" s="3133" t="s">
        <v>1043</v>
      </c>
      <c r="F181" s="3158">
        <v>349.24</v>
      </c>
      <c r="G181" s="3158">
        <v>60</v>
      </c>
      <c r="H181" s="3158">
        <v>349.24</v>
      </c>
      <c r="I181" s="3123" t="s">
        <v>1052</v>
      </c>
      <c r="J181" s="3122">
        <v>69.45</v>
      </c>
      <c r="K181" s="3122" t="s">
        <v>1073</v>
      </c>
      <c r="L181" s="3122" t="s">
        <v>1022</v>
      </c>
      <c r="M181" s="3122">
        <f t="shared" si="178"/>
        <v>2.4254718</v>
      </c>
      <c r="N181" s="3122">
        <f t="shared" si="179"/>
        <v>29.105661600000001</v>
      </c>
      <c r="O181" s="3158" t="s">
        <v>800</v>
      </c>
      <c r="P181" s="3158" t="s">
        <v>801</v>
      </c>
      <c r="Q181" s="3122"/>
      <c r="R181" s="3139">
        <f t="shared" si="180"/>
        <v>2.2799999999999998</v>
      </c>
      <c r="S181" s="3137">
        <v>43436</v>
      </c>
      <c r="T181" s="3137">
        <v>45651</v>
      </c>
      <c r="U181" s="3137">
        <f t="shared" si="188"/>
        <v>45651</v>
      </c>
      <c r="V181" s="3138">
        <f t="shared" si="189"/>
        <v>69.45</v>
      </c>
    </row>
    <row r="182" spans="1:32" ht="16.5">
      <c r="A182" s="3157">
        <v>284</v>
      </c>
      <c r="B182" s="3158" t="s">
        <v>1040</v>
      </c>
      <c r="C182" s="3158" t="s">
        <v>1075</v>
      </c>
      <c r="D182" s="3158" t="s">
        <v>795</v>
      </c>
      <c r="E182" s="3133" t="s">
        <v>1043</v>
      </c>
      <c r="F182" s="3158">
        <v>0</v>
      </c>
      <c r="G182" s="3158">
        <v>60</v>
      </c>
      <c r="H182" s="3158">
        <v>165</v>
      </c>
      <c r="I182" s="3123" t="s">
        <v>1076</v>
      </c>
      <c r="J182" s="3122">
        <f>1.05*35</f>
        <v>36.75</v>
      </c>
      <c r="K182" s="3122" t="s">
        <v>1077</v>
      </c>
      <c r="L182" s="3122" t="s">
        <v>799</v>
      </c>
      <c r="M182" s="3122">
        <f t="shared" si="178"/>
        <v>0.606375</v>
      </c>
      <c r="N182" s="3122">
        <f t="shared" si="179"/>
        <v>7.2765000000000004</v>
      </c>
      <c r="O182" s="3158" t="s">
        <v>1078</v>
      </c>
      <c r="P182" s="3158" t="s">
        <v>801</v>
      </c>
      <c r="Q182" s="3122"/>
      <c r="R182" s="3139" t="e">
        <f t="shared" si="180"/>
        <v>#DIV/0!</v>
      </c>
      <c r="S182" s="3137">
        <v>43913</v>
      </c>
      <c r="T182" s="3137">
        <v>45738</v>
      </c>
      <c r="U182" s="3137">
        <f t="shared" si="188"/>
        <v>45738</v>
      </c>
      <c r="V182" s="3138">
        <f t="shared" si="189"/>
        <v>36.75</v>
      </c>
    </row>
    <row r="183" spans="1:32" ht="16.5">
      <c r="A183" s="3157">
        <v>285</v>
      </c>
      <c r="B183" s="3158" t="s">
        <v>1040</v>
      </c>
      <c r="C183" s="3158" t="s">
        <v>1075</v>
      </c>
      <c r="D183" s="3158" t="s">
        <v>805</v>
      </c>
      <c r="E183" s="3133" t="s">
        <v>1043</v>
      </c>
      <c r="F183" s="3158">
        <v>301.72000000000003</v>
      </c>
      <c r="G183" s="3158">
        <v>60</v>
      </c>
      <c r="H183" s="3158">
        <v>301.72000000000003</v>
      </c>
      <c r="I183" s="3123" t="s">
        <v>1076</v>
      </c>
      <c r="J183" s="3122">
        <f>1.05*67</f>
        <v>70.349999999999994</v>
      </c>
      <c r="K183" s="3122" t="s">
        <v>1077</v>
      </c>
      <c r="L183" s="3122" t="s">
        <v>799</v>
      </c>
      <c r="M183" s="3122">
        <f t="shared" si="178"/>
        <v>2.1226001999999999</v>
      </c>
      <c r="N183" s="3122">
        <f t="shared" si="179"/>
        <v>25.471202399999999</v>
      </c>
      <c r="O183" s="3158" t="s">
        <v>800</v>
      </c>
      <c r="P183" s="3158" t="s">
        <v>801</v>
      </c>
      <c r="Q183" s="3122"/>
      <c r="R183" s="3139">
        <f t="shared" si="180"/>
        <v>2.31</v>
      </c>
      <c r="S183" s="3137">
        <v>43913</v>
      </c>
      <c r="T183" s="3137">
        <v>45738</v>
      </c>
      <c r="U183" s="3137">
        <f t="shared" si="188"/>
        <v>45738</v>
      </c>
      <c r="V183" s="3138">
        <f t="shared" si="189"/>
        <v>70.349999999999994</v>
      </c>
    </row>
    <row r="184" spans="1:32" ht="33">
      <c r="A184" s="3157">
        <v>286</v>
      </c>
      <c r="B184" s="3158" t="s">
        <v>1040</v>
      </c>
      <c r="C184" s="3158" t="s">
        <v>1075</v>
      </c>
      <c r="D184" s="3158" t="s">
        <v>807</v>
      </c>
      <c r="E184" s="3133" t="s">
        <v>1043</v>
      </c>
      <c r="F184" s="3158">
        <v>309.32</v>
      </c>
      <c r="G184" s="3158">
        <v>60</v>
      </c>
      <c r="H184" s="3158">
        <v>315.89</v>
      </c>
      <c r="I184" s="3123" t="s">
        <v>1052</v>
      </c>
      <c r="J184" s="3122">
        <v>69.45</v>
      </c>
      <c r="K184" s="3122" t="s">
        <v>1079</v>
      </c>
      <c r="L184" s="3122" t="s">
        <v>829</v>
      </c>
      <c r="M184" s="3122">
        <f t="shared" si="178"/>
        <v>2.1938560499999999</v>
      </c>
      <c r="N184" s="3122">
        <f t="shared" si="179"/>
        <v>26.326272599999999</v>
      </c>
      <c r="O184" s="3158" t="s">
        <v>800</v>
      </c>
      <c r="P184" s="3158" t="s">
        <v>801</v>
      </c>
      <c r="Q184" s="3122"/>
      <c r="R184" s="3139">
        <f t="shared" si="180"/>
        <v>2.33</v>
      </c>
      <c r="S184" s="3136" t="s">
        <v>933</v>
      </c>
      <c r="T184" s="3137"/>
    </row>
    <row r="185" spans="1:32" ht="33">
      <c r="A185" s="3157">
        <v>287</v>
      </c>
      <c r="B185" s="3158" t="s">
        <v>1040</v>
      </c>
      <c r="C185" s="3158" t="s">
        <v>1075</v>
      </c>
      <c r="D185" s="3158" t="s">
        <v>810</v>
      </c>
      <c r="E185" s="3133" t="s">
        <v>1043</v>
      </c>
      <c r="F185" s="3158">
        <v>390.08</v>
      </c>
      <c r="G185" s="3158">
        <v>60</v>
      </c>
      <c r="H185" s="3158">
        <v>398.72</v>
      </c>
      <c r="I185" s="3123" t="s">
        <v>1052</v>
      </c>
      <c r="J185" s="3122">
        <v>69.45</v>
      </c>
      <c r="K185" s="3122" t="s">
        <v>1079</v>
      </c>
      <c r="L185" s="3122" t="s">
        <v>829</v>
      </c>
      <c r="M185" s="3122">
        <f t="shared" si="178"/>
        <v>2.7691104000000002</v>
      </c>
      <c r="N185" s="3122">
        <f t="shared" si="179"/>
        <v>33.229324800000001</v>
      </c>
      <c r="O185" s="3158" t="s">
        <v>800</v>
      </c>
      <c r="P185" s="3158" t="s">
        <v>801</v>
      </c>
      <c r="Q185" s="3122"/>
      <c r="R185" s="3139">
        <f t="shared" si="180"/>
        <v>2.33</v>
      </c>
      <c r="S185" s="3136" t="s">
        <v>933</v>
      </c>
      <c r="T185" s="3137"/>
    </row>
    <row r="186" spans="1:32" ht="16.5">
      <c r="A186" s="3157">
        <v>288</v>
      </c>
      <c r="B186" s="3158" t="s">
        <v>1040</v>
      </c>
      <c r="C186" s="3158" t="s">
        <v>1075</v>
      </c>
      <c r="D186" s="3158" t="s">
        <v>1074</v>
      </c>
      <c r="E186" s="3133" t="s">
        <v>1043</v>
      </c>
      <c r="F186" s="3158">
        <v>390.26</v>
      </c>
      <c r="G186" s="3158">
        <v>60</v>
      </c>
      <c r="H186" s="3158">
        <v>390.3</v>
      </c>
      <c r="I186" s="3123" t="s">
        <v>1080</v>
      </c>
      <c r="J186" s="3122">
        <v>60</v>
      </c>
      <c r="K186" s="3122" t="s">
        <v>1081</v>
      </c>
      <c r="L186" s="3122" t="s">
        <v>799</v>
      </c>
      <c r="M186" s="3122">
        <f t="shared" si="178"/>
        <v>2.3418000000000001</v>
      </c>
      <c r="N186" s="3122">
        <f t="shared" si="179"/>
        <v>28.101600000000001</v>
      </c>
      <c r="O186" s="3158" t="s">
        <v>800</v>
      </c>
      <c r="P186" s="3158" t="s">
        <v>801</v>
      </c>
      <c r="Q186" s="3122"/>
      <c r="R186" s="3139">
        <f t="shared" si="180"/>
        <v>1.97</v>
      </c>
      <c r="S186" s="3137">
        <v>42125</v>
      </c>
      <c r="T186" s="3137">
        <v>46142</v>
      </c>
      <c r="U186" s="3137">
        <v>45412</v>
      </c>
      <c r="V186" s="3138">
        <f>J186</f>
        <v>60</v>
      </c>
      <c r="W186" s="3137">
        <f>T186</f>
        <v>46142</v>
      </c>
      <c r="X186" s="3180">
        <f>V186*1.05</f>
        <v>63</v>
      </c>
    </row>
    <row r="187" spans="1:32" s="3115" customFormat="1" ht="16.5">
      <c r="A187" s="3157">
        <v>289</v>
      </c>
      <c r="B187" s="3158" t="s">
        <v>1040</v>
      </c>
      <c r="C187" s="3158" t="s">
        <v>1065</v>
      </c>
      <c r="D187" s="3158" t="s">
        <v>807</v>
      </c>
      <c r="E187" s="3133" t="s">
        <v>1043</v>
      </c>
      <c r="F187" s="3158">
        <v>341.21</v>
      </c>
      <c r="G187" s="3158">
        <v>60</v>
      </c>
      <c r="H187" s="3158">
        <v>344.98</v>
      </c>
      <c r="I187" s="3133" t="s">
        <v>860</v>
      </c>
      <c r="J187" s="3158">
        <v>66</v>
      </c>
      <c r="K187" s="3158" t="s">
        <v>1082</v>
      </c>
      <c r="L187" s="3158" t="s">
        <v>823</v>
      </c>
      <c r="M187" s="3158">
        <f t="shared" si="178"/>
        <v>2.2768679999999999</v>
      </c>
      <c r="N187" s="3158">
        <f t="shared" si="179"/>
        <v>27.322416</v>
      </c>
      <c r="O187" s="3158" t="s">
        <v>800</v>
      </c>
      <c r="P187" s="3158" t="s">
        <v>801</v>
      </c>
      <c r="Q187" s="3158"/>
      <c r="R187" s="3139">
        <f t="shared" si="180"/>
        <v>2.19</v>
      </c>
      <c r="S187" s="3137">
        <v>45122</v>
      </c>
      <c r="T187" s="3137">
        <v>45305</v>
      </c>
      <c r="U187" s="3181">
        <f>T187</f>
        <v>45305</v>
      </c>
      <c r="V187" s="3138">
        <f>J187</f>
        <v>66</v>
      </c>
    </row>
    <row r="188" spans="1:32" s="3113" customFormat="1" ht="16.5">
      <c r="A188" s="3655" t="s">
        <v>1083</v>
      </c>
      <c r="B188" s="3656"/>
      <c r="C188" s="3656"/>
      <c r="D188" s="3657"/>
      <c r="E188" s="3166"/>
      <c r="F188" s="3163">
        <f>SUM(F160:F187)</f>
        <v>7215.4</v>
      </c>
      <c r="G188" s="3163"/>
      <c r="H188" s="3163">
        <f>SUM(H160:H187)</f>
        <v>7449.51</v>
      </c>
      <c r="I188" s="3177"/>
      <c r="J188" s="3170"/>
      <c r="K188" s="3170"/>
      <c r="L188" s="3170"/>
      <c r="M188" s="3170"/>
      <c r="N188" s="3170"/>
      <c r="O188" s="3163"/>
      <c r="P188" s="3156"/>
      <c r="Q188" s="3125"/>
      <c r="R188" s="3130"/>
      <c r="S188" t="s">
        <v>812</v>
      </c>
      <c r="T188" t="s">
        <v>812</v>
      </c>
    </row>
    <row r="189" spans="1:32" ht="33">
      <c r="A189" s="3157">
        <v>290</v>
      </c>
      <c r="B189" s="3158" t="s">
        <v>1040</v>
      </c>
      <c r="C189" s="3158" t="s">
        <v>1084</v>
      </c>
      <c r="D189" s="3158" t="s">
        <v>964</v>
      </c>
      <c r="E189" s="3133" t="s">
        <v>1043</v>
      </c>
      <c r="F189" s="3158">
        <v>66.31</v>
      </c>
      <c r="G189" s="3158">
        <v>105</v>
      </c>
      <c r="H189" s="3158">
        <v>66.31</v>
      </c>
      <c r="I189" s="3133"/>
      <c r="J189" s="3158">
        <v>120</v>
      </c>
      <c r="K189" s="3158" t="s">
        <v>816</v>
      </c>
      <c r="L189" s="3158" t="s">
        <v>816</v>
      </c>
      <c r="M189" s="3158">
        <f t="shared" ref="M189:M193" si="190">H189*J189/10000</f>
        <v>0.79571999999999998</v>
      </c>
      <c r="N189" s="3158">
        <f t="shared" ref="N189:N193" si="191">M189*12</f>
        <v>9.5486400000000007</v>
      </c>
      <c r="O189" s="3158" t="s">
        <v>919</v>
      </c>
      <c r="P189" s="3158" t="s">
        <v>933</v>
      </c>
      <c r="Q189" s="3158"/>
      <c r="R189" s="3179"/>
      <c r="S189" s="3136" t="s">
        <v>933</v>
      </c>
      <c r="T189" t="s">
        <v>816</v>
      </c>
    </row>
    <row r="190" spans="1:32" ht="16.5">
      <c r="A190" s="3157">
        <v>291</v>
      </c>
      <c r="B190" s="3158" t="s">
        <v>1040</v>
      </c>
      <c r="C190" s="3158" t="s">
        <v>1075</v>
      </c>
      <c r="D190" s="3158" t="s">
        <v>808</v>
      </c>
      <c r="E190" s="3133" t="s">
        <v>1043</v>
      </c>
      <c r="F190" s="3158">
        <v>309.32</v>
      </c>
      <c r="G190" s="3158">
        <v>60</v>
      </c>
      <c r="H190" s="3158">
        <v>309.32</v>
      </c>
      <c r="I190" s="3133" t="s">
        <v>1085</v>
      </c>
      <c r="J190" s="3158">
        <v>70</v>
      </c>
      <c r="K190" s="3158" t="s">
        <v>1086</v>
      </c>
      <c r="L190" s="3158" t="s">
        <v>823</v>
      </c>
      <c r="M190" s="3158">
        <f t="shared" si="190"/>
        <v>2.1652399999999998</v>
      </c>
      <c r="N190" s="3158">
        <f t="shared" si="191"/>
        <v>25.982880000000002</v>
      </c>
      <c r="O190" s="3158" t="s">
        <v>800</v>
      </c>
      <c r="P190" s="3158" t="s">
        <v>801</v>
      </c>
      <c r="Q190" s="3158"/>
      <c r="R190" s="3139">
        <f t="shared" ref="R190:R193" si="192">ROUND(N190*10000/365/F190,2)</f>
        <v>2.2999999999999998</v>
      </c>
      <c r="S190" s="3137">
        <v>45019</v>
      </c>
      <c r="T190" s="3137">
        <v>46845</v>
      </c>
      <c r="U190" s="3137">
        <f>S190+365</f>
        <v>45384</v>
      </c>
      <c r="V190" s="3138">
        <f t="shared" ref="V190:V193" si="193">J190</f>
        <v>70</v>
      </c>
      <c r="W190" s="3137">
        <f t="shared" ref="W190:W193" si="194">U190+365</f>
        <v>45749</v>
      </c>
      <c r="X190" s="3140">
        <f t="shared" ref="X190:X193" si="195">V190*1.03</f>
        <v>72.099999999999994</v>
      </c>
      <c r="Y190" s="3137">
        <f t="shared" ref="Y190:Y193" si="196">W190+365+1</f>
        <v>46115</v>
      </c>
      <c r="Z190" s="3140">
        <f t="shared" ref="Z190:Z193" si="197">X190*1.03</f>
        <v>74.263000000000005</v>
      </c>
      <c r="AA190" s="3137">
        <f t="shared" ref="AA190:AA193" si="198">Y190+365</f>
        <v>46480</v>
      </c>
      <c r="AB190" s="3140">
        <f t="shared" ref="AB190:AB193" si="199">Z190*1.03</f>
        <v>76.490889999999993</v>
      </c>
      <c r="AC190" s="3137">
        <f t="shared" ref="AC190:AC193" si="200">AA190+365</f>
        <v>46845</v>
      </c>
      <c r="AD190" s="3140">
        <f t="shared" ref="AD190:AD193" si="201">AB190*1.03</f>
        <v>78.785616700000006</v>
      </c>
      <c r="AE190" s="3137"/>
      <c r="AF190" s="3140"/>
    </row>
    <row r="191" spans="1:32" ht="16.5">
      <c r="A191" s="3157">
        <v>292</v>
      </c>
      <c r="B191" s="3158" t="s">
        <v>1040</v>
      </c>
      <c r="C191" s="3158" t="s">
        <v>1075</v>
      </c>
      <c r="D191" s="3158" t="s">
        <v>809</v>
      </c>
      <c r="E191" s="3133" t="s">
        <v>1043</v>
      </c>
      <c r="F191" s="3158">
        <v>309.32</v>
      </c>
      <c r="G191" s="3158">
        <v>60</v>
      </c>
      <c r="H191" s="3158">
        <v>309.32</v>
      </c>
      <c r="I191" s="3133" t="s">
        <v>1085</v>
      </c>
      <c r="J191" s="3158">
        <v>70</v>
      </c>
      <c r="K191" s="3158" t="s">
        <v>1086</v>
      </c>
      <c r="L191" s="3158" t="s">
        <v>823</v>
      </c>
      <c r="M191" s="3158">
        <f t="shared" si="190"/>
        <v>2.1652399999999998</v>
      </c>
      <c r="N191" s="3158">
        <f t="shared" si="191"/>
        <v>25.982880000000002</v>
      </c>
      <c r="O191" s="3158" t="s">
        <v>800</v>
      </c>
      <c r="P191" s="3158" t="s">
        <v>801</v>
      </c>
      <c r="Q191" s="3158"/>
      <c r="R191" s="3139">
        <f t="shared" si="192"/>
        <v>2.2999999999999998</v>
      </c>
      <c r="S191" s="3137">
        <v>45019</v>
      </c>
      <c r="T191" s="3137">
        <v>46845</v>
      </c>
      <c r="U191" s="3137">
        <f t="shared" ref="U191:U193" si="202">S191+365</f>
        <v>45384</v>
      </c>
      <c r="V191" s="3138">
        <f t="shared" si="193"/>
        <v>70</v>
      </c>
      <c r="W191" s="3137">
        <f t="shared" si="194"/>
        <v>45749</v>
      </c>
      <c r="X191" s="3140">
        <f t="shared" si="195"/>
        <v>72.099999999999994</v>
      </c>
      <c r="Y191" s="3137">
        <f t="shared" si="196"/>
        <v>46115</v>
      </c>
      <c r="Z191" s="3140">
        <f t="shared" si="197"/>
        <v>74.263000000000005</v>
      </c>
      <c r="AA191" s="3137">
        <f t="shared" si="198"/>
        <v>46480</v>
      </c>
      <c r="AB191" s="3140">
        <f t="shared" si="199"/>
        <v>76.490889999999993</v>
      </c>
      <c r="AC191" s="3137">
        <f t="shared" si="200"/>
        <v>46845</v>
      </c>
      <c r="AD191" s="3140">
        <f t="shared" si="201"/>
        <v>78.785616700000006</v>
      </c>
    </row>
    <row r="192" spans="1:32" ht="16.5">
      <c r="A192" s="3157">
        <v>293</v>
      </c>
      <c r="B192" s="3158" t="s">
        <v>1040</v>
      </c>
      <c r="C192" s="3158" t="s">
        <v>1065</v>
      </c>
      <c r="D192" s="3158" t="s">
        <v>805</v>
      </c>
      <c r="E192" s="3133" t="s">
        <v>1043</v>
      </c>
      <c r="F192" s="3158">
        <v>341.21</v>
      </c>
      <c r="G192" s="3158">
        <v>60</v>
      </c>
      <c r="H192" s="3158">
        <v>344.98</v>
      </c>
      <c r="I192" s="3133" t="s">
        <v>1085</v>
      </c>
      <c r="J192" s="3158">
        <v>70</v>
      </c>
      <c r="K192" s="3158" t="s">
        <v>1086</v>
      </c>
      <c r="L192" s="3158" t="s">
        <v>823</v>
      </c>
      <c r="M192" s="3158">
        <f t="shared" si="190"/>
        <v>2.41486</v>
      </c>
      <c r="N192" s="3158">
        <f t="shared" si="191"/>
        <v>28.97832</v>
      </c>
      <c r="O192" s="3158" t="s">
        <v>800</v>
      </c>
      <c r="P192" s="3158" t="s">
        <v>801</v>
      </c>
      <c r="Q192" s="3158"/>
      <c r="R192" s="3139">
        <f t="shared" si="192"/>
        <v>2.33</v>
      </c>
      <c r="S192" s="3137">
        <v>45019</v>
      </c>
      <c r="T192" s="3137">
        <v>46845</v>
      </c>
      <c r="U192" s="3137">
        <f t="shared" si="202"/>
        <v>45384</v>
      </c>
      <c r="V192" s="3138">
        <f t="shared" si="193"/>
        <v>70</v>
      </c>
      <c r="W192" s="3137">
        <f t="shared" si="194"/>
        <v>45749</v>
      </c>
      <c r="X192" s="3140">
        <f t="shared" si="195"/>
        <v>72.099999999999994</v>
      </c>
      <c r="Y192" s="3137">
        <f t="shared" si="196"/>
        <v>46115</v>
      </c>
      <c r="Z192" s="3140">
        <f t="shared" si="197"/>
        <v>74.263000000000005</v>
      </c>
      <c r="AA192" s="3137">
        <f t="shared" si="198"/>
        <v>46480</v>
      </c>
      <c r="AB192" s="3140">
        <f t="shared" si="199"/>
        <v>76.490889999999993</v>
      </c>
      <c r="AC192" s="3137">
        <f t="shared" si="200"/>
        <v>46845</v>
      </c>
      <c r="AD192" s="3140">
        <f t="shared" si="201"/>
        <v>78.785616700000006</v>
      </c>
    </row>
    <row r="193" spans="1:30" ht="16.5">
      <c r="A193" s="3157">
        <v>294</v>
      </c>
      <c r="B193" s="3158" t="s">
        <v>1040</v>
      </c>
      <c r="C193" s="3158" t="s">
        <v>1065</v>
      </c>
      <c r="D193" s="3158" t="s">
        <v>808</v>
      </c>
      <c r="E193" s="3133" t="s">
        <v>1043</v>
      </c>
      <c r="F193" s="3158">
        <v>341.21</v>
      </c>
      <c r="G193" s="3158">
        <v>60</v>
      </c>
      <c r="H193" s="3158">
        <v>344.98</v>
      </c>
      <c r="I193" s="3133" t="s">
        <v>1085</v>
      </c>
      <c r="J193" s="3158">
        <v>70</v>
      </c>
      <c r="K193" s="3158" t="s">
        <v>1086</v>
      </c>
      <c r="L193" s="3158" t="s">
        <v>823</v>
      </c>
      <c r="M193" s="3158">
        <f t="shared" si="190"/>
        <v>2.41486</v>
      </c>
      <c r="N193" s="3158">
        <f t="shared" si="191"/>
        <v>28.97832</v>
      </c>
      <c r="O193" s="3158" t="s">
        <v>800</v>
      </c>
      <c r="P193" s="3158" t="s">
        <v>801</v>
      </c>
      <c r="Q193" s="3158"/>
      <c r="R193" s="3139">
        <f t="shared" si="192"/>
        <v>2.33</v>
      </c>
      <c r="S193" s="3137">
        <v>45019</v>
      </c>
      <c r="T193" s="3137">
        <v>46845</v>
      </c>
      <c r="U193" s="3137">
        <f t="shared" si="202"/>
        <v>45384</v>
      </c>
      <c r="V193" s="3138">
        <f t="shared" si="193"/>
        <v>70</v>
      </c>
      <c r="W193" s="3137">
        <f t="shared" si="194"/>
        <v>45749</v>
      </c>
      <c r="X193" s="3140">
        <f t="shared" si="195"/>
        <v>72.099999999999994</v>
      </c>
      <c r="Y193" s="3137">
        <f t="shared" si="196"/>
        <v>46115</v>
      </c>
      <c r="Z193" s="3140">
        <f t="shared" si="197"/>
        <v>74.263000000000005</v>
      </c>
      <c r="AA193" s="3137">
        <f t="shared" si="198"/>
        <v>46480</v>
      </c>
      <c r="AB193" s="3140">
        <f t="shared" si="199"/>
        <v>76.490889999999993</v>
      </c>
      <c r="AC193" s="3137">
        <f t="shared" si="200"/>
        <v>46845</v>
      </c>
      <c r="AD193" s="3140">
        <f t="shared" si="201"/>
        <v>78.785616700000006</v>
      </c>
    </row>
    <row r="194" spans="1:30" s="3113" customFormat="1" ht="16.5">
      <c r="A194" s="3658" t="s">
        <v>992</v>
      </c>
      <c r="B194" s="3659"/>
      <c r="C194" s="3659"/>
      <c r="D194" s="3660"/>
      <c r="E194" s="3155"/>
      <c r="F194" s="3156">
        <f>SUM(F190:F193)</f>
        <v>1301.06</v>
      </c>
      <c r="G194" s="3156"/>
      <c r="H194" s="3156">
        <f>SUM(H190:H193)</f>
        <v>1308.5999999999999</v>
      </c>
      <c r="I194" s="3155"/>
      <c r="J194" s="3156"/>
      <c r="K194" s="3156"/>
      <c r="L194" s="3156"/>
      <c r="M194" s="3156"/>
      <c r="N194" s="3156"/>
      <c r="O194" s="3156"/>
      <c r="P194" s="3156"/>
      <c r="Q194" s="3156"/>
      <c r="R194" s="3182"/>
      <c r="S194" t="str">
        <f t="shared" ref="S194" si="203">LEFT(K194,8)</f>
        <v/>
      </c>
      <c r="T194"/>
    </row>
  </sheetData>
  <protectedRanges>
    <protectedRange sqref="I20" name="区域1_38_1_1"/>
    <protectedRange sqref="I21" name="区域1_1_2"/>
    <protectedRange sqref="I20" name="区域1_38_1"/>
    <protectedRange sqref="I17" name="区域1_8_1"/>
    <protectedRange sqref="I26" name="区域1_8_1_1"/>
  </protectedRanges>
  <mergeCells count="17">
    <mergeCell ref="A11:D11"/>
    <mergeCell ref="A15:D15"/>
    <mergeCell ref="A16:D16"/>
    <mergeCell ref="A34:D34"/>
    <mergeCell ref="A38:D38"/>
    <mergeCell ref="A129:C129"/>
    <mergeCell ref="A130:D130"/>
    <mergeCell ref="A134:D134"/>
    <mergeCell ref="A136:D136"/>
    <mergeCell ref="A139:D139"/>
    <mergeCell ref="A188:D188"/>
    <mergeCell ref="A194:D194"/>
    <mergeCell ref="A140:D140"/>
    <mergeCell ref="A153:D153"/>
    <mergeCell ref="A156:D156"/>
    <mergeCell ref="A157:D157"/>
    <mergeCell ref="A159:D159"/>
  </mergeCells>
  <phoneticPr fontId="2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7" sqref="L27"/>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1087</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1088</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462</v>
      </c>
      <c r="B2" s="1006" t="s">
        <v>458</v>
      </c>
      <c r="C2" s="1006" t="s">
        <v>1089</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1090</v>
      </c>
      <c r="AZ2" s="3087" t="s">
        <v>1091</v>
      </c>
      <c r="BA2" s="1006" t="s">
        <v>1092</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38.93</v>
      </c>
      <c r="C3" s="3027" t="s">
        <v>1093</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45" t="s">
        <v>1094</v>
      </c>
      <c r="B5" s="2373"/>
      <c r="C5" s="2373"/>
      <c r="D5" s="2501"/>
      <c r="E5" s="3031" t="s">
        <v>124</v>
      </c>
      <c r="F5" s="3031">
        <f>SUM(F13:F587)</f>
        <v>0</v>
      </c>
      <c r="G5" s="3031">
        <f>SUM(G13:G587)</f>
        <v>38.93</v>
      </c>
      <c r="H5" s="3031">
        <f t="shared" ref="H5:AT5" si="0">SUM(H13:H656)</f>
        <v>38.93</v>
      </c>
      <c r="I5" s="3031">
        <f t="shared" si="0"/>
        <v>38.93</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45" t="s">
        <v>1094</v>
      </c>
      <c r="AW5" s="2373"/>
      <c r="AX5" s="2373"/>
      <c r="AY5" s="3091" t="s">
        <v>124</v>
      </c>
      <c r="AZ5" s="3092">
        <f t="shared" ref="AZ5:BT5" si="1">SUM(AZ13:AZ656)</f>
        <v>38.93</v>
      </c>
      <c r="BA5" s="3092">
        <f t="shared" si="1"/>
        <v>38.93</v>
      </c>
      <c r="BB5" s="3092">
        <f t="shared" si="1"/>
        <v>38.93</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2145" t="s">
        <v>1095</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2145" t="s">
        <v>1095</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1096</v>
      </c>
      <c r="B7" s="3035" t="s">
        <v>1097</v>
      </c>
      <c r="C7" s="3035" t="s">
        <v>505</v>
      </c>
      <c r="D7" s="3035" t="s">
        <v>1098</v>
      </c>
      <c r="E7" s="3035" t="s">
        <v>1095</v>
      </c>
      <c r="F7" s="3035" t="s">
        <v>1099</v>
      </c>
      <c r="G7" s="2470" t="s">
        <v>1100</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1101</v>
      </c>
      <c r="AV7" s="3078" t="s">
        <v>1096</v>
      </c>
      <c r="AW7" s="2490" t="s">
        <v>1097</v>
      </c>
      <c r="AX7" s="3078" t="s">
        <v>505</v>
      </c>
      <c r="AY7" s="2373" t="s">
        <v>1102</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8" customFormat="1" ht="24">
      <c r="A8" s="3037"/>
      <c r="B8" s="3037"/>
      <c r="C8" s="3037"/>
      <c r="D8" s="3037"/>
      <c r="E8" s="3037"/>
      <c r="F8" s="3037"/>
      <c r="G8" s="3038" t="s">
        <v>1103</v>
      </c>
      <c r="H8" s="3039" t="s">
        <v>1104</v>
      </c>
      <c r="I8" s="3058"/>
      <c r="J8" s="1005"/>
      <c r="K8" s="1005"/>
      <c r="L8" s="1005"/>
      <c r="M8" s="1005"/>
      <c r="N8" s="1005"/>
      <c r="O8" s="1005"/>
      <c r="P8" s="1005"/>
      <c r="Q8" s="1005"/>
      <c r="R8" s="1005"/>
      <c r="S8" s="1005"/>
      <c r="T8" s="1005"/>
      <c r="U8" s="1005"/>
      <c r="V8" s="3065"/>
      <c r="W8" s="1005"/>
      <c r="X8" s="1005"/>
      <c r="Y8" s="1005"/>
      <c r="Z8" s="1005"/>
      <c r="AA8" s="3065"/>
      <c r="AB8" s="3067"/>
      <c r="AC8" s="2294" t="s">
        <v>1105</v>
      </c>
      <c r="AD8" s="3068"/>
      <c r="AE8" s="3069"/>
      <c r="AF8" s="1005"/>
      <c r="AG8" s="1005"/>
      <c r="AH8" s="1005"/>
      <c r="AI8" s="1005"/>
      <c r="AJ8" s="1005"/>
      <c r="AK8" s="1005"/>
      <c r="AL8" s="1005"/>
      <c r="AM8" s="1005"/>
      <c r="AN8" s="1005"/>
      <c r="AO8" s="1005"/>
      <c r="AP8" s="1005"/>
      <c r="AQ8" s="1005"/>
      <c r="AR8" s="1005"/>
      <c r="AS8" s="1005"/>
      <c r="AT8" s="1984" t="s">
        <v>1106</v>
      </c>
      <c r="AU8" s="3037" t="s">
        <v>1107</v>
      </c>
      <c r="AV8" s="1984"/>
      <c r="AW8" s="2450"/>
      <c r="AX8" s="1984"/>
      <c r="AY8" s="2490" t="s">
        <v>1095</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2030"/>
    </row>
    <row r="9" spans="1:72" s="2738" customFormat="1" ht="12.75">
      <c r="A9" s="3037"/>
      <c r="B9" s="3037"/>
      <c r="C9" s="3037"/>
      <c r="D9" s="3037"/>
      <c r="E9" s="3037"/>
      <c r="F9" s="3037"/>
      <c r="G9" s="1984"/>
      <c r="H9" s="3040" t="s">
        <v>1108</v>
      </c>
      <c r="I9" s="3059" t="s">
        <v>1109</v>
      </c>
      <c r="J9" s="2294"/>
      <c r="K9" s="3059" t="s">
        <v>990</v>
      </c>
      <c r="L9" s="2294"/>
      <c r="M9" s="3059"/>
      <c r="N9" s="2294"/>
      <c r="O9" s="3059"/>
      <c r="P9" s="2294"/>
      <c r="Q9" s="3059"/>
      <c r="R9" s="2294"/>
      <c r="S9" s="3059"/>
      <c r="T9" s="2294"/>
      <c r="U9" s="3059"/>
      <c r="V9" s="2294"/>
      <c r="W9" s="3059"/>
      <c r="X9" s="3066"/>
      <c r="Y9" s="3059"/>
      <c r="Z9" s="2294"/>
      <c r="AA9" s="3059"/>
      <c r="AB9" s="2294"/>
      <c r="AC9" s="3038" t="s">
        <v>1108</v>
      </c>
      <c r="AD9" s="2145" t="s">
        <v>1110</v>
      </c>
      <c r="AE9" s="1996"/>
      <c r="AF9" s="2145" t="s">
        <v>1111</v>
      </c>
      <c r="AG9" s="1996"/>
      <c r="AH9" s="2145" t="s">
        <v>1110</v>
      </c>
      <c r="AI9" s="1996"/>
      <c r="AJ9" s="2145" t="s">
        <v>1111</v>
      </c>
      <c r="AK9" s="1996"/>
      <c r="AL9" s="2145" t="s">
        <v>1110</v>
      </c>
      <c r="AM9" s="1996"/>
      <c r="AN9" s="2145" t="s">
        <v>1111</v>
      </c>
      <c r="AO9" s="1996"/>
      <c r="AP9" s="2145" t="s">
        <v>1110</v>
      </c>
      <c r="AQ9" s="1996"/>
      <c r="AR9" s="2145" t="s">
        <v>1111</v>
      </c>
      <c r="AS9" s="3079"/>
      <c r="AT9" s="3037"/>
      <c r="AU9" s="3037" t="s">
        <v>1112</v>
      </c>
      <c r="AV9" s="1984"/>
      <c r="AW9" s="2450"/>
      <c r="AX9" s="1984"/>
      <c r="AY9" s="3041"/>
      <c r="AZ9" s="3041" t="s">
        <v>1103</v>
      </c>
      <c r="BA9" s="3094" t="s">
        <v>1113</v>
      </c>
      <c r="BB9" s="3095"/>
      <c r="BC9" s="2042"/>
      <c r="BD9" s="2042"/>
      <c r="BE9" s="2042"/>
      <c r="BF9" s="2042"/>
      <c r="BG9" s="2042"/>
      <c r="BH9" s="2042"/>
      <c r="BI9" s="2042"/>
      <c r="BJ9" s="2042"/>
      <c r="BK9" s="3100"/>
      <c r="BL9" s="2145" t="s">
        <v>1114</v>
      </c>
      <c r="BM9" s="1005"/>
      <c r="BN9" s="3058"/>
      <c r="BO9" s="1005"/>
      <c r="BP9" s="1005"/>
      <c r="BQ9" s="1005"/>
      <c r="BR9" s="1005"/>
      <c r="BS9" s="1005"/>
      <c r="BT9" s="2030"/>
    </row>
    <row r="10" spans="1:72" s="2738" customFormat="1" ht="12.75">
      <c r="A10" s="3037"/>
      <c r="B10" s="3037"/>
      <c r="C10" s="3037"/>
      <c r="D10" s="3037"/>
      <c r="E10" s="3037"/>
      <c r="F10" s="3037"/>
      <c r="G10" s="1984"/>
      <c r="H10" s="3041"/>
      <c r="I10" s="3059" t="s">
        <v>409</v>
      </c>
      <c r="J10" s="2294"/>
      <c r="K10" s="3060" t="s">
        <v>1115</v>
      </c>
      <c r="L10" s="2294"/>
      <c r="M10" s="3060"/>
      <c r="N10" s="2294"/>
      <c r="O10" s="3060"/>
      <c r="P10" s="2294"/>
      <c r="Q10" s="3060"/>
      <c r="R10" s="2294"/>
      <c r="S10" s="3060"/>
      <c r="T10" s="2294"/>
      <c r="U10" s="3060"/>
      <c r="V10" s="2294"/>
      <c r="W10" s="3060"/>
      <c r="X10" s="2294"/>
      <c r="Y10" s="3060"/>
      <c r="Z10" s="2294"/>
      <c r="AA10" s="3060"/>
      <c r="AB10" s="2294"/>
      <c r="AC10" s="1984"/>
      <c r="AD10" s="2145" t="s">
        <v>1116</v>
      </c>
      <c r="AE10" s="3070"/>
      <c r="AF10" s="2145" t="s">
        <v>1116</v>
      </c>
      <c r="AG10" s="3070"/>
      <c r="AH10" s="2145" t="s">
        <v>1117</v>
      </c>
      <c r="AI10" s="3070"/>
      <c r="AJ10" s="2145" t="s">
        <v>1117</v>
      </c>
      <c r="AK10" s="3070"/>
      <c r="AL10" s="2145" t="s">
        <v>1118</v>
      </c>
      <c r="AM10" s="1996"/>
      <c r="AN10" s="2145" t="s">
        <v>1118</v>
      </c>
      <c r="AO10" s="1996"/>
      <c r="AP10" s="2145" t="s">
        <v>1119</v>
      </c>
      <c r="AQ10" s="1996"/>
      <c r="AR10" s="2145" t="s">
        <v>1119</v>
      </c>
      <c r="AS10" s="1996"/>
      <c r="AT10" s="3037"/>
      <c r="AU10" s="3037"/>
      <c r="AV10" s="1984"/>
      <c r="AW10" s="2450"/>
      <c r="AX10" s="1984"/>
      <c r="AY10" s="3041"/>
      <c r="AZ10" s="3041"/>
      <c r="BA10" s="3042" t="s">
        <v>1108</v>
      </c>
      <c r="BB10" s="3096" t="str">
        <f>I9</f>
        <v>地上</v>
      </c>
      <c r="BC10" s="2054" t="str">
        <f>K9</f>
        <v>地下</v>
      </c>
      <c r="BD10" s="2054">
        <f>M9</f>
        <v>0</v>
      </c>
      <c r="BE10" s="2054">
        <f>O9</f>
        <v>0</v>
      </c>
      <c r="BF10" s="2054">
        <f>Q9</f>
        <v>0</v>
      </c>
      <c r="BG10" s="2054">
        <f>S9</f>
        <v>0</v>
      </c>
      <c r="BH10" s="2054">
        <f>U9</f>
        <v>0</v>
      </c>
      <c r="BI10" s="2054">
        <f>W9</f>
        <v>0</v>
      </c>
      <c r="BJ10" s="2054">
        <f>Y9</f>
        <v>0</v>
      </c>
      <c r="BK10" s="2054">
        <f>AA9</f>
        <v>0</v>
      </c>
      <c r="BL10" s="2050" t="s">
        <v>1108</v>
      </c>
      <c r="BM10" s="1004" t="str">
        <f>AD9</f>
        <v>地上</v>
      </c>
      <c r="BN10" s="2054" t="str">
        <f>AF9</f>
        <v>地下</v>
      </c>
      <c r="BO10" s="1004" t="str">
        <f>AH9</f>
        <v>地上</v>
      </c>
      <c r="BP10" s="2054" t="str">
        <f>AJ9</f>
        <v>地下</v>
      </c>
      <c r="BQ10" s="1004" t="str">
        <f>AL9</f>
        <v>地上</v>
      </c>
      <c r="BR10" s="2054" t="str">
        <f>AN9</f>
        <v>地下</v>
      </c>
      <c r="BS10" s="1004" t="str">
        <f>AP9</f>
        <v>地上</v>
      </c>
      <c r="BT10" s="3104" t="str">
        <f>AR9</f>
        <v>地下</v>
      </c>
    </row>
    <row r="11" spans="1:72" s="2738" customFormat="1" ht="12.75">
      <c r="A11" s="3037"/>
      <c r="B11" s="3037"/>
      <c r="C11" s="3037"/>
      <c r="D11" s="3037"/>
      <c r="E11" s="3037"/>
      <c r="F11" s="3037"/>
      <c r="G11" s="1984"/>
      <c r="H11" s="3042"/>
      <c r="I11" s="3061"/>
      <c r="J11" s="3062"/>
      <c r="K11" s="3061"/>
      <c r="L11" s="3062"/>
      <c r="M11" s="3061"/>
      <c r="N11" s="3062"/>
      <c r="O11" s="3061"/>
      <c r="P11" s="3062"/>
      <c r="Q11" s="3061"/>
      <c r="R11" s="3062"/>
      <c r="S11" s="3061"/>
      <c r="T11" s="3062"/>
      <c r="U11" s="3061"/>
      <c r="V11" s="3062"/>
      <c r="W11" s="3061"/>
      <c r="X11" s="3062"/>
      <c r="Y11" s="3061"/>
      <c r="Z11" s="3062"/>
      <c r="AA11" s="3061"/>
      <c r="AB11" s="3062"/>
      <c r="AC11" s="1984"/>
      <c r="AD11" s="3071" t="s">
        <v>1120</v>
      </c>
      <c r="AE11" s="1061"/>
      <c r="AF11" s="3071" t="s">
        <v>1120</v>
      </c>
      <c r="AG11" s="1061"/>
      <c r="AH11" s="3071" t="s">
        <v>1121</v>
      </c>
      <c r="AI11" s="3075"/>
      <c r="AJ11" s="3071" t="s">
        <v>1121</v>
      </c>
      <c r="AK11" s="1061"/>
      <c r="AL11" s="1004"/>
      <c r="AM11" s="1061"/>
      <c r="AN11" s="1004"/>
      <c r="AO11" s="1061"/>
      <c r="AP11" s="1004"/>
      <c r="AQ11" s="1061"/>
      <c r="AR11" s="1004"/>
      <c r="AS11" s="1061"/>
      <c r="AT11" s="2450"/>
      <c r="AU11" s="3037"/>
      <c r="AV11" s="1984"/>
      <c r="AW11" s="2450"/>
      <c r="AX11" s="1984"/>
      <c r="AY11" s="3041"/>
      <c r="AZ11" s="3041"/>
      <c r="BA11" s="3041"/>
      <c r="BB11" s="3067" t="str">
        <f>I10</f>
        <v>工业</v>
      </c>
      <c r="BC11" s="3067" t="str">
        <f>K10</f>
        <v>车库</v>
      </c>
      <c r="BD11" s="3067">
        <f>M10</f>
        <v>0</v>
      </c>
      <c r="BE11" s="3067">
        <f>O10</f>
        <v>0</v>
      </c>
      <c r="BF11" s="3067">
        <f>Q10</f>
        <v>0</v>
      </c>
      <c r="BG11" s="3067">
        <f>S10</f>
        <v>0</v>
      </c>
      <c r="BH11" s="3067">
        <f>U10</f>
        <v>0</v>
      </c>
      <c r="BI11" s="3067">
        <f>W10</f>
        <v>0</v>
      </c>
      <c r="BJ11" s="3067">
        <f>Y10</f>
        <v>0</v>
      </c>
      <c r="BK11" s="3067">
        <f>AA10</f>
        <v>0</v>
      </c>
      <c r="BL11" s="1984"/>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0" t="str">
        <f>AP10</f>
        <v>未注明</v>
      </c>
      <c r="BT11" s="3105" t="str">
        <f>AR10</f>
        <v>未注明</v>
      </c>
    </row>
    <row r="12" spans="1:72" s="3016" customFormat="1" ht="12.75">
      <c r="A12" s="3043"/>
      <c r="B12" s="3043"/>
      <c r="C12" s="3043"/>
      <c r="D12" s="3043"/>
      <c r="E12" s="3043"/>
      <c r="F12" s="3043"/>
      <c r="G12" s="602"/>
      <c r="H12" s="3044"/>
      <c r="I12" s="2501" t="s">
        <v>1122</v>
      </c>
      <c r="J12" s="1006" t="s">
        <v>1123</v>
      </c>
      <c r="K12" s="1006" t="s">
        <v>1122</v>
      </c>
      <c r="L12" s="1006" t="s">
        <v>1123</v>
      </c>
      <c r="M12" s="1006" t="s">
        <v>1122</v>
      </c>
      <c r="N12" s="1006" t="s">
        <v>1123</v>
      </c>
      <c r="O12" s="1006" t="s">
        <v>1122</v>
      </c>
      <c r="P12" s="1006" t="s">
        <v>1123</v>
      </c>
      <c r="Q12" s="1006" t="s">
        <v>1122</v>
      </c>
      <c r="R12" s="1006" t="s">
        <v>1123</v>
      </c>
      <c r="S12" s="1006" t="s">
        <v>1122</v>
      </c>
      <c r="T12" s="1006" t="s">
        <v>1123</v>
      </c>
      <c r="U12" s="1006" t="s">
        <v>1122</v>
      </c>
      <c r="V12" s="2372" t="s">
        <v>1123</v>
      </c>
      <c r="W12" s="1006" t="s">
        <v>1122</v>
      </c>
      <c r="X12" s="1006" t="s">
        <v>1123</v>
      </c>
      <c r="Y12" s="1006" t="s">
        <v>1122</v>
      </c>
      <c r="Z12" s="1006" t="s">
        <v>1123</v>
      </c>
      <c r="AA12" s="1006" t="s">
        <v>1122</v>
      </c>
      <c r="AB12" s="1006" t="s">
        <v>1123</v>
      </c>
      <c r="AC12" s="3072"/>
      <c r="AD12" s="2501" t="s">
        <v>1122</v>
      </c>
      <c r="AE12" s="1006" t="s">
        <v>1123</v>
      </c>
      <c r="AF12" s="1006" t="s">
        <v>1122</v>
      </c>
      <c r="AG12" s="1006" t="s">
        <v>1123</v>
      </c>
      <c r="AH12" s="1006" t="s">
        <v>1122</v>
      </c>
      <c r="AI12" s="1006" t="s">
        <v>1123</v>
      </c>
      <c r="AJ12" s="1006" t="s">
        <v>1122</v>
      </c>
      <c r="AK12" s="1006" t="s">
        <v>1123</v>
      </c>
      <c r="AL12" s="1006" t="s">
        <v>1122</v>
      </c>
      <c r="AM12" s="1006" t="s">
        <v>1123</v>
      </c>
      <c r="AN12" s="1006" t="s">
        <v>1122</v>
      </c>
      <c r="AO12" s="1006" t="s">
        <v>1123</v>
      </c>
      <c r="AP12" s="1006" t="s">
        <v>1122</v>
      </c>
      <c r="AQ12" s="1006" t="s">
        <v>1123</v>
      </c>
      <c r="AR12" s="602" t="s">
        <v>1122</v>
      </c>
      <c r="AS12" s="3043" t="s">
        <v>1123</v>
      </c>
      <c r="AT12" s="3080"/>
      <c r="AU12" s="3043"/>
      <c r="AV12" s="3081"/>
      <c r="AW12" s="2490"/>
      <c r="AX12" s="3081"/>
      <c r="AY12" s="3097"/>
      <c r="AZ12" s="3041"/>
      <c r="BA12" s="3042"/>
      <c r="BB12" s="1003">
        <f>I11</f>
        <v>0</v>
      </c>
      <c r="BC12" s="3098">
        <f>K11</f>
        <v>0</v>
      </c>
      <c r="BD12" s="3098">
        <f>M11</f>
        <v>0</v>
      </c>
      <c r="BE12" s="3067">
        <f>O11</f>
        <v>0</v>
      </c>
      <c r="BF12" s="3067">
        <f>Q11</f>
        <v>0</v>
      </c>
      <c r="BG12" s="3067">
        <f>S11</f>
        <v>0</v>
      </c>
      <c r="BH12" s="3067">
        <f>U11</f>
        <v>0</v>
      </c>
      <c r="BI12" s="3067">
        <f>W11</f>
        <v>0</v>
      </c>
      <c r="BJ12" s="3067">
        <f>Y11</f>
        <v>0</v>
      </c>
      <c r="BK12" s="3067">
        <f>AA11</f>
        <v>0</v>
      </c>
      <c r="BL12" s="1984"/>
      <c r="BM12" s="1004" t="str">
        <f>AD11</f>
        <v>（住宅）</v>
      </c>
      <c r="BN12" s="1004" t="str">
        <f>AF11</f>
        <v>（住宅）</v>
      </c>
      <c r="BO12" s="1003" t="str">
        <f>AH11</f>
        <v>（住宅、计出让金）</v>
      </c>
      <c r="BP12" s="1003" t="str">
        <f>AJ11</f>
        <v>（住宅、计出让金）</v>
      </c>
      <c r="BQ12" s="1003">
        <f>AL11</f>
        <v>0</v>
      </c>
      <c r="BR12" s="1003">
        <f>AN11</f>
        <v>0</v>
      </c>
      <c r="BS12" s="2050">
        <f>AP11</f>
        <v>0</v>
      </c>
      <c r="BT12" s="3105">
        <f>AR11</f>
        <v>0</v>
      </c>
    </row>
    <row r="13" spans="1:72" s="3016" customFormat="1" ht="12.75">
      <c r="A13" s="3045"/>
      <c r="B13" s="946"/>
      <c r="C13" s="3046" t="s">
        <v>440</v>
      </c>
      <c r="D13" s="3047" t="s">
        <v>1124</v>
      </c>
      <c r="E13" s="3031">
        <f>IF($C$3="是",ROUND($A$3*G13/$B$3,2),ROUND($A$3*(G13-AT13)/$B$3,2))</f>
        <v>0</v>
      </c>
      <c r="F13" s="3048"/>
      <c r="G13" s="3049">
        <f>H13+AC13+AT13</f>
        <v>38.93</v>
      </c>
      <c r="H13" s="3034">
        <f>SUMIF(I$12:AB$12,"总值",I13:AB13)</f>
        <v>38.93</v>
      </c>
      <c r="I13" s="3063">
        <v>38.93</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06">
        <f t="shared" ref="AV13:AX17" si="6">A13</f>
        <v>0</v>
      </c>
      <c r="AW13" s="1006" t="str">
        <f>C13</f>
        <v>兴盛国际</v>
      </c>
      <c r="AX13" s="1006" t="e">
        <f>#REF!</f>
        <v>#REF!</v>
      </c>
      <c r="AY13" s="2501">
        <f>ROUND($AY$6*AZ13/$AZ$5,2)</f>
        <v>0</v>
      </c>
      <c r="AZ13" s="3031">
        <f>BA13+BL13</f>
        <v>38.93</v>
      </c>
      <c r="BA13" s="3031">
        <f>SUM(BB13:BK13)</f>
        <v>38.93</v>
      </c>
      <c r="BB13" s="3031">
        <f>IF($D13="是",I13-J13,0)</f>
        <v>38.93</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5"/>
      <c r="C14" s="3050"/>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5"/>
      <c r="C15" s="3050"/>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5"/>
      <c r="C16" s="3050"/>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5"/>
      <c r="C17" s="3050"/>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4">
        <f t="shared" ref="AV18:AV112" si="11">A18</f>
        <v>0</v>
      </c>
      <c r="AW18" s="1284">
        <f t="shared" ref="AW18:AW112" si="12">B18</f>
        <v>0</v>
      </c>
      <c r="AX18" s="1284">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4">
        <f t="shared" si="11"/>
        <v>0</v>
      </c>
      <c r="AW19" s="1284">
        <f t="shared" si="12"/>
        <v>0</v>
      </c>
      <c r="AX19" s="1284">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4">
        <f t="shared" si="11"/>
        <v>0</v>
      </c>
      <c r="AW20" s="1284">
        <f t="shared" si="12"/>
        <v>0</v>
      </c>
      <c r="AX20" s="1284">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4">
        <f t="shared" si="11"/>
        <v>0</v>
      </c>
      <c r="AW21" s="1284">
        <f t="shared" si="12"/>
        <v>0</v>
      </c>
      <c r="AX21" s="1284">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84">
        <f t="shared" si="11"/>
        <v>0</v>
      </c>
      <c r="AW22" s="1284">
        <f t="shared" si="12"/>
        <v>0</v>
      </c>
      <c r="AX22" s="1284">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84">
        <f t="shared" si="11"/>
        <v>0</v>
      </c>
      <c r="AW23" s="1284">
        <f t="shared" si="12"/>
        <v>0</v>
      </c>
      <c r="AX23" s="1284">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4">
        <f t="shared" si="11"/>
        <v>0</v>
      </c>
      <c r="AW24" s="1284">
        <f t="shared" si="12"/>
        <v>0</v>
      </c>
      <c r="AX24" s="1284">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4">
        <f t="shared" si="11"/>
        <v>0</v>
      </c>
      <c r="AW25" s="1284">
        <f t="shared" si="12"/>
        <v>0</v>
      </c>
      <c r="AX25" s="1284">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4">
        <f t="shared" si="11"/>
        <v>0</v>
      </c>
      <c r="AW26" s="1284">
        <f t="shared" si="12"/>
        <v>0</v>
      </c>
      <c r="AX26" s="1284">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4">
        <f t="shared" si="11"/>
        <v>0</v>
      </c>
      <c r="AW27" s="1284">
        <f t="shared" si="12"/>
        <v>0</v>
      </c>
      <c r="AX27" s="1284">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4">
        <f t="shared" si="11"/>
        <v>0</v>
      </c>
      <c r="AW28" s="1284">
        <f t="shared" si="12"/>
        <v>0</v>
      </c>
      <c r="AX28" s="1284">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4">
        <f t="shared" si="11"/>
        <v>0</v>
      </c>
      <c r="AW29" s="1284">
        <f t="shared" si="12"/>
        <v>0</v>
      </c>
      <c r="AX29" s="1284">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4">
        <f t="shared" si="11"/>
        <v>0</v>
      </c>
      <c r="AW30" s="1284">
        <f t="shared" si="12"/>
        <v>0</v>
      </c>
      <c r="AX30" s="1284">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4">
        <f t="shared" si="11"/>
        <v>0</v>
      </c>
      <c r="AW31" s="1284">
        <f t="shared" si="12"/>
        <v>0</v>
      </c>
      <c r="AX31" s="1284">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4">
        <f t="shared" si="11"/>
        <v>0</v>
      </c>
      <c r="AW32" s="1284">
        <f t="shared" si="12"/>
        <v>0</v>
      </c>
      <c r="AX32" s="1284">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4">
        <f t="shared" si="11"/>
        <v>0</v>
      </c>
      <c r="AW33" s="1284">
        <f t="shared" si="12"/>
        <v>0</v>
      </c>
      <c r="AX33" s="1284">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4">
        <f t="shared" si="11"/>
        <v>0</v>
      </c>
      <c r="AW34" s="1284">
        <f t="shared" si="12"/>
        <v>0</v>
      </c>
      <c r="AX34" s="1284">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4">
        <f t="shared" si="11"/>
        <v>0</v>
      </c>
      <c r="AW35" s="1284">
        <f t="shared" si="12"/>
        <v>0</v>
      </c>
      <c r="AX35" s="1284">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4">
        <f t="shared" si="11"/>
        <v>0</v>
      </c>
      <c r="AW36" s="1284">
        <f t="shared" si="12"/>
        <v>0</v>
      </c>
      <c r="AX36" s="1284">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4">
        <f t="shared" si="11"/>
        <v>0</v>
      </c>
      <c r="AW37" s="1284">
        <f t="shared" si="12"/>
        <v>0</v>
      </c>
      <c r="AX37" s="1284">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4">
        <f t="shared" si="11"/>
        <v>0</v>
      </c>
      <c r="AW38" s="1284">
        <f t="shared" si="12"/>
        <v>0</v>
      </c>
      <c r="AX38" s="1284">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4">
        <f t="shared" si="11"/>
        <v>0</v>
      </c>
      <c r="AW39" s="1284">
        <f t="shared" si="12"/>
        <v>0</v>
      </c>
      <c r="AX39" s="1284">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4">
        <f t="shared" si="11"/>
        <v>0</v>
      </c>
      <c r="AW40" s="1284">
        <f t="shared" si="12"/>
        <v>0</v>
      </c>
      <c r="AX40" s="1284">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4">
        <f t="shared" si="11"/>
        <v>0</v>
      </c>
      <c r="AW41" s="1284">
        <f t="shared" si="12"/>
        <v>0</v>
      </c>
      <c r="AX41" s="1284">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4">
        <f t="shared" si="11"/>
        <v>0</v>
      </c>
      <c r="AW42" s="1284">
        <f t="shared" si="12"/>
        <v>0</v>
      </c>
      <c r="AX42" s="1284">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4">
        <f t="shared" si="11"/>
        <v>0</v>
      </c>
      <c r="AW43" s="1284">
        <f t="shared" si="12"/>
        <v>0</v>
      </c>
      <c r="AX43" s="1284">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4">
        <f t="shared" si="11"/>
        <v>0</v>
      </c>
      <c r="AW44" s="1284">
        <f t="shared" si="12"/>
        <v>0</v>
      </c>
      <c r="AX44" s="1284">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4">
        <f t="shared" si="11"/>
        <v>0</v>
      </c>
      <c r="AW45" s="1284">
        <f t="shared" si="12"/>
        <v>0</v>
      </c>
      <c r="AX45" s="1284">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4">
        <f t="shared" si="11"/>
        <v>0</v>
      </c>
      <c r="AW46" s="1284">
        <f t="shared" si="12"/>
        <v>0</v>
      </c>
      <c r="AX46" s="1284">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4">
        <f t="shared" si="11"/>
        <v>0</v>
      </c>
      <c r="AW47" s="1284">
        <f t="shared" si="12"/>
        <v>0</v>
      </c>
      <c r="AX47" s="1284">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4">
        <f t="shared" si="11"/>
        <v>0</v>
      </c>
      <c r="AW48" s="1284">
        <f t="shared" si="12"/>
        <v>0</v>
      </c>
      <c r="AX48" s="1284">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4">
        <f t="shared" si="11"/>
        <v>0</v>
      </c>
      <c r="AW49" s="1284">
        <f t="shared" si="12"/>
        <v>0</v>
      </c>
      <c r="AX49" s="1284">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4">
        <f t="shared" si="11"/>
        <v>0</v>
      </c>
      <c r="AW50" s="1284">
        <f t="shared" si="12"/>
        <v>0</v>
      </c>
      <c r="AX50" s="1284">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4">
        <f t="shared" si="11"/>
        <v>0</v>
      </c>
      <c r="AW51" s="1284">
        <f t="shared" si="12"/>
        <v>0</v>
      </c>
      <c r="AX51" s="1284">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4">
        <f t="shared" si="11"/>
        <v>0</v>
      </c>
      <c r="AW52" s="1284">
        <f t="shared" si="12"/>
        <v>0</v>
      </c>
      <c r="AX52" s="1284">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4">
        <f t="shared" si="11"/>
        <v>0</v>
      </c>
      <c r="AW53" s="1284">
        <f t="shared" si="12"/>
        <v>0</v>
      </c>
      <c r="AX53" s="1284">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4">
        <f t="shared" si="11"/>
        <v>0</v>
      </c>
      <c r="AW54" s="1284">
        <f t="shared" si="12"/>
        <v>0</v>
      </c>
      <c r="AX54" s="1284">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4">
        <f t="shared" si="11"/>
        <v>0</v>
      </c>
      <c r="AW55" s="1284">
        <f t="shared" si="12"/>
        <v>0</v>
      </c>
      <c r="AX55" s="1284">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4">
        <f t="shared" si="11"/>
        <v>0</v>
      </c>
      <c r="AW56" s="1284">
        <f t="shared" si="12"/>
        <v>0</v>
      </c>
      <c r="AX56" s="1284">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4">
        <f t="shared" si="11"/>
        <v>0</v>
      </c>
      <c r="AW57" s="1284">
        <f t="shared" si="12"/>
        <v>0</v>
      </c>
      <c r="AX57" s="1284">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4">
        <f t="shared" si="11"/>
        <v>0</v>
      </c>
      <c r="AW58" s="1284">
        <f t="shared" si="12"/>
        <v>0</v>
      </c>
      <c r="AX58" s="1284">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4">
        <f t="shared" si="11"/>
        <v>0</v>
      </c>
      <c r="AW59" s="1284">
        <f t="shared" si="12"/>
        <v>0</v>
      </c>
      <c r="AX59" s="1284">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4">
        <f t="shared" si="11"/>
        <v>0</v>
      </c>
      <c r="AW60" s="1284">
        <f t="shared" si="12"/>
        <v>0</v>
      </c>
      <c r="AX60" s="1284">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4">
        <f t="shared" si="11"/>
        <v>0</v>
      </c>
      <c r="AW61" s="1284">
        <f t="shared" si="12"/>
        <v>0</v>
      </c>
      <c r="AX61" s="1284">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4">
        <f t="shared" si="11"/>
        <v>0</v>
      </c>
      <c r="AW62" s="1284">
        <f t="shared" si="12"/>
        <v>0</v>
      </c>
      <c r="AX62" s="1284">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4">
        <f t="shared" si="11"/>
        <v>0</v>
      </c>
      <c r="AW63" s="1284">
        <f t="shared" si="12"/>
        <v>0</v>
      </c>
      <c r="AX63" s="1284">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4">
        <f t="shared" si="11"/>
        <v>0</v>
      </c>
      <c r="AW64" s="1284">
        <f t="shared" si="12"/>
        <v>0</v>
      </c>
      <c r="AX64" s="1284">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4">
        <f t="shared" si="11"/>
        <v>0</v>
      </c>
      <c r="AW65" s="1284">
        <f t="shared" si="12"/>
        <v>0</v>
      </c>
      <c r="AX65" s="1284">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4">
        <f t="shared" si="11"/>
        <v>0</v>
      </c>
      <c r="AW66" s="1284">
        <f t="shared" si="12"/>
        <v>0</v>
      </c>
      <c r="AX66" s="1284">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4">
        <f t="shared" si="11"/>
        <v>0</v>
      </c>
      <c r="AW67" s="1284">
        <f t="shared" si="12"/>
        <v>0</v>
      </c>
      <c r="AX67" s="1284">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4">
        <f t="shared" si="11"/>
        <v>0</v>
      </c>
      <c r="AW68" s="1284">
        <f t="shared" si="12"/>
        <v>0</v>
      </c>
      <c r="AX68" s="1284">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4">
        <f t="shared" si="11"/>
        <v>0</v>
      </c>
      <c r="AW69" s="1284">
        <f t="shared" si="12"/>
        <v>0</v>
      </c>
      <c r="AX69" s="1284">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4">
        <f t="shared" si="11"/>
        <v>0</v>
      </c>
      <c r="AW70" s="1284">
        <f t="shared" si="12"/>
        <v>0</v>
      </c>
      <c r="AX70" s="1284">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4">
        <f t="shared" si="11"/>
        <v>0</v>
      </c>
      <c r="AW71" s="1284">
        <f t="shared" si="12"/>
        <v>0</v>
      </c>
      <c r="AX71" s="1284">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4">
        <f t="shared" si="11"/>
        <v>0</v>
      </c>
      <c r="AW72" s="1284">
        <f t="shared" si="12"/>
        <v>0</v>
      </c>
      <c r="AX72" s="1284">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4">
        <f t="shared" si="11"/>
        <v>0</v>
      </c>
      <c r="AW73" s="1284">
        <f t="shared" si="12"/>
        <v>0</v>
      </c>
      <c r="AX73" s="1284">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4">
        <f t="shared" si="11"/>
        <v>0</v>
      </c>
      <c r="AW74" s="1284">
        <f t="shared" si="12"/>
        <v>0</v>
      </c>
      <c r="AX74" s="1284">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4">
        <f t="shared" si="11"/>
        <v>0</v>
      </c>
      <c r="AW75" s="1284">
        <f t="shared" si="12"/>
        <v>0</v>
      </c>
      <c r="AX75" s="1284">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4">
        <f t="shared" si="11"/>
        <v>0</v>
      </c>
      <c r="AW76" s="1284">
        <f t="shared" si="12"/>
        <v>0</v>
      </c>
      <c r="AX76" s="1284">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4">
        <f t="shared" si="11"/>
        <v>0</v>
      </c>
      <c r="AW77" s="1284">
        <f t="shared" si="12"/>
        <v>0</v>
      </c>
      <c r="AX77" s="1284">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4">
        <f t="shared" si="11"/>
        <v>0</v>
      </c>
      <c r="AW78" s="1284">
        <f t="shared" si="12"/>
        <v>0</v>
      </c>
      <c r="AX78" s="1284">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4">
        <f t="shared" si="11"/>
        <v>0</v>
      </c>
      <c r="AW79" s="1284">
        <f t="shared" si="12"/>
        <v>0</v>
      </c>
      <c r="AX79" s="1284">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4">
        <f t="shared" si="11"/>
        <v>0</v>
      </c>
      <c r="AW80" s="1284">
        <f t="shared" si="12"/>
        <v>0</v>
      </c>
      <c r="AX80" s="1284">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4">
        <f t="shared" si="11"/>
        <v>0</v>
      </c>
      <c r="AW81" s="1284">
        <f t="shared" si="12"/>
        <v>0</v>
      </c>
      <c r="AX81" s="1284">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4">
        <f t="shared" si="11"/>
        <v>0</v>
      </c>
      <c r="AW82" s="1284">
        <f t="shared" si="12"/>
        <v>0</v>
      </c>
      <c r="AX82" s="1284">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4">
        <f t="shared" si="11"/>
        <v>0</v>
      </c>
      <c r="AW83" s="1284">
        <f t="shared" si="12"/>
        <v>0</v>
      </c>
      <c r="AX83" s="1284">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4">
        <f t="shared" si="11"/>
        <v>0</v>
      </c>
      <c r="AW84" s="1284">
        <f t="shared" si="12"/>
        <v>0</v>
      </c>
      <c r="AX84" s="1284">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4">
        <f t="shared" si="11"/>
        <v>0</v>
      </c>
      <c r="AW85" s="1284">
        <f t="shared" si="12"/>
        <v>0</v>
      </c>
      <c r="AX85" s="1284">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4">
        <f t="shared" si="11"/>
        <v>0</v>
      </c>
      <c r="AW86" s="1284">
        <f t="shared" si="12"/>
        <v>0</v>
      </c>
      <c r="AX86" s="1284">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4">
        <f t="shared" si="11"/>
        <v>0</v>
      </c>
      <c r="AW87" s="1284">
        <f t="shared" si="12"/>
        <v>0</v>
      </c>
      <c r="AX87" s="1284">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4">
        <f t="shared" si="11"/>
        <v>0</v>
      </c>
      <c r="AW88" s="1284">
        <f t="shared" si="12"/>
        <v>0</v>
      </c>
      <c r="AX88" s="1284">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4">
        <f t="shared" si="11"/>
        <v>0</v>
      </c>
      <c r="AW89" s="1284">
        <f t="shared" si="12"/>
        <v>0</v>
      </c>
      <c r="AX89" s="1284">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4">
        <f t="shared" si="11"/>
        <v>0</v>
      </c>
      <c r="AW90" s="1284">
        <f t="shared" si="12"/>
        <v>0</v>
      </c>
      <c r="AX90" s="1284">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4">
        <f t="shared" si="11"/>
        <v>0</v>
      </c>
      <c r="AW91" s="1284">
        <f t="shared" si="12"/>
        <v>0</v>
      </c>
      <c r="AX91" s="1284">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4">
        <f t="shared" si="11"/>
        <v>0</v>
      </c>
      <c r="AW92" s="1284">
        <f t="shared" si="12"/>
        <v>0</v>
      </c>
      <c r="AX92" s="1284">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4">
        <f t="shared" si="11"/>
        <v>0</v>
      </c>
      <c r="AW93" s="1284">
        <f t="shared" si="12"/>
        <v>0</v>
      </c>
      <c r="AX93" s="1284">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4">
        <f t="shared" si="11"/>
        <v>0</v>
      </c>
      <c r="AW94" s="1284">
        <f t="shared" si="12"/>
        <v>0</v>
      </c>
      <c r="AX94" s="1284">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4">
        <f t="shared" si="11"/>
        <v>0</v>
      </c>
      <c r="AW95" s="1284">
        <f t="shared" si="12"/>
        <v>0</v>
      </c>
      <c r="AX95" s="1284">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4">
        <f t="shared" si="11"/>
        <v>0</v>
      </c>
      <c r="AW96" s="1284">
        <f t="shared" si="12"/>
        <v>0</v>
      </c>
      <c r="AX96" s="1284">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4">
        <f t="shared" si="11"/>
        <v>0</v>
      </c>
      <c r="AW97" s="1284">
        <f t="shared" si="12"/>
        <v>0</v>
      </c>
      <c r="AX97" s="1284">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4">
        <f t="shared" si="11"/>
        <v>0</v>
      </c>
      <c r="AW98" s="1284">
        <f t="shared" si="12"/>
        <v>0</v>
      </c>
      <c r="AX98" s="1284">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4">
        <f t="shared" si="11"/>
        <v>0</v>
      </c>
      <c r="AW99" s="1284">
        <f t="shared" si="12"/>
        <v>0</v>
      </c>
      <c r="AX99" s="1284">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4">
        <f t="shared" si="11"/>
        <v>0</v>
      </c>
      <c r="AW100" s="1284">
        <f t="shared" si="12"/>
        <v>0</v>
      </c>
      <c r="AX100" s="1284">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4">
        <f t="shared" si="11"/>
        <v>0</v>
      </c>
      <c r="AW101" s="1284">
        <f t="shared" si="12"/>
        <v>0</v>
      </c>
      <c r="AX101" s="1284">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4">
        <f t="shared" si="11"/>
        <v>0</v>
      </c>
      <c r="AW102" s="1284">
        <f t="shared" si="12"/>
        <v>0</v>
      </c>
      <c r="AX102" s="1284">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4">
        <f t="shared" si="11"/>
        <v>0</v>
      </c>
      <c r="AW103" s="1284">
        <f t="shared" si="12"/>
        <v>0</v>
      </c>
      <c r="AX103" s="1284">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4">
        <f t="shared" si="11"/>
        <v>0</v>
      </c>
      <c r="AW104" s="1284">
        <f t="shared" si="12"/>
        <v>0</v>
      </c>
      <c r="AX104" s="1284">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4">
        <f t="shared" si="11"/>
        <v>0</v>
      </c>
      <c r="AW105" s="1284">
        <f t="shared" si="12"/>
        <v>0</v>
      </c>
      <c r="AX105" s="1284">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4">
        <f t="shared" si="11"/>
        <v>0</v>
      </c>
      <c r="AW106" s="1284">
        <f t="shared" si="12"/>
        <v>0</v>
      </c>
      <c r="AX106" s="1284">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4">
        <f t="shared" si="11"/>
        <v>0</v>
      </c>
      <c r="AW107" s="1284">
        <f t="shared" si="12"/>
        <v>0</v>
      </c>
      <c r="AX107" s="1284">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4">
        <f t="shared" si="11"/>
        <v>0</v>
      </c>
      <c r="AW108" s="1284">
        <f t="shared" si="12"/>
        <v>0</v>
      </c>
      <c r="AX108" s="1284">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4">
        <f t="shared" si="11"/>
        <v>0</v>
      </c>
      <c r="AW109" s="1284">
        <f t="shared" si="12"/>
        <v>0</v>
      </c>
      <c r="AX109" s="1284">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4">
        <f t="shared" si="11"/>
        <v>0</v>
      </c>
      <c r="AW110" s="1284">
        <f t="shared" si="12"/>
        <v>0</v>
      </c>
      <c r="AX110" s="1284">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4">
        <f t="shared" si="11"/>
        <v>0</v>
      </c>
      <c r="AW111" s="1284">
        <f t="shared" si="12"/>
        <v>0</v>
      </c>
      <c r="AX111" s="1284">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4">
        <f t="shared" si="11"/>
        <v>0</v>
      </c>
      <c r="AW112" s="1284">
        <f t="shared" si="12"/>
        <v>0</v>
      </c>
      <c r="AX112" s="1284">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4">
        <f t="shared" ref="AV113:AV144" si="62">A113</f>
        <v>0</v>
      </c>
      <c r="AW113" s="1284">
        <f t="shared" ref="AW113:AW144" si="63">B113</f>
        <v>0</v>
      </c>
      <c r="AX113" s="1284">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4">
        <f t="shared" si="62"/>
        <v>0</v>
      </c>
      <c r="AW114" s="1284">
        <f t="shared" si="63"/>
        <v>0</v>
      </c>
      <c r="AX114" s="1284">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4">
        <f t="shared" si="62"/>
        <v>0</v>
      </c>
      <c r="AW115" s="1284">
        <f t="shared" si="63"/>
        <v>0</v>
      </c>
      <c r="AX115" s="1284">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4">
        <f t="shared" si="62"/>
        <v>0</v>
      </c>
      <c r="AW116" s="1284">
        <f t="shared" si="63"/>
        <v>0</v>
      </c>
      <c r="AX116" s="1284">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4">
        <f t="shared" si="62"/>
        <v>0</v>
      </c>
      <c r="AW117" s="1284">
        <f t="shared" si="63"/>
        <v>0</v>
      </c>
      <c r="AX117" s="1284">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4">
        <f t="shared" si="62"/>
        <v>0</v>
      </c>
      <c r="AW118" s="1284">
        <f t="shared" si="63"/>
        <v>0</v>
      </c>
      <c r="AX118" s="1284">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4">
        <f t="shared" si="62"/>
        <v>0</v>
      </c>
      <c r="AW119" s="1284">
        <f t="shared" si="63"/>
        <v>0</v>
      </c>
      <c r="AX119" s="1284">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4">
        <f t="shared" si="62"/>
        <v>0</v>
      </c>
      <c r="AW120" s="1284">
        <f t="shared" si="63"/>
        <v>0</v>
      </c>
      <c r="AX120" s="1284">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4">
        <f t="shared" si="62"/>
        <v>0</v>
      </c>
      <c r="AW121" s="1284">
        <f t="shared" si="63"/>
        <v>0</v>
      </c>
      <c r="AX121" s="1284">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4">
        <f t="shared" si="62"/>
        <v>0</v>
      </c>
      <c r="AW122" s="1284">
        <f t="shared" si="63"/>
        <v>0</v>
      </c>
      <c r="AX122" s="1284">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4">
        <f t="shared" si="62"/>
        <v>0</v>
      </c>
      <c r="AW123" s="1284">
        <f t="shared" si="63"/>
        <v>0</v>
      </c>
      <c r="AX123" s="1284">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4">
        <f t="shared" si="62"/>
        <v>0</v>
      </c>
      <c r="AW124" s="1284">
        <f t="shared" si="63"/>
        <v>0</v>
      </c>
      <c r="AX124" s="1284">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4">
        <f t="shared" si="62"/>
        <v>0</v>
      </c>
      <c r="AW125" s="1284">
        <f t="shared" si="63"/>
        <v>0</v>
      </c>
      <c r="AX125" s="1284">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4">
        <f t="shared" si="62"/>
        <v>0</v>
      </c>
      <c r="AW126" s="1284">
        <f t="shared" si="63"/>
        <v>0</v>
      </c>
      <c r="AX126" s="1284">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4">
        <f t="shared" si="62"/>
        <v>0</v>
      </c>
      <c r="AW127" s="1284">
        <f t="shared" si="63"/>
        <v>0</v>
      </c>
      <c r="AX127" s="1284">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4">
        <f t="shared" si="62"/>
        <v>0</v>
      </c>
      <c r="AW128" s="1284">
        <f t="shared" si="63"/>
        <v>0</v>
      </c>
      <c r="AX128" s="1284">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4">
        <f t="shared" si="62"/>
        <v>0</v>
      </c>
      <c r="AW129" s="1284">
        <f t="shared" si="63"/>
        <v>0</v>
      </c>
      <c r="AX129" s="1284">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4">
        <f t="shared" si="62"/>
        <v>0</v>
      </c>
      <c r="AW130" s="1284">
        <f t="shared" si="63"/>
        <v>0</v>
      </c>
      <c r="AX130" s="1284">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4">
        <f t="shared" si="62"/>
        <v>0</v>
      </c>
      <c r="AW131" s="1284">
        <f t="shared" si="63"/>
        <v>0</v>
      </c>
      <c r="AX131" s="1284">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4">
        <f t="shared" si="62"/>
        <v>0</v>
      </c>
      <c r="AW132" s="1284">
        <f t="shared" si="63"/>
        <v>0</v>
      </c>
      <c r="AX132" s="1284">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4">
        <f t="shared" si="62"/>
        <v>0</v>
      </c>
      <c r="AW133" s="1284">
        <f t="shared" si="63"/>
        <v>0</v>
      </c>
      <c r="AX133" s="1284">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4">
        <f t="shared" si="62"/>
        <v>0</v>
      </c>
      <c r="AW134" s="1284">
        <f t="shared" si="63"/>
        <v>0</v>
      </c>
      <c r="AX134" s="1284">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4">
        <f t="shared" si="62"/>
        <v>0</v>
      </c>
      <c r="AW135" s="1284">
        <f t="shared" si="63"/>
        <v>0</v>
      </c>
      <c r="AX135" s="1284">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4">
        <f t="shared" si="62"/>
        <v>0</v>
      </c>
      <c r="AW136" s="1284">
        <f t="shared" si="63"/>
        <v>0</v>
      </c>
      <c r="AX136" s="1284">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4">
        <f t="shared" si="62"/>
        <v>0</v>
      </c>
      <c r="AW137" s="1284">
        <f t="shared" si="63"/>
        <v>0</v>
      </c>
      <c r="AX137" s="1284">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4">
        <f t="shared" si="62"/>
        <v>0</v>
      </c>
      <c r="AW138" s="1284">
        <f t="shared" si="63"/>
        <v>0</v>
      </c>
      <c r="AX138" s="1284">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4">
        <f t="shared" si="62"/>
        <v>0</v>
      </c>
      <c r="AW139" s="1284">
        <f t="shared" si="63"/>
        <v>0</v>
      </c>
      <c r="AX139" s="1284">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4">
        <f t="shared" si="62"/>
        <v>0</v>
      </c>
      <c r="AW140" s="1284">
        <f t="shared" si="63"/>
        <v>0</v>
      </c>
      <c r="AX140" s="1284">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4">
        <f t="shared" si="62"/>
        <v>0</v>
      </c>
      <c r="AW141" s="1284">
        <f t="shared" si="63"/>
        <v>0</v>
      </c>
      <c r="AX141" s="1284">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4">
        <f t="shared" si="62"/>
        <v>0</v>
      </c>
      <c r="AW142" s="1284">
        <f t="shared" si="63"/>
        <v>0</v>
      </c>
      <c r="AX142" s="1284">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4">
        <f t="shared" si="62"/>
        <v>0</v>
      </c>
      <c r="AW143" s="1284">
        <f t="shared" si="63"/>
        <v>0</v>
      </c>
      <c r="AX143" s="1284">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4">
        <f t="shared" si="62"/>
        <v>0</v>
      </c>
      <c r="AW144" s="1284">
        <f t="shared" si="63"/>
        <v>0</v>
      </c>
      <c r="AX144" s="1284">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4">
        <f t="shared" ref="AV145:AV176" si="91">A145</f>
        <v>0</v>
      </c>
      <c r="AW145" s="1284">
        <f t="shared" ref="AW145:AW176" si="92">B145</f>
        <v>0</v>
      </c>
      <c r="AX145" s="1284">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4">
        <f t="shared" si="91"/>
        <v>0</v>
      </c>
      <c r="AW146" s="1284">
        <f t="shared" si="92"/>
        <v>0</v>
      </c>
      <c r="AX146" s="1284">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4">
        <f t="shared" si="91"/>
        <v>0</v>
      </c>
      <c r="AW147" s="1284">
        <f t="shared" si="92"/>
        <v>0</v>
      </c>
      <c r="AX147" s="1284">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4">
        <f t="shared" si="91"/>
        <v>0</v>
      </c>
      <c r="AW148" s="1284">
        <f t="shared" si="92"/>
        <v>0</v>
      </c>
      <c r="AX148" s="1284">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4">
        <f t="shared" si="91"/>
        <v>0</v>
      </c>
      <c r="AW149" s="1284">
        <f t="shared" si="92"/>
        <v>0</v>
      </c>
      <c r="AX149" s="1284">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4">
        <f t="shared" si="91"/>
        <v>0</v>
      </c>
      <c r="AW150" s="1284">
        <f t="shared" si="92"/>
        <v>0</v>
      </c>
      <c r="AX150" s="1284">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4">
        <f t="shared" si="91"/>
        <v>0</v>
      </c>
      <c r="AW151" s="1284">
        <f t="shared" si="92"/>
        <v>0</v>
      </c>
      <c r="AX151" s="1284">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4">
        <f t="shared" si="91"/>
        <v>0</v>
      </c>
      <c r="AW152" s="1284">
        <f t="shared" si="92"/>
        <v>0</v>
      </c>
      <c r="AX152" s="1284">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4">
        <f t="shared" si="91"/>
        <v>0</v>
      </c>
      <c r="AW153" s="1284">
        <f t="shared" si="92"/>
        <v>0</v>
      </c>
      <c r="AX153" s="1284">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4">
        <f t="shared" si="91"/>
        <v>0</v>
      </c>
      <c r="AW154" s="1284">
        <f t="shared" si="92"/>
        <v>0</v>
      </c>
      <c r="AX154" s="1284">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4">
        <f t="shared" si="91"/>
        <v>0</v>
      </c>
      <c r="AW155" s="1284">
        <f t="shared" si="92"/>
        <v>0</v>
      </c>
      <c r="AX155" s="1284">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4">
        <f t="shared" si="91"/>
        <v>0</v>
      </c>
      <c r="AW156" s="1284">
        <f t="shared" si="92"/>
        <v>0</v>
      </c>
      <c r="AX156" s="1284">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4">
        <f t="shared" si="91"/>
        <v>0</v>
      </c>
      <c r="AW157" s="1284">
        <f t="shared" si="92"/>
        <v>0</v>
      </c>
      <c r="AX157" s="1284">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4">
        <f t="shared" si="91"/>
        <v>0</v>
      </c>
      <c r="AW158" s="1284">
        <f t="shared" si="92"/>
        <v>0</v>
      </c>
      <c r="AX158" s="1284">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4">
        <f t="shared" si="91"/>
        <v>0</v>
      </c>
      <c r="AW159" s="1284">
        <f t="shared" si="92"/>
        <v>0</v>
      </c>
      <c r="AX159" s="1284">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4">
        <f t="shared" si="91"/>
        <v>0</v>
      </c>
      <c r="AW160" s="1284">
        <f t="shared" si="92"/>
        <v>0</v>
      </c>
      <c r="AX160" s="1284">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4">
        <f t="shared" si="91"/>
        <v>0</v>
      </c>
      <c r="AW161" s="1284">
        <f t="shared" si="92"/>
        <v>0</v>
      </c>
      <c r="AX161" s="1284">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4">
        <f t="shared" si="91"/>
        <v>0</v>
      </c>
      <c r="AW162" s="1284">
        <f t="shared" si="92"/>
        <v>0</v>
      </c>
      <c r="AX162" s="1284">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4">
        <f t="shared" si="91"/>
        <v>0</v>
      </c>
      <c r="AW163" s="1284">
        <f t="shared" si="92"/>
        <v>0</v>
      </c>
      <c r="AX163" s="1284">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4">
        <f t="shared" si="91"/>
        <v>0</v>
      </c>
      <c r="AW164" s="1284">
        <f t="shared" si="92"/>
        <v>0</v>
      </c>
      <c r="AX164" s="1284">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4">
        <f t="shared" si="91"/>
        <v>0</v>
      </c>
      <c r="AW165" s="1284">
        <f t="shared" si="92"/>
        <v>0</v>
      </c>
      <c r="AX165" s="1284">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4">
        <f t="shared" si="91"/>
        <v>0</v>
      </c>
      <c r="AW166" s="1284">
        <f t="shared" si="92"/>
        <v>0</v>
      </c>
      <c r="AX166" s="1284">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4">
        <f t="shared" si="91"/>
        <v>0</v>
      </c>
      <c r="AW167" s="1284">
        <f t="shared" si="92"/>
        <v>0</v>
      </c>
      <c r="AX167" s="1284">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4">
        <f t="shared" si="91"/>
        <v>0</v>
      </c>
      <c r="AW168" s="1284">
        <f t="shared" si="92"/>
        <v>0</v>
      </c>
      <c r="AX168" s="1284">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4">
        <f t="shared" si="91"/>
        <v>0</v>
      </c>
      <c r="AW169" s="1284">
        <f t="shared" si="92"/>
        <v>0</v>
      </c>
      <c r="AX169" s="1284">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4">
        <f t="shared" si="91"/>
        <v>0</v>
      </c>
      <c r="AW170" s="1284">
        <f t="shared" si="92"/>
        <v>0</v>
      </c>
      <c r="AX170" s="1284">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4">
        <f t="shared" si="91"/>
        <v>0</v>
      </c>
      <c r="AW171" s="1284">
        <f t="shared" si="92"/>
        <v>0</v>
      </c>
      <c r="AX171" s="1284">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4">
        <f t="shared" si="91"/>
        <v>0</v>
      </c>
      <c r="AW172" s="1284">
        <f t="shared" si="92"/>
        <v>0</v>
      </c>
      <c r="AX172" s="1284">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4">
        <f t="shared" si="91"/>
        <v>0</v>
      </c>
      <c r="AW173" s="1284">
        <f t="shared" si="92"/>
        <v>0</v>
      </c>
      <c r="AX173" s="1284">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4">
        <f t="shared" si="91"/>
        <v>0</v>
      </c>
      <c r="AW174" s="1284">
        <f t="shared" si="92"/>
        <v>0</v>
      </c>
      <c r="AX174" s="1284">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4">
        <f t="shared" si="91"/>
        <v>0</v>
      </c>
      <c r="AW175" s="1284">
        <f t="shared" si="92"/>
        <v>0</v>
      </c>
      <c r="AX175" s="1284">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4">
        <f t="shared" si="91"/>
        <v>0</v>
      </c>
      <c r="AW176" s="1284">
        <f t="shared" si="92"/>
        <v>0</v>
      </c>
      <c r="AX176" s="1284">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4">
        <f t="shared" ref="AV177:AV207" si="120">A177</f>
        <v>0</v>
      </c>
      <c r="AW177" s="1284">
        <f t="shared" ref="AW177:AW207" si="121">B177</f>
        <v>0</v>
      </c>
      <c r="AX177" s="1284">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4">
        <f t="shared" si="120"/>
        <v>0</v>
      </c>
      <c r="AW178" s="1284">
        <f t="shared" si="121"/>
        <v>0</v>
      </c>
      <c r="AX178" s="1284">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4">
        <f t="shared" si="120"/>
        <v>0</v>
      </c>
      <c r="AW179" s="1284">
        <f t="shared" si="121"/>
        <v>0</v>
      </c>
      <c r="AX179" s="1284">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4">
        <f t="shared" si="120"/>
        <v>0</v>
      </c>
      <c r="AW180" s="1284">
        <f t="shared" si="121"/>
        <v>0</v>
      </c>
      <c r="AX180" s="1284">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4">
        <f t="shared" si="120"/>
        <v>0</v>
      </c>
      <c r="AW181" s="1284">
        <f t="shared" si="121"/>
        <v>0</v>
      </c>
      <c r="AX181" s="1284">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4">
        <f t="shared" si="120"/>
        <v>0</v>
      </c>
      <c r="AW182" s="1284">
        <f t="shared" si="121"/>
        <v>0</v>
      </c>
      <c r="AX182" s="1284">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4">
        <f t="shared" si="120"/>
        <v>0</v>
      </c>
      <c r="AW183" s="1284">
        <f t="shared" si="121"/>
        <v>0</v>
      </c>
      <c r="AX183" s="1284">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4">
        <f t="shared" si="120"/>
        <v>0</v>
      </c>
      <c r="AW184" s="1284">
        <f t="shared" si="121"/>
        <v>0</v>
      </c>
      <c r="AX184" s="1284">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4">
        <f t="shared" si="120"/>
        <v>0</v>
      </c>
      <c r="AW185" s="1284">
        <f t="shared" si="121"/>
        <v>0</v>
      </c>
      <c r="AX185" s="1284">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4">
        <f t="shared" si="120"/>
        <v>0</v>
      </c>
      <c r="AW186" s="1284">
        <f t="shared" si="121"/>
        <v>0</v>
      </c>
      <c r="AX186" s="1284">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4">
        <f t="shared" si="120"/>
        <v>0</v>
      </c>
      <c r="AW187" s="1284">
        <f t="shared" si="121"/>
        <v>0</v>
      </c>
      <c r="AX187" s="1284">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4">
        <f t="shared" si="120"/>
        <v>0</v>
      </c>
      <c r="AW188" s="1284">
        <f t="shared" si="121"/>
        <v>0</v>
      </c>
      <c r="AX188" s="1284">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4">
        <f t="shared" si="120"/>
        <v>0</v>
      </c>
      <c r="AW189" s="1284">
        <f t="shared" si="121"/>
        <v>0</v>
      </c>
      <c r="AX189" s="1284">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4">
        <f t="shared" si="120"/>
        <v>0</v>
      </c>
      <c r="AW190" s="1284">
        <f t="shared" si="121"/>
        <v>0</v>
      </c>
      <c r="AX190" s="1284">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4">
        <f t="shared" si="120"/>
        <v>0</v>
      </c>
      <c r="AW191" s="1284">
        <f t="shared" si="121"/>
        <v>0</v>
      </c>
      <c r="AX191" s="1284">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4">
        <f t="shared" si="120"/>
        <v>0</v>
      </c>
      <c r="AW192" s="1284">
        <f t="shared" si="121"/>
        <v>0</v>
      </c>
      <c r="AX192" s="1284">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4">
        <f t="shared" si="120"/>
        <v>0</v>
      </c>
      <c r="AW193" s="1284">
        <f t="shared" si="121"/>
        <v>0</v>
      </c>
      <c r="AX193" s="1284">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4">
        <f t="shared" si="120"/>
        <v>0</v>
      </c>
      <c r="AW194" s="1284">
        <f t="shared" si="121"/>
        <v>0</v>
      </c>
      <c r="AX194" s="1284">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4">
        <f t="shared" si="120"/>
        <v>0</v>
      </c>
      <c r="AW195" s="1284">
        <f t="shared" si="121"/>
        <v>0</v>
      </c>
      <c r="AX195" s="1284">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4">
        <f t="shared" si="120"/>
        <v>0</v>
      </c>
      <c r="AW196" s="1284">
        <f t="shared" si="121"/>
        <v>0</v>
      </c>
      <c r="AX196" s="1284">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4">
        <f t="shared" si="120"/>
        <v>0</v>
      </c>
      <c r="AW197" s="1284">
        <f t="shared" si="121"/>
        <v>0</v>
      </c>
      <c r="AX197" s="1284">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4">
        <f t="shared" si="120"/>
        <v>0</v>
      </c>
      <c r="AW198" s="1284">
        <f t="shared" si="121"/>
        <v>0</v>
      </c>
      <c r="AX198" s="1284">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4">
        <f t="shared" si="120"/>
        <v>0</v>
      </c>
      <c r="AW199" s="1284">
        <f t="shared" si="121"/>
        <v>0</v>
      </c>
      <c r="AX199" s="1284">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4">
        <f t="shared" si="120"/>
        <v>0</v>
      </c>
      <c r="AW200" s="1284">
        <f t="shared" si="121"/>
        <v>0</v>
      </c>
      <c r="AX200" s="1284">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4">
        <f t="shared" si="120"/>
        <v>0</v>
      </c>
      <c r="AW201" s="1284">
        <f t="shared" si="121"/>
        <v>0</v>
      </c>
      <c r="AX201" s="1284">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4">
        <f t="shared" si="120"/>
        <v>0</v>
      </c>
      <c r="AW202" s="1284">
        <f t="shared" si="121"/>
        <v>0</v>
      </c>
      <c r="AX202" s="1284">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4">
        <f t="shared" si="120"/>
        <v>0</v>
      </c>
      <c r="AW203" s="1284">
        <f t="shared" si="121"/>
        <v>0</v>
      </c>
      <c r="AX203" s="1284">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4">
        <f t="shared" si="120"/>
        <v>0</v>
      </c>
      <c r="AW204" s="1284">
        <f t="shared" si="121"/>
        <v>0</v>
      </c>
      <c r="AX204" s="1284">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4">
        <f t="shared" si="120"/>
        <v>0</v>
      </c>
      <c r="AW205" s="1284">
        <f t="shared" si="121"/>
        <v>0</v>
      </c>
      <c r="AX205" s="1284">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4">
        <f t="shared" si="120"/>
        <v>0</v>
      </c>
      <c r="AW206" s="1284">
        <f t="shared" si="121"/>
        <v>0</v>
      </c>
      <c r="AX206" s="1284">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4">
        <f t="shared" si="120"/>
        <v>0</v>
      </c>
      <c r="AW207" s="1284">
        <f t="shared" si="121"/>
        <v>0</v>
      </c>
      <c r="AX207" s="1284">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4">
        <f t="shared" ref="AV208:AV302" si="127">A208</f>
        <v>0</v>
      </c>
      <c r="AW208" s="1284">
        <f t="shared" ref="AW208:AW302" si="128">B208</f>
        <v>0</v>
      </c>
      <c r="AX208" s="1284">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4">
        <f t="shared" si="127"/>
        <v>0</v>
      </c>
      <c r="AW209" s="1284">
        <f t="shared" si="128"/>
        <v>0</v>
      </c>
      <c r="AX209" s="1284">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4">
        <f t="shared" si="127"/>
        <v>0</v>
      </c>
      <c r="AW210" s="1284">
        <f t="shared" si="128"/>
        <v>0</v>
      </c>
      <c r="AX210" s="1284">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4">
        <f t="shared" si="127"/>
        <v>0</v>
      </c>
      <c r="AW211" s="1284">
        <f t="shared" si="128"/>
        <v>0</v>
      </c>
      <c r="AX211" s="1284">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4">
        <f t="shared" si="127"/>
        <v>0</v>
      </c>
      <c r="AW212" s="1284">
        <f t="shared" si="128"/>
        <v>0</v>
      </c>
      <c r="AX212" s="1284">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4">
        <f t="shared" si="127"/>
        <v>0</v>
      </c>
      <c r="AW213" s="1284">
        <f t="shared" si="128"/>
        <v>0</v>
      </c>
      <c r="AX213" s="1284">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4">
        <f t="shared" si="127"/>
        <v>0</v>
      </c>
      <c r="AW214" s="1284">
        <f t="shared" si="128"/>
        <v>0</v>
      </c>
      <c r="AX214" s="1284">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4">
        <f t="shared" si="127"/>
        <v>0</v>
      </c>
      <c r="AW215" s="1284">
        <f t="shared" si="128"/>
        <v>0</v>
      </c>
      <c r="AX215" s="1284">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4">
        <f t="shared" si="127"/>
        <v>0</v>
      </c>
      <c r="AW216" s="1284">
        <f t="shared" si="128"/>
        <v>0</v>
      </c>
      <c r="AX216" s="1284">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4">
        <f t="shared" si="127"/>
        <v>0</v>
      </c>
      <c r="AW217" s="1284">
        <f t="shared" si="128"/>
        <v>0</v>
      </c>
      <c r="AX217" s="1284">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4">
        <f t="shared" si="127"/>
        <v>0</v>
      </c>
      <c r="AW218" s="1284">
        <f t="shared" si="128"/>
        <v>0</v>
      </c>
      <c r="AX218" s="1284">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4">
        <f t="shared" si="127"/>
        <v>0</v>
      </c>
      <c r="AW219" s="1284">
        <f t="shared" si="128"/>
        <v>0</v>
      </c>
      <c r="AX219" s="1284">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4">
        <f t="shared" si="127"/>
        <v>0</v>
      </c>
      <c r="AW220" s="1284">
        <f t="shared" si="128"/>
        <v>0</v>
      </c>
      <c r="AX220" s="1284">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4">
        <f t="shared" si="127"/>
        <v>0</v>
      </c>
      <c r="AW221" s="1284">
        <f t="shared" si="128"/>
        <v>0</v>
      </c>
      <c r="AX221" s="1284">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4">
        <f t="shared" si="127"/>
        <v>0</v>
      </c>
      <c r="AW222" s="1284">
        <f t="shared" si="128"/>
        <v>0</v>
      </c>
      <c r="AX222" s="1284">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4">
        <f t="shared" si="127"/>
        <v>0</v>
      </c>
      <c r="AW223" s="1284">
        <f t="shared" si="128"/>
        <v>0</v>
      </c>
      <c r="AX223" s="1284">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4">
        <f t="shared" si="127"/>
        <v>0</v>
      </c>
      <c r="AW224" s="1284">
        <f t="shared" si="128"/>
        <v>0</v>
      </c>
      <c r="AX224" s="1284">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4">
        <f t="shared" si="127"/>
        <v>0</v>
      </c>
      <c r="AW225" s="1284">
        <f t="shared" si="128"/>
        <v>0</v>
      </c>
      <c r="AX225" s="1284">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4">
        <f t="shared" si="127"/>
        <v>0</v>
      </c>
      <c r="AW226" s="1284">
        <f t="shared" si="128"/>
        <v>0</v>
      </c>
      <c r="AX226" s="1284">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4">
        <f t="shared" si="127"/>
        <v>0</v>
      </c>
      <c r="AW227" s="1284">
        <f t="shared" si="128"/>
        <v>0</v>
      </c>
      <c r="AX227" s="1284">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4">
        <f t="shared" si="127"/>
        <v>0</v>
      </c>
      <c r="AW228" s="1284">
        <f t="shared" si="128"/>
        <v>0</v>
      </c>
      <c r="AX228" s="1284">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4">
        <f t="shared" si="127"/>
        <v>0</v>
      </c>
      <c r="AW229" s="1284">
        <f t="shared" si="128"/>
        <v>0</v>
      </c>
      <c r="AX229" s="1284">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4">
        <f t="shared" si="127"/>
        <v>0</v>
      </c>
      <c r="AW230" s="1284">
        <f t="shared" si="128"/>
        <v>0</v>
      </c>
      <c r="AX230" s="1284">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4">
        <f t="shared" si="127"/>
        <v>0</v>
      </c>
      <c r="AW231" s="1284">
        <f t="shared" si="128"/>
        <v>0</v>
      </c>
      <c r="AX231" s="1284">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4">
        <f t="shared" si="127"/>
        <v>0</v>
      </c>
      <c r="AW232" s="1284">
        <f t="shared" si="128"/>
        <v>0</v>
      </c>
      <c r="AX232" s="1284">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4">
        <f t="shared" si="127"/>
        <v>0</v>
      </c>
      <c r="AW233" s="1284">
        <f t="shared" si="128"/>
        <v>0</v>
      </c>
      <c r="AX233" s="1284">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4">
        <f t="shared" si="127"/>
        <v>0</v>
      </c>
      <c r="AW234" s="1284">
        <f t="shared" si="128"/>
        <v>0</v>
      </c>
      <c r="AX234" s="1284">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4">
        <f t="shared" si="127"/>
        <v>0</v>
      </c>
      <c r="AW235" s="1284">
        <f t="shared" si="128"/>
        <v>0</v>
      </c>
      <c r="AX235" s="1284">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4">
        <f t="shared" si="127"/>
        <v>0</v>
      </c>
      <c r="AW236" s="1284">
        <f t="shared" si="128"/>
        <v>0</v>
      </c>
      <c r="AX236" s="1284">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4">
        <f t="shared" si="127"/>
        <v>0</v>
      </c>
      <c r="AW237" s="1284">
        <f t="shared" si="128"/>
        <v>0</v>
      </c>
      <c r="AX237" s="1284">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4">
        <f t="shared" si="127"/>
        <v>0</v>
      </c>
      <c r="AW238" s="1284">
        <f t="shared" si="128"/>
        <v>0</v>
      </c>
      <c r="AX238" s="1284">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4">
        <f t="shared" si="127"/>
        <v>0</v>
      </c>
      <c r="AW239" s="1284">
        <f t="shared" si="128"/>
        <v>0</v>
      </c>
      <c r="AX239" s="1284">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4">
        <f t="shared" si="127"/>
        <v>0</v>
      </c>
      <c r="AW240" s="1284">
        <f t="shared" si="128"/>
        <v>0</v>
      </c>
      <c r="AX240" s="1284">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4">
        <f t="shared" si="127"/>
        <v>0</v>
      </c>
      <c r="AW241" s="1284">
        <f t="shared" si="128"/>
        <v>0</v>
      </c>
      <c r="AX241" s="1284">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4">
        <f t="shared" si="127"/>
        <v>0</v>
      </c>
      <c r="AW242" s="1284">
        <f t="shared" si="128"/>
        <v>0</v>
      </c>
      <c r="AX242" s="1284">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4">
        <f t="shared" si="127"/>
        <v>0</v>
      </c>
      <c r="AW243" s="1284">
        <f t="shared" si="128"/>
        <v>0</v>
      </c>
      <c r="AX243" s="1284">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4">
        <f t="shared" si="127"/>
        <v>0</v>
      </c>
      <c r="AW244" s="1284">
        <f t="shared" si="128"/>
        <v>0</v>
      </c>
      <c r="AX244" s="1284">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4">
        <f t="shared" si="127"/>
        <v>0</v>
      </c>
      <c r="AW245" s="1284">
        <f t="shared" si="128"/>
        <v>0</v>
      </c>
      <c r="AX245" s="1284">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4">
        <f t="shared" si="127"/>
        <v>0</v>
      </c>
      <c r="AW246" s="1284">
        <f t="shared" si="128"/>
        <v>0</v>
      </c>
      <c r="AX246" s="1284">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4">
        <f t="shared" si="127"/>
        <v>0</v>
      </c>
      <c r="AW247" s="1284">
        <f t="shared" si="128"/>
        <v>0</v>
      </c>
      <c r="AX247" s="1284">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4">
        <f t="shared" si="127"/>
        <v>0</v>
      </c>
      <c r="AW248" s="1284">
        <f t="shared" si="128"/>
        <v>0</v>
      </c>
      <c r="AX248" s="1284">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4">
        <f t="shared" si="127"/>
        <v>0</v>
      </c>
      <c r="AW249" s="1284">
        <f t="shared" si="128"/>
        <v>0</v>
      </c>
      <c r="AX249" s="1284">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4">
        <f t="shared" si="127"/>
        <v>0</v>
      </c>
      <c r="AW250" s="1284">
        <f t="shared" si="128"/>
        <v>0</v>
      </c>
      <c r="AX250" s="1284">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4">
        <f t="shared" si="127"/>
        <v>0</v>
      </c>
      <c r="AW251" s="1284">
        <f t="shared" si="128"/>
        <v>0</v>
      </c>
      <c r="AX251" s="1284">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4">
        <f t="shared" si="127"/>
        <v>0</v>
      </c>
      <c r="AW252" s="1284">
        <f t="shared" si="128"/>
        <v>0</v>
      </c>
      <c r="AX252" s="1284">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4">
        <f t="shared" si="127"/>
        <v>0</v>
      </c>
      <c r="AW253" s="1284">
        <f t="shared" si="128"/>
        <v>0</v>
      </c>
      <c r="AX253" s="1284">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4">
        <f t="shared" si="127"/>
        <v>0</v>
      </c>
      <c r="AW254" s="1284">
        <f t="shared" si="128"/>
        <v>0</v>
      </c>
      <c r="AX254" s="1284">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4">
        <f t="shared" si="127"/>
        <v>0</v>
      </c>
      <c r="AW255" s="1284">
        <f t="shared" si="128"/>
        <v>0</v>
      </c>
      <c r="AX255" s="1284">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4">
        <f t="shared" si="127"/>
        <v>0</v>
      </c>
      <c r="AW256" s="1284">
        <f t="shared" si="128"/>
        <v>0</v>
      </c>
      <c r="AX256" s="1284">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4">
        <f t="shared" si="127"/>
        <v>0</v>
      </c>
      <c r="AW257" s="1284">
        <f t="shared" si="128"/>
        <v>0</v>
      </c>
      <c r="AX257" s="1284">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4">
        <f t="shared" si="127"/>
        <v>0</v>
      </c>
      <c r="AW258" s="1284">
        <f t="shared" si="128"/>
        <v>0</v>
      </c>
      <c r="AX258" s="1284">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4">
        <f t="shared" si="127"/>
        <v>0</v>
      </c>
      <c r="AW259" s="1284">
        <f t="shared" si="128"/>
        <v>0</v>
      </c>
      <c r="AX259" s="1284">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4">
        <f t="shared" si="127"/>
        <v>0</v>
      </c>
      <c r="AW260" s="1284">
        <f t="shared" si="128"/>
        <v>0</v>
      </c>
      <c r="AX260" s="1284">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4">
        <f t="shared" si="127"/>
        <v>0</v>
      </c>
      <c r="AW261" s="1284">
        <f t="shared" si="128"/>
        <v>0</v>
      </c>
      <c r="AX261" s="1284">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4">
        <f t="shared" si="127"/>
        <v>0</v>
      </c>
      <c r="AW262" s="1284">
        <f t="shared" si="128"/>
        <v>0</v>
      </c>
      <c r="AX262" s="1284">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4">
        <f t="shared" si="127"/>
        <v>0</v>
      </c>
      <c r="AW263" s="1284">
        <f t="shared" si="128"/>
        <v>0</v>
      </c>
      <c r="AX263" s="1284">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4">
        <f t="shared" si="127"/>
        <v>0</v>
      </c>
      <c r="AW264" s="1284">
        <f t="shared" si="128"/>
        <v>0</v>
      </c>
      <c r="AX264" s="1284">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4">
        <f t="shared" si="127"/>
        <v>0</v>
      </c>
      <c r="AW265" s="1284">
        <f t="shared" si="128"/>
        <v>0</v>
      </c>
      <c r="AX265" s="1284">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4">
        <f t="shared" si="127"/>
        <v>0</v>
      </c>
      <c r="AW266" s="1284">
        <f t="shared" si="128"/>
        <v>0</v>
      </c>
      <c r="AX266" s="1284">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4">
        <f t="shared" si="127"/>
        <v>0</v>
      </c>
      <c r="AW267" s="1284">
        <f t="shared" si="128"/>
        <v>0</v>
      </c>
      <c r="AX267" s="1284">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4">
        <f t="shared" si="127"/>
        <v>0</v>
      </c>
      <c r="AW268" s="1284">
        <f t="shared" si="128"/>
        <v>0</v>
      </c>
      <c r="AX268" s="1284">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4">
        <f t="shared" si="127"/>
        <v>0</v>
      </c>
      <c r="AW269" s="1284">
        <f t="shared" si="128"/>
        <v>0</v>
      </c>
      <c r="AX269" s="1284">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4">
        <f t="shared" si="127"/>
        <v>0</v>
      </c>
      <c r="AW270" s="1284">
        <f t="shared" si="128"/>
        <v>0</v>
      </c>
      <c r="AX270" s="1284">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4">
        <f t="shared" si="127"/>
        <v>0</v>
      </c>
      <c r="AW271" s="1284">
        <f t="shared" si="128"/>
        <v>0</v>
      </c>
      <c r="AX271" s="1284">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4">
        <f t="shared" si="127"/>
        <v>0</v>
      </c>
      <c r="AW272" s="1284">
        <f t="shared" si="128"/>
        <v>0</v>
      </c>
      <c r="AX272" s="1284">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4">
        <f t="shared" si="127"/>
        <v>0</v>
      </c>
      <c r="AW273" s="1284">
        <f t="shared" si="128"/>
        <v>0</v>
      </c>
      <c r="AX273" s="1284">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4">
        <f t="shared" si="127"/>
        <v>0</v>
      </c>
      <c r="AW274" s="1284">
        <f t="shared" si="128"/>
        <v>0</v>
      </c>
      <c r="AX274" s="1284">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4">
        <f t="shared" si="127"/>
        <v>0</v>
      </c>
      <c r="AW275" s="1284">
        <f t="shared" si="128"/>
        <v>0</v>
      </c>
      <c r="AX275" s="1284">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4">
        <f t="shared" si="127"/>
        <v>0</v>
      </c>
      <c r="AW276" s="1284">
        <f t="shared" si="128"/>
        <v>0</v>
      </c>
      <c r="AX276" s="1284">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4">
        <f t="shared" si="127"/>
        <v>0</v>
      </c>
      <c r="AW277" s="1284">
        <f t="shared" si="128"/>
        <v>0</v>
      </c>
      <c r="AX277" s="1284">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4">
        <f t="shared" si="127"/>
        <v>0</v>
      </c>
      <c r="AW278" s="1284">
        <f t="shared" si="128"/>
        <v>0</v>
      </c>
      <c r="AX278" s="1284">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4">
        <f t="shared" si="127"/>
        <v>0</v>
      </c>
      <c r="AW279" s="1284">
        <f t="shared" si="128"/>
        <v>0</v>
      </c>
      <c r="AX279" s="1284">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4">
        <f t="shared" si="127"/>
        <v>0</v>
      </c>
      <c r="AW280" s="1284">
        <f t="shared" si="128"/>
        <v>0</v>
      </c>
      <c r="AX280" s="1284">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4">
        <f t="shared" si="127"/>
        <v>0</v>
      </c>
      <c r="AW281" s="1284">
        <f t="shared" si="128"/>
        <v>0</v>
      </c>
      <c r="AX281" s="1284">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4">
        <f t="shared" si="127"/>
        <v>0</v>
      </c>
      <c r="AW282" s="1284">
        <f t="shared" si="128"/>
        <v>0</v>
      </c>
      <c r="AX282" s="1284">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4">
        <f t="shared" si="127"/>
        <v>0</v>
      </c>
      <c r="AW283" s="1284">
        <f t="shared" si="128"/>
        <v>0</v>
      </c>
      <c r="AX283" s="1284">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4">
        <f t="shared" si="127"/>
        <v>0</v>
      </c>
      <c r="AW284" s="1284">
        <f t="shared" si="128"/>
        <v>0</v>
      </c>
      <c r="AX284" s="1284">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4">
        <f t="shared" si="127"/>
        <v>0</v>
      </c>
      <c r="AW285" s="1284">
        <f t="shared" si="128"/>
        <v>0</v>
      </c>
      <c r="AX285" s="1284">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4">
        <f t="shared" si="127"/>
        <v>0</v>
      </c>
      <c r="AW286" s="1284">
        <f t="shared" si="128"/>
        <v>0</v>
      </c>
      <c r="AX286" s="1284">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4">
        <f t="shared" si="127"/>
        <v>0</v>
      </c>
      <c r="AW287" s="1284">
        <f t="shared" si="128"/>
        <v>0</v>
      </c>
      <c r="AX287" s="1284">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4">
        <f t="shared" si="127"/>
        <v>0</v>
      </c>
      <c r="AW288" s="1284">
        <f t="shared" si="128"/>
        <v>0</v>
      </c>
      <c r="AX288" s="1284">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4">
        <f t="shared" si="127"/>
        <v>0</v>
      </c>
      <c r="AW289" s="1284">
        <f t="shared" si="128"/>
        <v>0</v>
      </c>
      <c r="AX289" s="1284">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4">
        <f t="shared" si="127"/>
        <v>0</v>
      </c>
      <c r="AW290" s="1284">
        <f t="shared" si="128"/>
        <v>0</v>
      </c>
      <c r="AX290" s="1284">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4">
        <f t="shared" si="127"/>
        <v>0</v>
      </c>
      <c r="AW291" s="1284">
        <f t="shared" si="128"/>
        <v>0</v>
      </c>
      <c r="AX291" s="1284">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4">
        <f t="shared" si="127"/>
        <v>0</v>
      </c>
      <c r="AW292" s="1284">
        <f t="shared" si="128"/>
        <v>0</v>
      </c>
      <c r="AX292" s="1284">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4">
        <f t="shared" si="127"/>
        <v>0</v>
      </c>
      <c r="AW293" s="1284">
        <f t="shared" si="128"/>
        <v>0</v>
      </c>
      <c r="AX293" s="1284">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4">
        <f t="shared" si="127"/>
        <v>0</v>
      </c>
      <c r="AW294" s="1284">
        <f t="shared" si="128"/>
        <v>0</v>
      </c>
      <c r="AX294" s="1284">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4">
        <f t="shared" si="127"/>
        <v>0</v>
      </c>
      <c r="AW295" s="1284">
        <f t="shared" si="128"/>
        <v>0</v>
      </c>
      <c r="AX295" s="1284">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4">
        <f t="shared" si="127"/>
        <v>0</v>
      </c>
      <c r="AW296" s="1284">
        <f t="shared" si="128"/>
        <v>0</v>
      </c>
      <c r="AX296" s="1284">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4">
        <f t="shared" si="127"/>
        <v>0</v>
      </c>
      <c r="AW297" s="1284">
        <f t="shared" si="128"/>
        <v>0</v>
      </c>
      <c r="AX297" s="1284">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4">
        <f t="shared" si="127"/>
        <v>0</v>
      </c>
      <c r="AW298" s="1284">
        <f t="shared" si="128"/>
        <v>0</v>
      </c>
      <c r="AX298" s="1284">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4">
        <f t="shared" si="127"/>
        <v>0</v>
      </c>
      <c r="AW299" s="1284">
        <f t="shared" si="128"/>
        <v>0</v>
      </c>
      <c r="AX299" s="1284">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4">
        <f t="shared" si="127"/>
        <v>0</v>
      </c>
      <c r="AW300" s="1284">
        <f t="shared" si="128"/>
        <v>0</v>
      </c>
      <c r="AX300" s="1284">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4">
        <f t="shared" si="127"/>
        <v>0</v>
      </c>
      <c r="AW301" s="1284">
        <f t="shared" si="128"/>
        <v>0</v>
      </c>
      <c r="AX301" s="1284">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4">
        <f t="shared" si="127"/>
        <v>0</v>
      </c>
      <c r="AW302" s="1284">
        <f t="shared" si="128"/>
        <v>0</v>
      </c>
      <c r="AX302" s="1284">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4">
        <f t="shared" ref="AV303:AV334" si="178">A303</f>
        <v>0</v>
      </c>
      <c r="AW303" s="1284">
        <f t="shared" ref="AW303:AW334" si="179">B303</f>
        <v>0</v>
      </c>
      <c r="AX303" s="1284">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4">
        <f t="shared" si="178"/>
        <v>0</v>
      </c>
      <c r="AW304" s="1284">
        <f t="shared" si="179"/>
        <v>0</v>
      </c>
      <c r="AX304" s="1284">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4">
        <f t="shared" si="178"/>
        <v>0</v>
      </c>
      <c r="AW305" s="1284">
        <f t="shared" si="179"/>
        <v>0</v>
      </c>
      <c r="AX305" s="1284">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4">
        <f t="shared" si="178"/>
        <v>0</v>
      </c>
      <c r="AW306" s="1284">
        <f t="shared" si="179"/>
        <v>0</v>
      </c>
      <c r="AX306" s="1284">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4">
        <f t="shared" si="178"/>
        <v>0</v>
      </c>
      <c r="AW307" s="1284">
        <f t="shared" si="179"/>
        <v>0</v>
      </c>
      <c r="AX307" s="1284">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4">
        <f t="shared" si="178"/>
        <v>0</v>
      </c>
      <c r="AW308" s="1284">
        <f t="shared" si="179"/>
        <v>0</v>
      </c>
      <c r="AX308" s="1284">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4">
        <f t="shared" si="178"/>
        <v>0</v>
      </c>
      <c r="AW309" s="1284">
        <f t="shared" si="179"/>
        <v>0</v>
      </c>
      <c r="AX309" s="1284">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4">
        <f t="shared" si="178"/>
        <v>0</v>
      </c>
      <c r="AW310" s="1284">
        <f t="shared" si="179"/>
        <v>0</v>
      </c>
      <c r="AX310" s="1284">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4">
        <f t="shared" si="178"/>
        <v>0</v>
      </c>
      <c r="AW311" s="1284">
        <f t="shared" si="179"/>
        <v>0</v>
      </c>
      <c r="AX311" s="1284">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4">
        <f t="shared" si="178"/>
        <v>0</v>
      </c>
      <c r="AW312" s="1284">
        <f t="shared" si="179"/>
        <v>0</v>
      </c>
      <c r="AX312" s="1284">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4">
        <f t="shared" si="178"/>
        <v>0</v>
      </c>
      <c r="AW313" s="1284">
        <f t="shared" si="179"/>
        <v>0</v>
      </c>
      <c r="AX313" s="1284">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4">
        <f t="shared" si="178"/>
        <v>0</v>
      </c>
      <c r="AW314" s="1284">
        <f t="shared" si="179"/>
        <v>0</v>
      </c>
      <c r="AX314" s="1284">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4">
        <f t="shared" si="178"/>
        <v>0</v>
      </c>
      <c r="AW315" s="1284">
        <f t="shared" si="179"/>
        <v>0</v>
      </c>
      <c r="AX315" s="1284">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4">
        <f t="shared" si="178"/>
        <v>0</v>
      </c>
      <c r="AW316" s="1284">
        <f t="shared" si="179"/>
        <v>0</v>
      </c>
      <c r="AX316" s="1284">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4">
        <f t="shared" si="178"/>
        <v>0</v>
      </c>
      <c r="AW317" s="1284">
        <f t="shared" si="179"/>
        <v>0</v>
      </c>
      <c r="AX317" s="1284">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4">
        <f t="shared" si="178"/>
        <v>0</v>
      </c>
      <c r="AW318" s="1284">
        <f t="shared" si="179"/>
        <v>0</v>
      </c>
      <c r="AX318" s="1284">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4">
        <f t="shared" si="178"/>
        <v>0</v>
      </c>
      <c r="AW319" s="1284">
        <f t="shared" si="179"/>
        <v>0</v>
      </c>
      <c r="AX319" s="1284">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4">
        <f t="shared" si="178"/>
        <v>0</v>
      </c>
      <c r="AW320" s="1284">
        <f t="shared" si="179"/>
        <v>0</v>
      </c>
      <c r="AX320" s="1284">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4">
        <f t="shared" si="178"/>
        <v>0</v>
      </c>
      <c r="AW321" s="1284">
        <f t="shared" si="179"/>
        <v>0</v>
      </c>
      <c r="AX321" s="1284">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4">
        <f t="shared" si="178"/>
        <v>0</v>
      </c>
      <c r="AW322" s="1284">
        <f t="shared" si="179"/>
        <v>0</v>
      </c>
      <c r="AX322" s="1284">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4">
        <f t="shared" si="178"/>
        <v>0</v>
      </c>
      <c r="AW323" s="1284">
        <f t="shared" si="179"/>
        <v>0</v>
      </c>
      <c r="AX323" s="1284">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4">
        <f t="shared" si="178"/>
        <v>0</v>
      </c>
      <c r="AW324" s="1284">
        <f t="shared" si="179"/>
        <v>0</v>
      </c>
      <c r="AX324" s="1284">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4">
        <f t="shared" si="178"/>
        <v>0</v>
      </c>
      <c r="AW325" s="1284">
        <f t="shared" si="179"/>
        <v>0</v>
      </c>
      <c r="AX325" s="1284">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4">
        <f t="shared" si="178"/>
        <v>0</v>
      </c>
      <c r="AW326" s="1284">
        <f t="shared" si="179"/>
        <v>0</v>
      </c>
      <c r="AX326" s="1284">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4">
        <f t="shared" si="178"/>
        <v>0</v>
      </c>
      <c r="AW327" s="1284">
        <f t="shared" si="179"/>
        <v>0</v>
      </c>
      <c r="AX327" s="1284">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4">
        <f t="shared" si="178"/>
        <v>0</v>
      </c>
      <c r="AW328" s="1284">
        <f t="shared" si="179"/>
        <v>0</v>
      </c>
      <c r="AX328" s="1284">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4">
        <f t="shared" si="178"/>
        <v>0</v>
      </c>
      <c r="AW329" s="1284">
        <f t="shared" si="179"/>
        <v>0</v>
      </c>
      <c r="AX329" s="1284">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4">
        <f t="shared" si="178"/>
        <v>0</v>
      </c>
      <c r="AW330" s="1284">
        <f t="shared" si="179"/>
        <v>0</v>
      </c>
      <c r="AX330" s="1284">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4">
        <f t="shared" si="178"/>
        <v>0</v>
      </c>
      <c r="AW331" s="1284">
        <f t="shared" si="179"/>
        <v>0</v>
      </c>
      <c r="AX331" s="1284">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4">
        <f t="shared" si="178"/>
        <v>0</v>
      </c>
      <c r="AW332" s="1284">
        <f t="shared" si="179"/>
        <v>0</v>
      </c>
      <c r="AX332" s="1284">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4">
        <f t="shared" si="178"/>
        <v>0</v>
      </c>
      <c r="AW333" s="1284">
        <f t="shared" si="179"/>
        <v>0</v>
      </c>
      <c r="AX333" s="1284">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4">
        <f t="shared" si="178"/>
        <v>0</v>
      </c>
      <c r="AW334" s="1284">
        <f t="shared" si="179"/>
        <v>0</v>
      </c>
      <c r="AX334" s="1284">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4">
        <f t="shared" ref="AV335:AV366" si="207">A335</f>
        <v>0</v>
      </c>
      <c r="AW335" s="1284">
        <f t="shared" ref="AW335:AW366" si="208">B335</f>
        <v>0</v>
      </c>
      <c r="AX335" s="1284">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4">
        <f t="shared" si="207"/>
        <v>0</v>
      </c>
      <c r="AW336" s="1284">
        <f t="shared" si="208"/>
        <v>0</v>
      </c>
      <c r="AX336" s="1284">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4">
        <f t="shared" si="207"/>
        <v>0</v>
      </c>
      <c r="AW337" s="1284">
        <f t="shared" si="208"/>
        <v>0</v>
      </c>
      <c r="AX337" s="1284">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4">
        <f t="shared" si="207"/>
        <v>0</v>
      </c>
      <c r="AW338" s="1284">
        <f t="shared" si="208"/>
        <v>0</v>
      </c>
      <c r="AX338" s="1284">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4">
        <f t="shared" si="207"/>
        <v>0</v>
      </c>
      <c r="AW339" s="1284">
        <f t="shared" si="208"/>
        <v>0</v>
      </c>
      <c r="AX339" s="1284">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4">
        <f t="shared" si="207"/>
        <v>0</v>
      </c>
      <c r="AW340" s="1284">
        <f t="shared" si="208"/>
        <v>0</v>
      </c>
      <c r="AX340" s="1284">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4">
        <f t="shared" si="207"/>
        <v>0</v>
      </c>
      <c r="AW341" s="1284">
        <f t="shared" si="208"/>
        <v>0</v>
      </c>
      <c r="AX341" s="1284">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4">
        <f t="shared" si="207"/>
        <v>0</v>
      </c>
      <c r="AW342" s="1284">
        <f t="shared" si="208"/>
        <v>0</v>
      </c>
      <c r="AX342" s="1284">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4">
        <f t="shared" si="207"/>
        <v>0</v>
      </c>
      <c r="AW343" s="1284">
        <f t="shared" si="208"/>
        <v>0</v>
      </c>
      <c r="AX343" s="1284">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4">
        <f t="shared" si="207"/>
        <v>0</v>
      </c>
      <c r="AW344" s="1284">
        <f t="shared" si="208"/>
        <v>0</v>
      </c>
      <c r="AX344" s="1284">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4">
        <f t="shared" si="207"/>
        <v>0</v>
      </c>
      <c r="AW345" s="1284">
        <f t="shared" si="208"/>
        <v>0</v>
      </c>
      <c r="AX345" s="1284">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4">
        <f t="shared" si="207"/>
        <v>0</v>
      </c>
      <c r="AW346" s="1284">
        <f t="shared" si="208"/>
        <v>0</v>
      </c>
      <c r="AX346" s="1284">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4">
        <f t="shared" si="207"/>
        <v>0</v>
      </c>
      <c r="AW347" s="1284">
        <f t="shared" si="208"/>
        <v>0</v>
      </c>
      <c r="AX347" s="1284">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4">
        <f t="shared" si="207"/>
        <v>0</v>
      </c>
      <c r="AW348" s="1284">
        <f t="shared" si="208"/>
        <v>0</v>
      </c>
      <c r="AX348" s="1284">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4">
        <f t="shared" si="207"/>
        <v>0</v>
      </c>
      <c r="AW349" s="1284">
        <f t="shared" si="208"/>
        <v>0</v>
      </c>
      <c r="AX349" s="1284">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4">
        <f t="shared" si="207"/>
        <v>0</v>
      </c>
      <c r="AW350" s="1284">
        <f t="shared" si="208"/>
        <v>0</v>
      </c>
      <c r="AX350" s="1284">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4">
        <f t="shared" si="207"/>
        <v>0</v>
      </c>
      <c r="AW351" s="1284">
        <f t="shared" si="208"/>
        <v>0</v>
      </c>
      <c r="AX351" s="1284">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4">
        <f t="shared" si="207"/>
        <v>0</v>
      </c>
      <c r="AW352" s="1284">
        <f t="shared" si="208"/>
        <v>0</v>
      </c>
      <c r="AX352" s="1284">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4">
        <f t="shared" si="207"/>
        <v>0</v>
      </c>
      <c r="AW353" s="1284">
        <f t="shared" si="208"/>
        <v>0</v>
      </c>
      <c r="AX353" s="1284">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4">
        <f t="shared" si="207"/>
        <v>0</v>
      </c>
      <c r="AW354" s="1284">
        <f t="shared" si="208"/>
        <v>0</v>
      </c>
      <c r="AX354" s="1284">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4">
        <f t="shared" si="207"/>
        <v>0</v>
      </c>
      <c r="AW355" s="1284">
        <f t="shared" si="208"/>
        <v>0</v>
      </c>
      <c r="AX355" s="1284">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4">
        <f t="shared" si="207"/>
        <v>0</v>
      </c>
      <c r="AW356" s="1284">
        <f t="shared" si="208"/>
        <v>0</v>
      </c>
      <c r="AX356" s="1284">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4">
        <f t="shared" si="207"/>
        <v>0</v>
      </c>
      <c r="AW357" s="1284">
        <f t="shared" si="208"/>
        <v>0</v>
      </c>
      <c r="AX357" s="1284">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4">
        <f t="shared" si="207"/>
        <v>0</v>
      </c>
      <c r="AW358" s="1284">
        <f t="shared" si="208"/>
        <v>0</v>
      </c>
      <c r="AX358" s="1284">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4">
        <f t="shared" si="207"/>
        <v>0</v>
      </c>
      <c r="AW359" s="1284">
        <f t="shared" si="208"/>
        <v>0</v>
      </c>
      <c r="AX359" s="1284">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4">
        <f t="shared" si="207"/>
        <v>0</v>
      </c>
      <c r="AW360" s="1284">
        <f t="shared" si="208"/>
        <v>0</v>
      </c>
      <c r="AX360" s="1284">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4">
        <f t="shared" si="207"/>
        <v>0</v>
      </c>
      <c r="AW361" s="1284">
        <f t="shared" si="208"/>
        <v>0</v>
      </c>
      <c r="AX361" s="1284">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4">
        <f t="shared" si="207"/>
        <v>0</v>
      </c>
      <c r="AW362" s="1284">
        <f t="shared" si="208"/>
        <v>0</v>
      </c>
      <c r="AX362" s="1284">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4">
        <f t="shared" si="207"/>
        <v>0</v>
      </c>
      <c r="AW363" s="1284">
        <f t="shared" si="208"/>
        <v>0</v>
      </c>
      <c r="AX363" s="1284">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4">
        <f t="shared" si="207"/>
        <v>0</v>
      </c>
      <c r="AW364" s="1284">
        <f t="shared" si="208"/>
        <v>0</v>
      </c>
      <c r="AX364" s="1284">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4">
        <f t="shared" si="207"/>
        <v>0</v>
      </c>
      <c r="AW365" s="1284">
        <f t="shared" si="208"/>
        <v>0</v>
      </c>
      <c r="AX365" s="1284">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4">
        <f t="shared" si="207"/>
        <v>0</v>
      </c>
      <c r="AW366" s="1284">
        <f t="shared" si="208"/>
        <v>0</v>
      </c>
      <c r="AX366" s="1284">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4">
        <f t="shared" ref="AV367:AV397" si="236">A367</f>
        <v>0</v>
      </c>
      <c r="AW367" s="1284">
        <f t="shared" ref="AW367:AW397" si="237">B367</f>
        <v>0</v>
      </c>
      <c r="AX367" s="1284">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4">
        <f t="shared" si="236"/>
        <v>0</v>
      </c>
      <c r="AW368" s="1284">
        <f t="shared" si="237"/>
        <v>0</v>
      </c>
      <c r="AX368" s="1284">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4">
        <f t="shared" si="236"/>
        <v>0</v>
      </c>
      <c r="AW369" s="1284">
        <f t="shared" si="237"/>
        <v>0</v>
      </c>
      <c r="AX369" s="1284">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4">
        <f t="shared" si="236"/>
        <v>0</v>
      </c>
      <c r="AW370" s="1284">
        <f t="shared" si="237"/>
        <v>0</v>
      </c>
      <c r="AX370" s="1284">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4">
        <f t="shared" si="236"/>
        <v>0</v>
      </c>
      <c r="AW371" s="1284">
        <f t="shared" si="237"/>
        <v>0</v>
      </c>
      <c r="AX371" s="1284">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4">
        <f t="shared" si="236"/>
        <v>0</v>
      </c>
      <c r="AW372" s="1284">
        <f t="shared" si="237"/>
        <v>0</v>
      </c>
      <c r="AX372" s="1284">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4">
        <f t="shared" si="236"/>
        <v>0</v>
      </c>
      <c r="AW373" s="1284">
        <f t="shared" si="237"/>
        <v>0</v>
      </c>
      <c r="AX373" s="1284">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4">
        <f t="shared" si="236"/>
        <v>0</v>
      </c>
      <c r="AW374" s="1284">
        <f t="shared" si="237"/>
        <v>0</v>
      </c>
      <c r="AX374" s="1284">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4">
        <f t="shared" si="236"/>
        <v>0</v>
      </c>
      <c r="AW375" s="1284">
        <f t="shared" si="237"/>
        <v>0</v>
      </c>
      <c r="AX375" s="1284">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4">
        <f t="shared" si="236"/>
        <v>0</v>
      </c>
      <c r="AW376" s="1284">
        <f t="shared" si="237"/>
        <v>0</v>
      </c>
      <c r="AX376" s="1284">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4">
        <f t="shared" si="236"/>
        <v>0</v>
      </c>
      <c r="AW377" s="1284">
        <f t="shared" si="237"/>
        <v>0</v>
      </c>
      <c r="AX377" s="1284">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4">
        <f t="shared" si="236"/>
        <v>0</v>
      </c>
      <c r="AW378" s="1284">
        <f t="shared" si="237"/>
        <v>0</v>
      </c>
      <c r="AX378" s="1284">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4">
        <f t="shared" si="236"/>
        <v>0</v>
      </c>
      <c r="AW379" s="1284">
        <f t="shared" si="237"/>
        <v>0</v>
      </c>
      <c r="AX379" s="1284">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4">
        <f t="shared" si="236"/>
        <v>0</v>
      </c>
      <c r="AW380" s="1284">
        <f t="shared" si="237"/>
        <v>0</v>
      </c>
      <c r="AX380" s="1284">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4">
        <f t="shared" si="236"/>
        <v>0</v>
      </c>
      <c r="AW381" s="1284">
        <f t="shared" si="237"/>
        <v>0</v>
      </c>
      <c r="AX381" s="1284">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4">
        <f t="shared" si="236"/>
        <v>0</v>
      </c>
      <c r="AW382" s="1284">
        <f t="shared" si="237"/>
        <v>0</v>
      </c>
      <c r="AX382" s="1284">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4">
        <f t="shared" si="236"/>
        <v>0</v>
      </c>
      <c r="AW383" s="1284">
        <f t="shared" si="237"/>
        <v>0</v>
      </c>
      <c r="AX383" s="1284">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4">
        <f t="shared" si="236"/>
        <v>0</v>
      </c>
      <c r="AW384" s="1284">
        <f t="shared" si="237"/>
        <v>0</v>
      </c>
      <c r="AX384" s="1284">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4">
        <f t="shared" si="236"/>
        <v>0</v>
      </c>
      <c r="AW385" s="1284">
        <f t="shared" si="237"/>
        <v>0</v>
      </c>
      <c r="AX385" s="1284">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4">
        <f t="shared" si="236"/>
        <v>0</v>
      </c>
      <c r="AW386" s="1284">
        <f t="shared" si="237"/>
        <v>0</v>
      </c>
      <c r="AX386" s="1284">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4">
        <f t="shared" si="236"/>
        <v>0</v>
      </c>
      <c r="AW387" s="1284">
        <f t="shared" si="237"/>
        <v>0</v>
      </c>
      <c r="AX387" s="1284">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4">
        <f t="shared" si="236"/>
        <v>0</v>
      </c>
      <c r="AW388" s="1284">
        <f t="shared" si="237"/>
        <v>0</v>
      </c>
      <c r="AX388" s="1284">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4">
        <f t="shared" si="236"/>
        <v>0</v>
      </c>
      <c r="AW389" s="1284">
        <f t="shared" si="237"/>
        <v>0</v>
      </c>
      <c r="AX389" s="1284">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4">
        <f t="shared" si="236"/>
        <v>0</v>
      </c>
      <c r="AW390" s="1284">
        <f t="shared" si="237"/>
        <v>0</v>
      </c>
      <c r="AX390" s="1284">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4">
        <f t="shared" si="236"/>
        <v>0</v>
      </c>
      <c r="AW391" s="1284">
        <f t="shared" si="237"/>
        <v>0</v>
      </c>
      <c r="AX391" s="1284">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4">
        <f t="shared" si="236"/>
        <v>0</v>
      </c>
      <c r="AW392" s="1284">
        <f t="shared" si="237"/>
        <v>0</v>
      </c>
      <c r="AX392" s="1284">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4">
        <f t="shared" si="236"/>
        <v>0</v>
      </c>
      <c r="AW393" s="1284">
        <f t="shared" si="237"/>
        <v>0</v>
      </c>
      <c r="AX393" s="1284">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4">
        <f t="shared" si="236"/>
        <v>0</v>
      </c>
      <c r="AW394" s="1284">
        <f t="shared" si="237"/>
        <v>0</v>
      </c>
      <c r="AX394" s="1284">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4">
        <f t="shared" si="236"/>
        <v>0</v>
      </c>
      <c r="AW395" s="1284">
        <f t="shared" si="237"/>
        <v>0</v>
      </c>
      <c r="AX395" s="1284">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4">
        <f t="shared" si="236"/>
        <v>0</v>
      </c>
      <c r="AW396" s="1284">
        <f t="shared" si="237"/>
        <v>0</v>
      </c>
      <c r="AX396" s="1284">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4">
        <f t="shared" si="236"/>
        <v>0</v>
      </c>
      <c r="AW397" s="1284">
        <f t="shared" si="237"/>
        <v>0</v>
      </c>
      <c r="AX397" s="1284">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4">
        <f t="shared" ref="AV398:AV492" si="243">A398</f>
        <v>0</v>
      </c>
      <c r="AW398" s="1284">
        <f t="shared" ref="AW398:AW492" si="244">B398</f>
        <v>0</v>
      </c>
      <c r="AX398" s="1284">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4">
        <f t="shared" si="243"/>
        <v>0</v>
      </c>
      <c r="AW399" s="1284">
        <f t="shared" si="244"/>
        <v>0</v>
      </c>
      <c r="AX399" s="1284">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4">
        <f t="shared" si="243"/>
        <v>0</v>
      </c>
      <c r="AW400" s="1284">
        <f t="shared" si="244"/>
        <v>0</v>
      </c>
      <c r="AX400" s="1284">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4">
        <f t="shared" si="243"/>
        <v>0</v>
      </c>
      <c r="AW401" s="1284">
        <f t="shared" si="244"/>
        <v>0</v>
      </c>
      <c r="AX401" s="1284">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4">
        <f t="shared" si="243"/>
        <v>0</v>
      </c>
      <c r="AW402" s="1284">
        <f t="shared" si="244"/>
        <v>0</v>
      </c>
      <c r="AX402" s="1284">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4">
        <f t="shared" si="243"/>
        <v>0</v>
      </c>
      <c r="AW403" s="1284">
        <f t="shared" si="244"/>
        <v>0</v>
      </c>
      <c r="AX403" s="1284">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4">
        <f t="shared" si="243"/>
        <v>0</v>
      </c>
      <c r="AW404" s="1284">
        <f t="shared" si="244"/>
        <v>0</v>
      </c>
      <c r="AX404" s="1284">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4">
        <f t="shared" si="243"/>
        <v>0</v>
      </c>
      <c r="AW405" s="1284">
        <f t="shared" si="244"/>
        <v>0</v>
      </c>
      <c r="AX405" s="1284">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4">
        <f t="shared" si="243"/>
        <v>0</v>
      </c>
      <c r="AW406" s="1284">
        <f t="shared" si="244"/>
        <v>0</v>
      </c>
      <c r="AX406" s="1284">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4">
        <f t="shared" si="243"/>
        <v>0</v>
      </c>
      <c r="AW407" s="1284">
        <f t="shared" si="244"/>
        <v>0</v>
      </c>
      <c r="AX407" s="1284">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4">
        <f t="shared" si="243"/>
        <v>0</v>
      </c>
      <c r="AW408" s="1284">
        <f t="shared" si="244"/>
        <v>0</v>
      </c>
      <c r="AX408" s="1284">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4">
        <f t="shared" si="243"/>
        <v>0</v>
      </c>
      <c r="AW409" s="1284">
        <f t="shared" si="244"/>
        <v>0</v>
      </c>
      <c r="AX409" s="1284">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4">
        <f t="shared" si="243"/>
        <v>0</v>
      </c>
      <c r="AW410" s="1284">
        <f t="shared" si="244"/>
        <v>0</v>
      </c>
      <c r="AX410" s="1284">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4">
        <f t="shared" si="243"/>
        <v>0</v>
      </c>
      <c r="AW411" s="1284">
        <f t="shared" si="244"/>
        <v>0</v>
      </c>
      <c r="AX411" s="1284">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4">
        <f t="shared" si="243"/>
        <v>0</v>
      </c>
      <c r="AW412" s="1284">
        <f t="shared" si="244"/>
        <v>0</v>
      </c>
      <c r="AX412" s="1284">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4">
        <f t="shared" si="243"/>
        <v>0</v>
      </c>
      <c r="AW413" s="1284">
        <f t="shared" si="244"/>
        <v>0</v>
      </c>
      <c r="AX413" s="1284">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4">
        <f t="shared" si="243"/>
        <v>0</v>
      </c>
      <c r="AW414" s="1284">
        <f t="shared" si="244"/>
        <v>0</v>
      </c>
      <c r="AX414" s="1284">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4">
        <f t="shared" si="243"/>
        <v>0</v>
      </c>
      <c r="AW415" s="1284">
        <f t="shared" si="244"/>
        <v>0</v>
      </c>
      <c r="AX415" s="1284">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4">
        <f t="shared" si="243"/>
        <v>0</v>
      </c>
      <c r="AW416" s="1284">
        <f t="shared" si="244"/>
        <v>0</v>
      </c>
      <c r="AX416" s="1284">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4">
        <f t="shared" si="243"/>
        <v>0</v>
      </c>
      <c r="AW417" s="1284">
        <f t="shared" si="244"/>
        <v>0</v>
      </c>
      <c r="AX417" s="1284">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4">
        <f t="shared" si="243"/>
        <v>0</v>
      </c>
      <c r="AW418" s="1284">
        <f t="shared" si="244"/>
        <v>0</v>
      </c>
      <c r="AX418" s="1284">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4">
        <f t="shared" si="243"/>
        <v>0</v>
      </c>
      <c r="AW419" s="1284">
        <f t="shared" si="244"/>
        <v>0</v>
      </c>
      <c r="AX419" s="1284">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4">
        <f t="shared" si="243"/>
        <v>0</v>
      </c>
      <c r="AW420" s="1284">
        <f t="shared" si="244"/>
        <v>0</v>
      </c>
      <c r="AX420" s="1284">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4">
        <f t="shared" si="243"/>
        <v>0</v>
      </c>
      <c r="AW421" s="1284">
        <f t="shared" si="244"/>
        <v>0</v>
      </c>
      <c r="AX421" s="1284">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4">
        <f t="shared" si="243"/>
        <v>0</v>
      </c>
      <c r="AW422" s="1284">
        <f t="shared" si="244"/>
        <v>0</v>
      </c>
      <c r="AX422" s="1284">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4">
        <f t="shared" si="243"/>
        <v>0</v>
      </c>
      <c r="AW423" s="1284">
        <f t="shared" si="244"/>
        <v>0</v>
      </c>
      <c r="AX423" s="1284">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4">
        <f t="shared" si="243"/>
        <v>0</v>
      </c>
      <c r="AW424" s="1284">
        <f t="shared" si="244"/>
        <v>0</v>
      </c>
      <c r="AX424" s="1284">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4">
        <f t="shared" si="243"/>
        <v>0</v>
      </c>
      <c r="AW425" s="1284">
        <f t="shared" si="244"/>
        <v>0</v>
      </c>
      <c r="AX425" s="1284">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4">
        <f t="shared" si="243"/>
        <v>0</v>
      </c>
      <c r="AW426" s="1284">
        <f t="shared" si="244"/>
        <v>0</v>
      </c>
      <c r="AX426" s="1284">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4">
        <f t="shared" si="243"/>
        <v>0</v>
      </c>
      <c r="AW427" s="1284">
        <f t="shared" si="244"/>
        <v>0</v>
      </c>
      <c r="AX427" s="1284">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4">
        <f t="shared" si="243"/>
        <v>0</v>
      </c>
      <c r="AW428" s="1284">
        <f t="shared" si="244"/>
        <v>0</v>
      </c>
      <c r="AX428" s="1284">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4">
        <f t="shared" si="243"/>
        <v>0</v>
      </c>
      <c r="AW429" s="1284">
        <f t="shared" si="244"/>
        <v>0</v>
      </c>
      <c r="AX429" s="1284">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4">
        <f t="shared" si="243"/>
        <v>0</v>
      </c>
      <c r="AW430" s="1284">
        <f t="shared" si="244"/>
        <v>0</v>
      </c>
      <c r="AX430" s="1284">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4">
        <f t="shared" si="243"/>
        <v>0</v>
      </c>
      <c r="AW431" s="1284">
        <f t="shared" si="244"/>
        <v>0</v>
      </c>
      <c r="AX431" s="1284">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4">
        <f t="shared" si="243"/>
        <v>0</v>
      </c>
      <c r="AW432" s="1284">
        <f t="shared" si="244"/>
        <v>0</v>
      </c>
      <c r="AX432" s="1284">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4">
        <f t="shared" si="243"/>
        <v>0</v>
      </c>
      <c r="AW433" s="1284">
        <f t="shared" si="244"/>
        <v>0</v>
      </c>
      <c r="AX433" s="1284">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4">
        <f t="shared" si="243"/>
        <v>0</v>
      </c>
      <c r="AW434" s="1284">
        <f t="shared" si="244"/>
        <v>0</v>
      </c>
      <c r="AX434" s="1284">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4">
        <f t="shared" si="243"/>
        <v>0</v>
      </c>
      <c r="AW435" s="1284">
        <f t="shared" si="244"/>
        <v>0</v>
      </c>
      <c r="AX435" s="1284">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4">
        <f t="shared" si="243"/>
        <v>0</v>
      </c>
      <c r="AW436" s="1284">
        <f t="shared" si="244"/>
        <v>0</v>
      </c>
      <c r="AX436" s="1284">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4">
        <f t="shared" si="243"/>
        <v>0</v>
      </c>
      <c r="AW437" s="1284">
        <f t="shared" si="244"/>
        <v>0</v>
      </c>
      <c r="AX437" s="1284">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4">
        <f t="shared" si="243"/>
        <v>0</v>
      </c>
      <c r="AW438" s="1284">
        <f t="shared" si="244"/>
        <v>0</v>
      </c>
      <c r="AX438" s="1284">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4">
        <f t="shared" si="243"/>
        <v>0</v>
      </c>
      <c r="AW439" s="1284">
        <f t="shared" si="244"/>
        <v>0</v>
      </c>
      <c r="AX439" s="1284">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4">
        <f t="shared" si="243"/>
        <v>0</v>
      </c>
      <c r="AW440" s="1284">
        <f t="shared" si="244"/>
        <v>0</v>
      </c>
      <c r="AX440" s="1284">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4">
        <f t="shared" si="243"/>
        <v>0</v>
      </c>
      <c r="AW441" s="1284">
        <f t="shared" si="244"/>
        <v>0</v>
      </c>
      <c r="AX441" s="1284">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4">
        <f t="shared" si="243"/>
        <v>0</v>
      </c>
      <c r="AW442" s="1284">
        <f t="shared" si="244"/>
        <v>0</v>
      </c>
      <c r="AX442" s="1284">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4">
        <f t="shared" si="243"/>
        <v>0</v>
      </c>
      <c r="AW443" s="1284">
        <f t="shared" si="244"/>
        <v>0</v>
      </c>
      <c r="AX443" s="1284">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4">
        <f t="shared" si="243"/>
        <v>0</v>
      </c>
      <c r="AW444" s="1284">
        <f t="shared" si="244"/>
        <v>0</v>
      </c>
      <c r="AX444" s="1284">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4">
        <f t="shared" si="243"/>
        <v>0</v>
      </c>
      <c r="AW445" s="1284">
        <f t="shared" si="244"/>
        <v>0</v>
      </c>
      <c r="AX445" s="1284">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4">
        <f t="shared" si="243"/>
        <v>0</v>
      </c>
      <c r="AW446" s="1284">
        <f t="shared" si="244"/>
        <v>0</v>
      </c>
      <c r="AX446" s="1284">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4">
        <f t="shared" si="243"/>
        <v>0</v>
      </c>
      <c r="AW447" s="1284">
        <f t="shared" si="244"/>
        <v>0</v>
      </c>
      <c r="AX447" s="1284">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4">
        <f t="shared" si="243"/>
        <v>0</v>
      </c>
      <c r="AW448" s="1284">
        <f t="shared" si="244"/>
        <v>0</v>
      </c>
      <c r="AX448" s="1284">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4">
        <f t="shared" si="243"/>
        <v>0</v>
      </c>
      <c r="AW449" s="1284">
        <f t="shared" si="244"/>
        <v>0</v>
      </c>
      <c r="AX449" s="1284">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4">
        <f t="shared" si="243"/>
        <v>0</v>
      </c>
      <c r="AW450" s="1284">
        <f t="shared" si="244"/>
        <v>0</v>
      </c>
      <c r="AX450" s="1284">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4">
        <f t="shared" si="243"/>
        <v>0</v>
      </c>
      <c r="AW451" s="1284">
        <f t="shared" si="244"/>
        <v>0</v>
      </c>
      <c r="AX451" s="1284">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4">
        <f t="shared" si="243"/>
        <v>0</v>
      </c>
      <c r="AW452" s="1284">
        <f t="shared" si="244"/>
        <v>0</v>
      </c>
      <c r="AX452" s="1284">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4">
        <f t="shared" si="243"/>
        <v>0</v>
      </c>
      <c r="AW453" s="1284">
        <f t="shared" si="244"/>
        <v>0</v>
      </c>
      <c r="AX453" s="1284">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4">
        <f t="shared" si="243"/>
        <v>0</v>
      </c>
      <c r="AW454" s="1284">
        <f t="shared" si="244"/>
        <v>0</v>
      </c>
      <c r="AX454" s="1284">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4">
        <f t="shared" si="243"/>
        <v>0</v>
      </c>
      <c r="AW455" s="1284">
        <f t="shared" si="244"/>
        <v>0</v>
      </c>
      <c r="AX455" s="1284">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4">
        <f t="shared" si="243"/>
        <v>0</v>
      </c>
      <c r="AW456" s="1284">
        <f t="shared" si="244"/>
        <v>0</v>
      </c>
      <c r="AX456" s="1284">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4">
        <f t="shared" si="243"/>
        <v>0</v>
      </c>
      <c r="AW457" s="1284">
        <f t="shared" si="244"/>
        <v>0</v>
      </c>
      <c r="AX457" s="1284">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4">
        <f t="shared" si="243"/>
        <v>0</v>
      </c>
      <c r="AW458" s="1284">
        <f t="shared" si="244"/>
        <v>0</v>
      </c>
      <c r="AX458" s="1284">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4">
        <f t="shared" si="243"/>
        <v>0</v>
      </c>
      <c r="AW459" s="1284">
        <f t="shared" si="244"/>
        <v>0</v>
      </c>
      <c r="AX459" s="1284">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4">
        <f t="shared" si="243"/>
        <v>0</v>
      </c>
      <c r="AW460" s="1284">
        <f t="shared" si="244"/>
        <v>0</v>
      </c>
      <c r="AX460" s="1284">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4">
        <f t="shared" si="243"/>
        <v>0</v>
      </c>
      <c r="AW461" s="1284">
        <f t="shared" si="244"/>
        <v>0</v>
      </c>
      <c r="AX461" s="1284">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4">
        <f t="shared" si="243"/>
        <v>0</v>
      </c>
      <c r="AW462" s="1284">
        <f t="shared" si="244"/>
        <v>0</v>
      </c>
      <c r="AX462" s="1284">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4">
        <f t="shared" si="243"/>
        <v>0</v>
      </c>
      <c r="AW463" s="1284">
        <f t="shared" si="244"/>
        <v>0</v>
      </c>
      <c r="AX463" s="1284">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4">
        <f t="shared" si="243"/>
        <v>0</v>
      </c>
      <c r="AW464" s="1284">
        <f t="shared" si="244"/>
        <v>0</v>
      </c>
      <c r="AX464" s="1284">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4">
        <f t="shared" si="243"/>
        <v>0</v>
      </c>
      <c r="AW465" s="1284">
        <f t="shared" si="244"/>
        <v>0</v>
      </c>
      <c r="AX465" s="1284">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4">
        <f t="shared" si="243"/>
        <v>0</v>
      </c>
      <c r="AW466" s="1284">
        <f t="shared" si="244"/>
        <v>0</v>
      </c>
      <c r="AX466" s="1284">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4">
        <f t="shared" si="243"/>
        <v>0</v>
      </c>
      <c r="AW467" s="1284">
        <f t="shared" si="244"/>
        <v>0</v>
      </c>
      <c r="AX467" s="1284">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4">
        <f t="shared" si="243"/>
        <v>0</v>
      </c>
      <c r="AW468" s="1284">
        <f t="shared" si="244"/>
        <v>0</v>
      </c>
      <c r="AX468" s="1284">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4">
        <f t="shared" si="243"/>
        <v>0</v>
      </c>
      <c r="AW469" s="1284">
        <f t="shared" si="244"/>
        <v>0</v>
      </c>
      <c r="AX469" s="1284">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4">
        <f t="shared" si="243"/>
        <v>0</v>
      </c>
      <c r="AW470" s="1284">
        <f t="shared" si="244"/>
        <v>0</v>
      </c>
      <c r="AX470" s="1284">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4">
        <f t="shared" si="243"/>
        <v>0</v>
      </c>
      <c r="AW471" s="1284">
        <f t="shared" si="244"/>
        <v>0</v>
      </c>
      <c r="AX471" s="1284">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4">
        <f t="shared" si="243"/>
        <v>0</v>
      </c>
      <c r="AW472" s="1284">
        <f t="shared" si="244"/>
        <v>0</v>
      </c>
      <c r="AX472" s="1284">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4">
        <f t="shared" si="243"/>
        <v>0</v>
      </c>
      <c r="AW473" s="1284">
        <f t="shared" si="244"/>
        <v>0</v>
      </c>
      <c r="AX473" s="1284">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4">
        <f t="shared" si="243"/>
        <v>0</v>
      </c>
      <c r="AW474" s="1284">
        <f t="shared" si="244"/>
        <v>0</v>
      </c>
      <c r="AX474" s="1284">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4">
        <f t="shared" si="243"/>
        <v>0</v>
      </c>
      <c r="AW475" s="1284">
        <f t="shared" si="244"/>
        <v>0</v>
      </c>
      <c r="AX475" s="1284">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4">
        <f t="shared" si="243"/>
        <v>0</v>
      </c>
      <c r="AW476" s="1284">
        <f t="shared" si="244"/>
        <v>0</v>
      </c>
      <c r="AX476" s="1284">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4">
        <f t="shared" si="243"/>
        <v>0</v>
      </c>
      <c r="AW477" s="1284">
        <f t="shared" si="244"/>
        <v>0</v>
      </c>
      <c r="AX477" s="1284">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4">
        <f t="shared" si="243"/>
        <v>0</v>
      </c>
      <c r="AW478" s="1284">
        <f t="shared" si="244"/>
        <v>0</v>
      </c>
      <c r="AX478" s="1284">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4">
        <f t="shared" si="243"/>
        <v>0</v>
      </c>
      <c r="AW479" s="1284">
        <f t="shared" si="244"/>
        <v>0</v>
      </c>
      <c r="AX479" s="1284">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4">
        <f t="shared" si="243"/>
        <v>0</v>
      </c>
      <c r="AW480" s="1284">
        <f t="shared" si="244"/>
        <v>0</v>
      </c>
      <c r="AX480" s="1284">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4">
        <f t="shared" si="243"/>
        <v>0</v>
      </c>
      <c r="AW481" s="1284">
        <f t="shared" si="244"/>
        <v>0</v>
      </c>
      <c r="AX481" s="1284">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4">
        <f t="shared" si="243"/>
        <v>0</v>
      </c>
      <c r="AW482" s="1284">
        <f t="shared" si="244"/>
        <v>0</v>
      </c>
      <c r="AX482" s="1284">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4">
        <f t="shared" si="243"/>
        <v>0</v>
      </c>
      <c r="AW483" s="1284">
        <f t="shared" si="244"/>
        <v>0</v>
      </c>
      <c r="AX483" s="1284">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4">
        <f t="shared" si="243"/>
        <v>0</v>
      </c>
      <c r="AW484" s="1284">
        <f t="shared" si="244"/>
        <v>0</v>
      </c>
      <c r="AX484" s="1284">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4">
        <f t="shared" si="243"/>
        <v>0</v>
      </c>
      <c r="AW485" s="1284">
        <f t="shared" si="244"/>
        <v>0</v>
      </c>
      <c r="AX485" s="1284">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4">
        <f t="shared" si="243"/>
        <v>0</v>
      </c>
      <c r="AW486" s="1284">
        <f t="shared" si="244"/>
        <v>0</v>
      </c>
      <c r="AX486" s="1284">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4">
        <f t="shared" si="243"/>
        <v>0</v>
      </c>
      <c r="AW487" s="1284">
        <f t="shared" si="244"/>
        <v>0</v>
      </c>
      <c r="AX487" s="1284">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4">
        <f t="shared" si="243"/>
        <v>0</v>
      </c>
      <c r="AW488" s="1284">
        <f t="shared" si="244"/>
        <v>0</v>
      </c>
      <c r="AX488" s="1284">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4">
        <f t="shared" si="243"/>
        <v>0</v>
      </c>
      <c r="AW489" s="1284">
        <f t="shared" si="244"/>
        <v>0</v>
      </c>
      <c r="AX489" s="1284">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4">
        <f t="shared" si="243"/>
        <v>0</v>
      </c>
      <c r="AW490" s="1284">
        <f t="shared" si="244"/>
        <v>0</v>
      </c>
      <c r="AX490" s="1284">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4">
        <f t="shared" si="243"/>
        <v>0</v>
      </c>
      <c r="AW491" s="1284">
        <f t="shared" si="244"/>
        <v>0</v>
      </c>
      <c r="AX491" s="1284">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4">
        <f t="shared" si="243"/>
        <v>0</v>
      </c>
      <c r="AW492" s="1284">
        <f t="shared" si="244"/>
        <v>0</v>
      </c>
      <c r="AX492" s="1284">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4">
        <f t="shared" ref="AV493:AV520" si="294">A493</f>
        <v>0</v>
      </c>
      <c r="AW493" s="1284">
        <f t="shared" ref="AW493:AW520" si="295">B493</f>
        <v>0</v>
      </c>
      <c r="AX493" s="1284">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4">
        <f t="shared" si="294"/>
        <v>0</v>
      </c>
      <c r="AW494" s="1284">
        <f t="shared" si="295"/>
        <v>0</v>
      </c>
      <c r="AX494" s="1284">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4">
        <f t="shared" si="294"/>
        <v>0</v>
      </c>
      <c r="AW495" s="1284">
        <f t="shared" si="295"/>
        <v>0</v>
      </c>
      <c r="AX495" s="1284">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4">
        <f t="shared" si="294"/>
        <v>0</v>
      </c>
      <c r="AW496" s="1284">
        <f t="shared" si="295"/>
        <v>0</v>
      </c>
      <c r="AX496" s="1284">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4">
        <f t="shared" si="294"/>
        <v>0</v>
      </c>
      <c r="AW497" s="1284">
        <f t="shared" si="295"/>
        <v>0</v>
      </c>
      <c r="AX497" s="1284">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4">
        <f t="shared" si="294"/>
        <v>0</v>
      </c>
      <c r="AW498" s="1284">
        <f t="shared" si="295"/>
        <v>0</v>
      </c>
      <c r="AX498" s="1284">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4">
        <f t="shared" si="294"/>
        <v>0</v>
      </c>
      <c r="AW499" s="1284">
        <f t="shared" si="295"/>
        <v>0</v>
      </c>
      <c r="AX499" s="1284">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4">
        <f t="shared" si="294"/>
        <v>0</v>
      </c>
      <c r="AW500" s="1284">
        <f t="shared" si="295"/>
        <v>0</v>
      </c>
      <c r="AX500" s="1284">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4">
        <f t="shared" si="294"/>
        <v>0</v>
      </c>
      <c r="AW501" s="1284">
        <f t="shared" si="295"/>
        <v>0</v>
      </c>
      <c r="AX501" s="1284">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4">
        <f t="shared" si="294"/>
        <v>0</v>
      </c>
      <c r="AW502" s="1284">
        <f t="shared" si="295"/>
        <v>0</v>
      </c>
      <c r="AX502" s="1284">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4">
        <f t="shared" si="294"/>
        <v>0</v>
      </c>
      <c r="AW503" s="1284">
        <f t="shared" si="295"/>
        <v>0</v>
      </c>
      <c r="AX503" s="1284">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4">
        <f t="shared" si="294"/>
        <v>0</v>
      </c>
      <c r="AW504" s="1284">
        <f t="shared" si="295"/>
        <v>0</v>
      </c>
      <c r="AX504" s="1284">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4">
        <f t="shared" si="294"/>
        <v>0</v>
      </c>
      <c r="AW505" s="1284">
        <f t="shared" si="295"/>
        <v>0</v>
      </c>
      <c r="AX505" s="1284">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4">
        <f t="shared" si="294"/>
        <v>0</v>
      </c>
      <c r="AW506" s="1284">
        <f t="shared" si="295"/>
        <v>0</v>
      </c>
      <c r="AX506" s="1284">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4">
        <f t="shared" si="294"/>
        <v>0</v>
      </c>
      <c r="AW507" s="1284">
        <f t="shared" si="295"/>
        <v>0</v>
      </c>
      <c r="AX507" s="1284">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4">
        <f t="shared" si="294"/>
        <v>0</v>
      </c>
      <c r="AW508" s="1284">
        <f t="shared" si="295"/>
        <v>0</v>
      </c>
      <c r="AX508" s="1284">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4">
        <f t="shared" si="294"/>
        <v>0</v>
      </c>
      <c r="AW509" s="1284">
        <f t="shared" si="295"/>
        <v>0</v>
      </c>
      <c r="AX509" s="1284">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4">
        <f t="shared" si="294"/>
        <v>0</v>
      </c>
      <c r="AW510" s="1284">
        <f t="shared" si="295"/>
        <v>0</v>
      </c>
      <c r="AX510" s="1284">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4">
        <f t="shared" si="294"/>
        <v>0</v>
      </c>
      <c r="AW511" s="1284">
        <f t="shared" si="295"/>
        <v>0</v>
      </c>
      <c r="AX511" s="1284">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4">
        <f t="shared" si="294"/>
        <v>0</v>
      </c>
      <c r="AW512" s="1284">
        <f t="shared" si="295"/>
        <v>0</v>
      </c>
      <c r="AX512" s="1284">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4">
        <f t="shared" si="294"/>
        <v>0</v>
      </c>
      <c r="AW513" s="1284">
        <f t="shared" si="295"/>
        <v>0</v>
      </c>
      <c r="AX513" s="1284">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4">
        <f t="shared" si="294"/>
        <v>0</v>
      </c>
      <c r="AW514" s="1284">
        <f t="shared" si="295"/>
        <v>0</v>
      </c>
      <c r="AX514" s="1284">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4">
        <f t="shared" si="294"/>
        <v>0</v>
      </c>
      <c r="AW515" s="1284">
        <f t="shared" si="295"/>
        <v>0</v>
      </c>
      <c r="AX515" s="1284">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4">
        <f t="shared" si="294"/>
        <v>0</v>
      </c>
      <c r="AW516" s="1284">
        <f t="shared" si="295"/>
        <v>0</v>
      </c>
      <c r="AX516" s="1284">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4">
        <f t="shared" si="294"/>
        <v>0</v>
      </c>
      <c r="AW517" s="1284">
        <f t="shared" si="295"/>
        <v>0</v>
      </c>
      <c r="AX517" s="1284">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4">
        <f t="shared" si="294"/>
        <v>0</v>
      </c>
      <c r="AW518" s="1284">
        <f t="shared" si="295"/>
        <v>0</v>
      </c>
      <c r="AX518" s="1284">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4">
        <f t="shared" si="294"/>
        <v>0</v>
      </c>
      <c r="AW519" s="1284">
        <f t="shared" si="295"/>
        <v>0</v>
      </c>
      <c r="AX519" s="1284">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4">
        <f t="shared" si="294"/>
        <v>0</v>
      </c>
      <c r="AW520" s="1284">
        <f t="shared" si="295"/>
        <v>0</v>
      </c>
      <c r="AX520" s="1284">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4">
        <f t="shared" ref="AV521:AV552" si="298">A521</f>
        <v>0</v>
      </c>
      <c r="AW521" s="1284">
        <f t="shared" ref="AW521:AW552" si="299">B521</f>
        <v>0</v>
      </c>
      <c r="AX521" s="1284">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4">
        <f t="shared" si="298"/>
        <v>0</v>
      </c>
      <c r="AW522" s="1284">
        <f t="shared" si="299"/>
        <v>0</v>
      </c>
      <c r="AX522" s="1284">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4">
        <f t="shared" si="298"/>
        <v>0</v>
      </c>
      <c r="AW523" s="1284">
        <f t="shared" si="299"/>
        <v>0</v>
      </c>
      <c r="AX523" s="1284">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4">
        <f t="shared" si="298"/>
        <v>0</v>
      </c>
      <c r="AW524" s="1284">
        <f t="shared" si="299"/>
        <v>0</v>
      </c>
      <c r="AX524" s="1284">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4">
        <f t="shared" si="298"/>
        <v>0</v>
      </c>
      <c r="AW525" s="1284">
        <f t="shared" si="299"/>
        <v>0</v>
      </c>
      <c r="AX525" s="1284">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4">
        <f t="shared" si="298"/>
        <v>0</v>
      </c>
      <c r="AW526" s="1284">
        <f t="shared" si="299"/>
        <v>0</v>
      </c>
      <c r="AX526" s="1284">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4">
        <f t="shared" si="298"/>
        <v>0</v>
      </c>
      <c r="AW527" s="1284">
        <f t="shared" si="299"/>
        <v>0</v>
      </c>
      <c r="AX527" s="1284">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4">
        <f t="shared" si="298"/>
        <v>0</v>
      </c>
      <c r="AW528" s="1284">
        <f t="shared" si="299"/>
        <v>0</v>
      </c>
      <c r="AX528" s="1284">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4">
        <f t="shared" si="298"/>
        <v>0</v>
      </c>
      <c r="AW529" s="1284">
        <f t="shared" si="299"/>
        <v>0</v>
      </c>
      <c r="AX529" s="1284">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4">
        <f t="shared" si="298"/>
        <v>0</v>
      </c>
      <c r="AW530" s="1284">
        <f t="shared" si="299"/>
        <v>0</v>
      </c>
      <c r="AX530" s="1284">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4">
        <f t="shared" si="298"/>
        <v>0</v>
      </c>
      <c r="AW531" s="1284">
        <f t="shared" si="299"/>
        <v>0</v>
      </c>
      <c r="AX531" s="1284">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4">
        <f t="shared" si="298"/>
        <v>0</v>
      </c>
      <c r="AW532" s="1284">
        <f t="shared" si="299"/>
        <v>0</v>
      </c>
      <c r="AX532" s="1284">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4">
        <f t="shared" si="298"/>
        <v>0</v>
      </c>
      <c r="AW533" s="1284">
        <f t="shared" si="299"/>
        <v>0</v>
      </c>
      <c r="AX533" s="1284">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4">
        <f t="shared" si="298"/>
        <v>0</v>
      </c>
      <c r="AW534" s="1284">
        <f t="shared" si="299"/>
        <v>0</v>
      </c>
      <c r="AX534" s="1284">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4">
        <f t="shared" si="298"/>
        <v>0</v>
      </c>
      <c r="AW535" s="1284">
        <f t="shared" si="299"/>
        <v>0</v>
      </c>
      <c r="AX535" s="1284">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4">
        <f t="shared" si="298"/>
        <v>0</v>
      </c>
      <c r="AW536" s="1284">
        <f t="shared" si="299"/>
        <v>0</v>
      </c>
      <c r="AX536" s="1284">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4">
        <f t="shared" si="298"/>
        <v>0</v>
      </c>
      <c r="AW537" s="1284">
        <f t="shared" si="299"/>
        <v>0</v>
      </c>
      <c r="AX537" s="1284">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4">
        <f t="shared" si="298"/>
        <v>0</v>
      </c>
      <c r="AW538" s="1284">
        <f t="shared" si="299"/>
        <v>0</v>
      </c>
      <c r="AX538" s="1284">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4">
        <f t="shared" si="298"/>
        <v>0</v>
      </c>
      <c r="AW539" s="1284">
        <f t="shared" si="299"/>
        <v>0</v>
      </c>
      <c r="AX539" s="1284">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4">
        <f t="shared" si="298"/>
        <v>0</v>
      </c>
      <c r="AW540" s="1284">
        <f t="shared" si="299"/>
        <v>0</v>
      </c>
      <c r="AX540" s="1284">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4">
        <f t="shared" si="298"/>
        <v>0</v>
      </c>
      <c r="AW541" s="1284">
        <f t="shared" si="299"/>
        <v>0</v>
      </c>
      <c r="AX541" s="1284">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4">
        <f t="shared" si="298"/>
        <v>0</v>
      </c>
      <c r="AW542" s="1284">
        <f t="shared" si="299"/>
        <v>0</v>
      </c>
      <c r="AX542" s="1284">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4">
        <f t="shared" si="298"/>
        <v>0</v>
      </c>
      <c r="AW543" s="1284">
        <f t="shared" si="299"/>
        <v>0</v>
      </c>
      <c r="AX543" s="1284">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4">
        <f t="shared" si="298"/>
        <v>0</v>
      </c>
      <c r="AW544" s="1284">
        <f t="shared" si="299"/>
        <v>0</v>
      </c>
      <c r="AX544" s="1284">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4">
        <f t="shared" si="298"/>
        <v>0</v>
      </c>
      <c r="AW545" s="1284">
        <f t="shared" si="299"/>
        <v>0</v>
      </c>
      <c r="AX545" s="1284">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4">
        <f t="shared" si="298"/>
        <v>0</v>
      </c>
      <c r="AW546" s="1284">
        <f t="shared" si="299"/>
        <v>0</v>
      </c>
      <c r="AX546" s="1284">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4">
        <f t="shared" si="298"/>
        <v>0</v>
      </c>
      <c r="AW547" s="1284">
        <f t="shared" si="299"/>
        <v>0</v>
      </c>
      <c r="AX547" s="1284">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4">
        <f t="shared" si="298"/>
        <v>0</v>
      </c>
      <c r="AW548" s="1284">
        <f t="shared" si="299"/>
        <v>0</v>
      </c>
      <c r="AX548" s="1284">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4">
        <f t="shared" si="298"/>
        <v>0</v>
      </c>
      <c r="AW549" s="1284">
        <f t="shared" si="299"/>
        <v>0</v>
      </c>
      <c r="AX549" s="1284">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4">
        <f t="shared" si="298"/>
        <v>0</v>
      </c>
      <c r="AW550" s="1284">
        <f t="shared" si="299"/>
        <v>0</v>
      </c>
      <c r="AX550" s="1284">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4">
        <f t="shared" si="298"/>
        <v>0</v>
      </c>
      <c r="AW551" s="1284">
        <f t="shared" si="299"/>
        <v>0</v>
      </c>
      <c r="AX551" s="1284">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4">
        <f t="shared" si="298"/>
        <v>0</v>
      </c>
      <c r="AW552" s="1284">
        <f t="shared" si="299"/>
        <v>0</v>
      </c>
      <c r="AX552" s="1284">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4">
        <f t="shared" ref="AV553:AV587" si="330">A553</f>
        <v>0</v>
      </c>
      <c r="AW553" s="1284">
        <f t="shared" ref="AW553:AW587" si="331">B553</f>
        <v>0</v>
      </c>
      <c r="AX553" s="1284">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4">
        <f t="shared" si="330"/>
        <v>0</v>
      </c>
      <c r="AW554" s="1284">
        <f t="shared" si="331"/>
        <v>0</v>
      </c>
      <c r="AX554" s="1284">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4">
        <f t="shared" si="330"/>
        <v>0</v>
      </c>
      <c r="AW555" s="1284">
        <f t="shared" si="331"/>
        <v>0</v>
      </c>
      <c r="AX555" s="1284">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4">
        <f t="shared" si="330"/>
        <v>0</v>
      </c>
      <c r="AW556" s="1284">
        <f t="shared" si="331"/>
        <v>0</v>
      </c>
      <c r="AX556" s="1284">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4">
        <f t="shared" si="330"/>
        <v>0</v>
      </c>
      <c r="AW557" s="1284">
        <f t="shared" si="331"/>
        <v>0</v>
      </c>
      <c r="AX557" s="1284">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4">
        <f t="shared" si="330"/>
        <v>0</v>
      </c>
      <c r="AW558" s="1284">
        <f t="shared" si="331"/>
        <v>0</v>
      </c>
      <c r="AX558" s="1284">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4">
        <f t="shared" si="330"/>
        <v>0</v>
      </c>
      <c r="AW559" s="1284">
        <f t="shared" si="331"/>
        <v>0</v>
      </c>
      <c r="AX559" s="1284">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4">
        <f t="shared" si="330"/>
        <v>0</v>
      </c>
      <c r="AW560" s="1284">
        <f t="shared" si="331"/>
        <v>0</v>
      </c>
      <c r="AX560" s="1284">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4">
        <f t="shared" si="330"/>
        <v>0</v>
      </c>
      <c r="AW561" s="1284">
        <f t="shared" si="331"/>
        <v>0</v>
      </c>
      <c r="AX561" s="1284">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4">
        <f t="shared" si="330"/>
        <v>0</v>
      </c>
      <c r="AW562" s="1284">
        <f t="shared" si="331"/>
        <v>0</v>
      </c>
      <c r="AX562" s="1284">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4">
        <f t="shared" si="330"/>
        <v>0</v>
      </c>
      <c r="AW563" s="1284">
        <f t="shared" si="331"/>
        <v>0</v>
      </c>
      <c r="AX563" s="1284">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4">
        <f t="shared" si="330"/>
        <v>0</v>
      </c>
      <c r="AW564" s="1284">
        <f t="shared" si="331"/>
        <v>0</v>
      </c>
      <c r="AX564" s="1284">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4">
        <f t="shared" si="330"/>
        <v>0</v>
      </c>
      <c r="AW565" s="1284">
        <f t="shared" si="331"/>
        <v>0</v>
      </c>
      <c r="AX565" s="1284">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4">
        <f t="shared" si="330"/>
        <v>0</v>
      </c>
      <c r="AW566" s="1284">
        <f t="shared" si="331"/>
        <v>0</v>
      </c>
      <c r="AX566" s="1284">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4">
        <f t="shared" si="330"/>
        <v>0</v>
      </c>
      <c r="AW567" s="1284">
        <f t="shared" si="331"/>
        <v>0</v>
      </c>
      <c r="AX567" s="1284">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4">
        <f t="shared" si="330"/>
        <v>0</v>
      </c>
      <c r="AW568" s="1284">
        <f t="shared" si="331"/>
        <v>0</v>
      </c>
      <c r="AX568" s="1284">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4">
        <f t="shared" si="330"/>
        <v>0</v>
      </c>
      <c r="AW569" s="1284">
        <f t="shared" si="331"/>
        <v>0</v>
      </c>
      <c r="AX569" s="1284">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4">
        <f t="shared" si="330"/>
        <v>0</v>
      </c>
      <c r="AW570" s="1284">
        <f t="shared" si="331"/>
        <v>0</v>
      </c>
      <c r="AX570" s="1284">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4">
        <f t="shared" si="330"/>
        <v>0</v>
      </c>
      <c r="AW571" s="1284">
        <f t="shared" si="331"/>
        <v>0</v>
      </c>
      <c r="AX571" s="1284">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4">
        <f t="shared" si="330"/>
        <v>0</v>
      </c>
      <c r="AW572" s="1284">
        <f t="shared" si="331"/>
        <v>0</v>
      </c>
      <c r="AX572" s="1284">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4">
        <f t="shared" si="330"/>
        <v>0</v>
      </c>
      <c r="AW573" s="1284">
        <f t="shared" si="331"/>
        <v>0</v>
      </c>
      <c r="AX573" s="1284">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4">
        <f t="shared" si="330"/>
        <v>0</v>
      </c>
      <c r="AW574" s="1284">
        <f t="shared" si="331"/>
        <v>0</v>
      </c>
      <c r="AX574" s="1284">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4">
        <f t="shared" si="330"/>
        <v>0</v>
      </c>
      <c r="AW575" s="1284">
        <f t="shared" si="331"/>
        <v>0</v>
      </c>
      <c r="AX575" s="1284">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4">
        <f t="shared" si="330"/>
        <v>0</v>
      </c>
      <c r="AW576" s="1284">
        <f t="shared" si="331"/>
        <v>0</v>
      </c>
      <c r="AX576" s="1284">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4">
        <f t="shared" si="330"/>
        <v>0</v>
      </c>
      <c r="AW577" s="1284">
        <f t="shared" si="331"/>
        <v>0</v>
      </c>
      <c r="AX577" s="1284">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4">
        <f t="shared" si="330"/>
        <v>0</v>
      </c>
      <c r="AW578" s="1284">
        <f t="shared" si="331"/>
        <v>0</v>
      </c>
      <c r="AX578" s="1284">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4">
        <f t="shared" si="330"/>
        <v>0</v>
      </c>
      <c r="AW579" s="1284">
        <f t="shared" si="331"/>
        <v>0</v>
      </c>
      <c r="AX579" s="1284">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4">
        <f t="shared" si="330"/>
        <v>0</v>
      </c>
      <c r="AW580" s="1284">
        <f t="shared" si="331"/>
        <v>0</v>
      </c>
      <c r="AX580" s="1284">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4">
        <f t="shared" si="330"/>
        <v>0</v>
      </c>
      <c r="AW581" s="1284">
        <f t="shared" si="331"/>
        <v>0</v>
      </c>
      <c r="AX581" s="1284">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4">
        <f t="shared" si="330"/>
        <v>0</v>
      </c>
      <c r="AW582" s="1284">
        <f t="shared" si="331"/>
        <v>0</v>
      </c>
      <c r="AX582" s="1284">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4">
        <f t="shared" si="330"/>
        <v>0</v>
      </c>
      <c r="AW583" s="1284">
        <f t="shared" si="331"/>
        <v>0</v>
      </c>
      <c r="AX583" s="1284">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4">
        <f t="shared" si="330"/>
        <v>0</v>
      </c>
      <c r="AW584" s="1284">
        <f t="shared" si="331"/>
        <v>0</v>
      </c>
      <c r="AX584" s="1284">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4">
        <f t="shared" si="330"/>
        <v>0</v>
      </c>
      <c r="AW585" s="1284">
        <f t="shared" si="331"/>
        <v>0</v>
      </c>
      <c r="AX585" s="1284">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4">
        <f t="shared" si="330"/>
        <v>0</v>
      </c>
      <c r="AW586" s="1284">
        <f t="shared" si="331"/>
        <v>0</v>
      </c>
      <c r="AX586" s="1284">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4">
        <f t="shared" si="330"/>
        <v>0</v>
      </c>
      <c r="AW587" s="1284">
        <f t="shared" si="331"/>
        <v>0</v>
      </c>
      <c r="AX587" s="1284">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R45" sqref="R45"/>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1125</v>
      </c>
      <c r="B1" s="2437"/>
      <c r="C1" s="2437"/>
      <c r="D1" s="2437"/>
      <c r="E1" s="2437"/>
      <c r="F1" s="2437"/>
      <c r="G1" s="2437"/>
      <c r="H1" s="2437"/>
      <c r="I1" s="2437"/>
      <c r="J1" s="2437"/>
      <c r="K1" s="2437"/>
      <c r="L1" s="2437"/>
      <c r="M1" s="2437"/>
      <c r="N1" s="2437"/>
      <c r="O1" s="2437"/>
      <c r="P1" s="2437"/>
    </row>
    <row r="2" spans="1:16" ht="15">
      <c r="A2" s="3681" t="s">
        <v>1126</v>
      </c>
      <c r="B2" s="3681"/>
      <c r="C2" s="3681"/>
      <c r="D2" s="2279" t="s">
        <v>1127</v>
      </c>
      <c r="E2" s="2933" t="s">
        <v>1128</v>
      </c>
      <c r="F2" s="2934"/>
      <c r="G2" s="2935"/>
      <c r="H2" s="2936"/>
      <c r="I2" s="2586" t="s">
        <v>1129</v>
      </c>
      <c r="J2" s="2934"/>
      <c r="K2" s="2934"/>
      <c r="L2" s="2934"/>
      <c r="M2" s="2934"/>
      <c r="N2" s="1410"/>
      <c r="O2" s="2934"/>
      <c r="P2" s="2934"/>
    </row>
    <row r="3" spans="1:16" ht="15">
      <c r="A3" s="3682" t="s">
        <v>1130</v>
      </c>
      <c r="B3" s="3682"/>
      <c r="C3" s="3682"/>
      <c r="D3" s="2937">
        <f>'数据-基础表'!AY6</f>
        <v>0</v>
      </c>
      <c r="E3" s="2937">
        <f>'数据-基础表'!AZ5</f>
        <v>38.93</v>
      </c>
      <c r="F3" s="2934"/>
      <c r="G3" s="2938"/>
      <c r="H3" s="2389" t="s">
        <v>1131</v>
      </c>
      <c r="I3" s="2997" t="e">
        <f>ROUND('数据-基础表'!B3/'数据-基础表'!A3,2)</f>
        <v>#DIV/0!</v>
      </c>
      <c r="J3" s="2934"/>
      <c r="K3" s="2934"/>
      <c r="L3" s="2934"/>
      <c r="M3" s="2934"/>
      <c r="N3" s="1410"/>
      <c r="O3" s="2934"/>
      <c r="P3" s="2934"/>
    </row>
    <row r="4" spans="1:16" ht="15">
      <c r="A4" s="3683"/>
      <c r="B4" s="3684"/>
      <c r="C4" s="3685"/>
      <c r="D4" s="2939" t="s">
        <v>1127</v>
      </c>
      <c r="E4" s="2940" t="s">
        <v>1128</v>
      </c>
      <c r="F4" s="2934"/>
      <c r="G4" s="2941" t="s">
        <v>1132</v>
      </c>
      <c r="H4" s="2389" t="s">
        <v>1133</v>
      </c>
      <c r="I4" s="2997" t="e">
        <f>ROUND(SUMIF('数据-基础表'!I9:AS9,"地上",'数据-基础表'!I5:AS5)/'数据-基础表'!A3,2)</f>
        <v>#DIV/0!</v>
      </c>
      <c r="J4" s="2934"/>
      <c r="K4" s="2934"/>
      <c r="L4" s="2934"/>
      <c r="M4" s="2934"/>
      <c r="N4" s="1410"/>
      <c r="O4" s="2934"/>
      <c r="P4" s="2934"/>
    </row>
    <row r="5" spans="1:16">
      <c r="A5" s="2942" t="s">
        <v>1134</v>
      </c>
      <c r="B5" s="3686" t="s">
        <v>1135</v>
      </c>
      <c r="C5" s="3686"/>
      <c r="D5" s="2943">
        <f>ROUND($D$3*E5/$E$3,2)</f>
        <v>0</v>
      </c>
      <c r="E5" s="2944">
        <f>SUMIF('数据-基础表'!$11:$11,"住宅",'数据-基础表'!$5:$5)</f>
        <v>0</v>
      </c>
      <c r="F5" s="2934"/>
      <c r="G5" s="2938"/>
      <c r="H5" s="2389" t="s">
        <v>1131</v>
      </c>
      <c r="I5" s="2997" t="e">
        <f>ROUND(E31/D31,2)</f>
        <v>#DIV/0!</v>
      </c>
      <c r="J5" s="2934"/>
      <c r="K5" s="2934"/>
      <c r="L5" s="2934"/>
      <c r="M5" s="2934"/>
      <c r="N5" s="2934"/>
      <c r="O5" s="2934"/>
      <c r="P5" s="2934"/>
    </row>
    <row r="6" spans="1:16">
      <c r="A6" s="2945"/>
      <c r="B6" s="3686" t="s">
        <v>1136</v>
      </c>
      <c r="C6" s="3686"/>
      <c r="D6" s="2943">
        <f>ROUND($D$3*E6/$E$3,2)</f>
        <v>0</v>
      </c>
      <c r="E6" s="2944">
        <f>E3-E5</f>
        <v>38.93</v>
      </c>
      <c r="F6" s="2934"/>
      <c r="G6" s="2946" t="s">
        <v>1137</v>
      </c>
      <c r="H6" s="2947" t="s">
        <v>1133</v>
      </c>
      <c r="I6" s="2998" t="e">
        <f>ROUND(F31/D31,2)</f>
        <v>#DIV/0!</v>
      </c>
      <c r="J6" s="2934"/>
      <c r="K6" s="2934"/>
      <c r="L6" s="2934"/>
      <c r="M6" s="2934"/>
      <c r="N6" s="2934"/>
      <c r="O6" s="2934"/>
      <c r="P6" s="2934"/>
    </row>
    <row r="7" spans="1:16" ht="15">
      <c r="A7" s="3672"/>
      <c r="B7" s="3673"/>
      <c r="C7" s="3674"/>
      <c r="D7" s="2939" t="s">
        <v>1127</v>
      </c>
      <c r="E7" s="2948" t="s">
        <v>1138</v>
      </c>
      <c r="F7" s="2934"/>
      <c r="G7" s="2949" t="s">
        <v>1139</v>
      </c>
      <c r="H7" s="2950"/>
      <c r="I7" s="2999">
        <f>'基准地价修正-工业'!C21</f>
        <v>2</v>
      </c>
      <c r="J7" s="2934"/>
      <c r="K7" s="2934"/>
      <c r="L7" s="2934"/>
      <c r="M7" s="2934"/>
      <c r="N7" s="2934"/>
      <c r="O7" s="2934"/>
      <c r="P7" s="2934"/>
    </row>
    <row r="8" spans="1:16">
      <c r="A8" s="2942" t="s">
        <v>1140</v>
      </c>
      <c r="B8" s="2951" t="s">
        <v>1141</v>
      </c>
      <c r="C8" s="2943" t="s">
        <v>1142</v>
      </c>
      <c r="D8" s="2943">
        <f t="shared" ref="D8:D15" si="0">ROUND($D$3*E8/$E$3,2)</f>
        <v>0</v>
      </c>
      <c r="E8" s="2952">
        <f>SUMIF('数据-基础表'!BB10:BK10,"地上",'数据-基础表'!BB5:BK5)</f>
        <v>38.93</v>
      </c>
      <c r="F8" s="2934"/>
      <c r="G8" s="2953"/>
      <c r="H8" s="2953"/>
      <c r="I8" s="2934"/>
      <c r="J8" s="2934"/>
      <c r="K8" s="2934"/>
      <c r="L8" s="2934"/>
      <c r="M8" s="2934"/>
      <c r="N8" s="2934"/>
      <c r="O8" s="2934"/>
      <c r="P8" s="2934"/>
    </row>
    <row r="9" spans="1:16">
      <c r="A9" s="2954"/>
      <c r="B9" s="2955"/>
      <c r="C9" s="2943" t="s">
        <v>1143</v>
      </c>
      <c r="D9" s="2943">
        <f t="shared" si="0"/>
        <v>0</v>
      </c>
      <c r="E9" s="2956">
        <v>0</v>
      </c>
      <c r="F9" s="2934"/>
      <c r="G9" s="2953"/>
      <c r="H9" s="2953"/>
      <c r="I9" s="2934"/>
      <c r="J9" s="2934"/>
      <c r="K9" s="2934"/>
      <c r="L9" s="2934"/>
      <c r="M9" s="2934"/>
      <c r="N9" s="2934"/>
      <c r="O9" s="2934"/>
      <c r="P9" s="2934"/>
    </row>
    <row r="10" spans="1:16">
      <c r="A10" s="2954"/>
      <c r="B10" s="2955"/>
      <c r="C10" s="2943" t="s">
        <v>1144</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1145</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1146</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1147</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1148</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1149</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1150</v>
      </c>
      <c r="D16" s="2951">
        <f>SUM(D8:D15)</f>
        <v>0</v>
      </c>
      <c r="E16" s="2957">
        <f>SUM(E8:E15)</f>
        <v>38.93</v>
      </c>
      <c r="F16" s="2934"/>
      <c r="G16" s="2953"/>
      <c r="H16" s="2958" t="s">
        <v>1151</v>
      </c>
      <c r="I16" s="3000"/>
      <c r="J16" s="2437"/>
      <c r="K16" s="3675" t="s">
        <v>1151</v>
      </c>
      <c r="L16" s="3676"/>
      <c r="M16" s="3676"/>
      <c r="N16" s="3676"/>
      <c r="O16" s="3676"/>
      <c r="P16" s="3677"/>
    </row>
    <row r="17" spans="1:19" ht="15">
      <c r="A17" s="2896" t="s">
        <v>1152</v>
      </c>
      <c r="B17" s="2959" t="s">
        <v>1153</v>
      </c>
      <c r="C17" s="2895" t="s">
        <v>1154</v>
      </c>
      <c r="D17" s="2960" t="s">
        <v>1127</v>
      </c>
      <c r="E17" s="2961" t="s">
        <v>1128</v>
      </c>
      <c r="F17" s="2962"/>
      <c r="G17" s="2963"/>
      <c r="H17" s="2964" t="s">
        <v>1155</v>
      </c>
      <c r="I17" s="3001" t="s">
        <v>1156</v>
      </c>
      <c r="J17" s="2437"/>
      <c r="K17" s="3678" t="s">
        <v>1157</v>
      </c>
      <c r="L17" s="3679"/>
      <c r="M17" s="3680"/>
      <c r="N17" s="3678" t="s">
        <v>1158</v>
      </c>
      <c r="O17" s="3679"/>
      <c r="P17" s="3680"/>
      <c r="R17" s="3014" t="s">
        <v>1159</v>
      </c>
      <c r="S17" s="2378"/>
    </row>
    <row r="18" spans="1:19" ht="15">
      <c r="A18" s="2954"/>
      <c r="B18" s="2965"/>
      <c r="C18" s="2966"/>
      <c r="D18" s="2967"/>
      <c r="E18" s="2968" t="s">
        <v>1160</v>
      </c>
      <c r="F18" s="2969" t="s">
        <v>1133</v>
      </c>
      <c r="G18" s="2970" t="s">
        <v>1161</v>
      </c>
      <c r="H18" s="2901" t="s">
        <v>1162</v>
      </c>
      <c r="I18" s="3002" t="s">
        <v>1163</v>
      </c>
      <c r="J18" s="2437"/>
      <c r="K18" s="2901" t="s">
        <v>1164</v>
      </c>
      <c r="L18" s="2599" t="s">
        <v>1165</v>
      </c>
      <c r="M18" s="2997" t="s">
        <v>1166</v>
      </c>
      <c r="N18" s="2901" t="s">
        <v>1164</v>
      </c>
      <c r="O18" s="2599" t="s">
        <v>1165</v>
      </c>
      <c r="P18" s="2997" t="s">
        <v>1166</v>
      </c>
      <c r="R18" s="2389" t="s">
        <v>1162</v>
      </c>
      <c r="S18" s="2389" t="s">
        <v>1163</v>
      </c>
    </row>
    <row r="19" spans="1:19">
      <c r="A19" s="2971"/>
      <c r="B19" s="2951" t="s">
        <v>1167</v>
      </c>
      <c r="C19" s="2972" t="s">
        <v>3406</v>
      </c>
      <c r="D19" s="2943">
        <f>ROUND($D$3*E19/$E$3,2)</f>
        <v>0</v>
      </c>
      <c r="E19" s="2973">
        <f t="shared" ref="E19:E26" si="1">SUM(F19:G19)</f>
        <v>38.93</v>
      </c>
      <c r="F19" s="2974">
        <v>38.93</v>
      </c>
      <c r="G19" s="2975"/>
      <c r="H19" s="2885">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38.93</v>
      </c>
    </row>
    <row r="20" spans="1:19">
      <c r="A20" s="2976"/>
      <c r="B20" s="2951" t="s">
        <v>1167</v>
      </c>
      <c r="C20" s="2972"/>
      <c r="D20" s="2943">
        <f t="shared" ref="D20:D26" si="6">ROUND($D$3*E20/$E$3,2)</f>
        <v>0</v>
      </c>
      <c r="E20" s="2973">
        <f t="shared" si="1"/>
        <v>0</v>
      </c>
      <c r="F20" s="2974"/>
      <c r="G20" s="2975"/>
      <c r="H20" s="2885">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1167</v>
      </c>
      <c r="C21" s="2972"/>
      <c r="D21" s="2943">
        <f t="shared" si="6"/>
        <v>0</v>
      </c>
      <c r="E21" s="2973">
        <f t="shared" si="1"/>
        <v>0</v>
      </c>
      <c r="F21" s="2974"/>
      <c r="G21" s="2975"/>
      <c r="H21" s="2885">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1167</v>
      </c>
      <c r="C22" s="2977"/>
      <c r="D22" s="2943">
        <f t="shared" si="6"/>
        <v>0</v>
      </c>
      <c r="E22" s="2973">
        <f t="shared" si="1"/>
        <v>0</v>
      </c>
      <c r="F22" s="2978"/>
      <c r="G22" s="2979"/>
      <c r="H22" s="2885">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1167</v>
      </c>
      <c r="C23" s="2977"/>
      <c r="D23" s="2943">
        <f t="shared" si="6"/>
        <v>0</v>
      </c>
      <c r="E23" s="2973">
        <f t="shared" si="1"/>
        <v>0</v>
      </c>
      <c r="F23" s="2978"/>
      <c r="G23" s="2979"/>
      <c r="H23" s="2885">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1167</v>
      </c>
      <c r="C24" s="2977"/>
      <c r="D24" s="2943">
        <f t="shared" si="6"/>
        <v>0</v>
      </c>
      <c r="E24" s="2973">
        <f t="shared" si="1"/>
        <v>0</v>
      </c>
      <c r="F24" s="2978"/>
      <c r="G24" s="2979"/>
      <c r="H24" s="2885">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1167</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1167</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1168</v>
      </c>
      <c r="D27" s="2981">
        <f>SUM(D19:D26)</f>
        <v>0</v>
      </c>
      <c r="E27" s="2982">
        <f>IF(SUM(E19:E26)='数据-基础表'!BA5,SUM(E19:E26),IF(F27="地上面积有误","面积有误","地下面积有误"))</f>
        <v>38.93</v>
      </c>
      <c r="F27" s="2981">
        <f>IF(SUM(F19:F26)=E8,SUM(F19:F26),"地上面积有误")</f>
        <v>38.93</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38.93</v>
      </c>
    </row>
    <row r="28" spans="1:19">
      <c r="A28" s="2976"/>
      <c r="B28" s="2951" t="s">
        <v>1169</v>
      </c>
      <c r="C28" s="2904" t="s">
        <v>1170</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1169</v>
      </c>
      <c r="C29" s="2435" t="s">
        <v>1171</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1168</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1172</v>
      </c>
      <c r="D31" s="2991">
        <f>D27+D30</f>
        <v>0</v>
      </c>
      <c r="E31" s="2991">
        <f>E27+E30</f>
        <v>38.93</v>
      </c>
      <c r="F31" s="2992">
        <f>F27+F30</f>
        <v>38.93</v>
      </c>
      <c r="G31" s="2993">
        <f>G27+G30</f>
        <v>0</v>
      </c>
      <c r="H31" s="2934"/>
      <c r="I31" s="2934"/>
      <c r="J31" s="2934"/>
      <c r="K31" s="2934"/>
      <c r="L31" s="2934"/>
      <c r="M31" s="2934"/>
      <c r="N31" s="2934"/>
      <c r="O31" s="2934"/>
      <c r="P31" s="2934"/>
    </row>
    <row r="32" spans="1:19">
      <c r="A32" s="2994"/>
      <c r="B32" s="2994" t="s">
        <v>1173</v>
      </c>
      <c r="C32" s="2994"/>
      <c r="D32" s="2994"/>
      <c r="E32" s="2995">
        <f>SUMIF(C19:C26,"*住宅*",E19:E26)</f>
        <v>0</v>
      </c>
      <c r="F32" s="2994"/>
      <c r="G32" s="2994"/>
      <c r="H32" s="2934"/>
      <c r="I32" s="2934"/>
      <c r="J32" s="2934"/>
      <c r="K32" s="2934"/>
      <c r="L32" s="2934"/>
      <c r="M32" s="2934"/>
      <c r="N32" s="2934"/>
      <c r="O32" s="2934"/>
      <c r="P32" s="2934"/>
    </row>
    <row r="33" spans="4:7">
      <c r="D33" s="2996"/>
    </row>
    <row r="34" spans="4:7">
      <c r="F34" s="2931">
        <v>30000</v>
      </c>
      <c r="G34" s="2931">
        <v>4000</v>
      </c>
    </row>
    <row r="35" spans="4:7">
      <c r="F35" s="2931">
        <f>F19*F34+G34*G20</f>
        <v>1167900</v>
      </c>
    </row>
    <row r="36" spans="4:7">
      <c r="F36" s="2931">
        <f>F35/10000</f>
        <v>116.79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pane="topRight"/>
      <selection pane="bottomLeft"/>
      <selection pane="bottomRight" activeCell="AA42" sqref="AA42"/>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1174</v>
      </c>
      <c r="B1" s="2740"/>
      <c r="C1" s="2068"/>
      <c r="D1" s="2741"/>
      <c r="E1" s="2068"/>
      <c r="F1" s="2068"/>
      <c r="G1" s="2068"/>
      <c r="H1" s="2068"/>
      <c r="I1" s="2068"/>
      <c r="J1" s="2068"/>
      <c r="K1" s="993"/>
      <c r="L1" s="993"/>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1" customFormat="1" ht="15">
      <c r="A2" s="2742" t="s">
        <v>1175</v>
      </c>
      <c r="B2" s="2743">
        <f>项目基本情况!D3</f>
        <v>45300</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30" t="s">
        <v>1176</v>
      </c>
      <c r="B4" s="2396"/>
      <c r="C4" s="2748"/>
      <c r="D4" s="2749"/>
      <c r="E4" s="2748" t="s">
        <v>1177</v>
      </c>
      <c r="F4" s="2748"/>
      <c r="G4" s="2748"/>
      <c r="H4" s="2748"/>
      <c r="I4" s="2748"/>
      <c r="J4" s="2842"/>
      <c r="K4" s="2843"/>
      <c r="L4" s="2844"/>
      <c r="M4" s="2748"/>
      <c r="N4" s="2748" t="s">
        <v>1178</v>
      </c>
      <c r="O4" s="2748"/>
      <c r="P4" s="2748"/>
      <c r="Q4" s="2748"/>
      <c r="R4" s="2748"/>
      <c r="S4" s="2842"/>
      <c r="T4" s="2868" t="str">
        <f>'数据-汇总表'!I17</f>
        <v>按面积比例</v>
      </c>
      <c r="U4" s="2396" t="s">
        <v>1179</v>
      </c>
      <c r="V4" s="2748"/>
      <c r="W4" s="2748"/>
      <c r="X4" s="2748"/>
      <c r="Y4" s="2842"/>
      <c r="Z4" s="2895" t="s">
        <v>1180</v>
      </c>
      <c r="AA4" s="2895"/>
      <c r="AB4" s="2895"/>
      <c r="AC4" s="2895"/>
      <c r="AD4" s="2895"/>
      <c r="AE4" s="2896" t="s">
        <v>1181</v>
      </c>
      <c r="AF4" s="2895"/>
      <c r="AG4" s="2908"/>
      <c r="AH4" s="2396"/>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1154</v>
      </c>
      <c r="B5" s="2751" t="s">
        <v>1153</v>
      </c>
      <c r="C5" s="2752" t="s">
        <v>1182</v>
      </c>
      <c r="D5" s="2753" t="s">
        <v>1183</v>
      </c>
      <c r="E5" s="2754" t="s">
        <v>1184</v>
      </c>
      <c r="F5" s="2755" t="s">
        <v>1185</v>
      </c>
      <c r="G5" s="2754" t="s">
        <v>1186</v>
      </c>
      <c r="H5" s="2754" t="s">
        <v>1187</v>
      </c>
      <c r="I5" s="2754" t="s">
        <v>1188</v>
      </c>
      <c r="J5" s="2845" t="s">
        <v>1189</v>
      </c>
      <c r="K5" s="2846" t="s">
        <v>1163</v>
      </c>
      <c r="L5" s="2847" t="s">
        <v>1190</v>
      </c>
      <c r="M5" s="2848" t="s">
        <v>1191</v>
      </c>
      <c r="N5" s="2849" t="s">
        <v>1192</v>
      </c>
      <c r="O5" s="2847" t="s">
        <v>1193</v>
      </c>
      <c r="P5" s="2850" t="s">
        <v>1194</v>
      </c>
      <c r="Q5" s="1417" t="s">
        <v>1195</v>
      </c>
      <c r="R5" s="2869" t="s">
        <v>1196</v>
      </c>
      <c r="S5" s="2870" t="s">
        <v>1197</v>
      </c>
      <c r="T5" s="2871" t="s">
        <v>1198</v>
      </c>
      <c r="U5" s="2872" t="s">
        <v>1199</v>
      </c>
      <c r="V5" s="2754" t="s">
        <v>1200</v>
      </c>
      <c r="W5" s="2754" t="s">
        <v>1201</v>
      </c>
      <c r="X5" s="1103"/>
      <c r="Y5" s="1547" t="s">
        <v>1202</v>
      </c>
      <c r="Z5" s="2897" t="s">
        <v>1199</v>
      </c>
      <c r="AA5" s="2754" t="s">
        <v>1200</v>
      </c>
      <c r="AB5" s="2754" t="s">
        <v>1201</v>
      </c>
      <c r="AC5" s="1103"/>
      <c r="AD5" s="1103" t="s">
        <v>1202</v>
      </c>
      <c r="AE5" s="2872" t="s">
        <v>1203</v>
      </c>
      <c r="AF5" s="2754" t="s">
        <v>1204</v>
      </c>
      <c r="AG5" s="1547" t="s">
        <v>1205</v>
      </c>
      <c r="AH5" s="2872" t="s">
        <v>1206</v>
      </c>
      <c r="AI5" s="2897" t="s">
        <v>1207</v>
      </c>
      <c r="AJ5" s="2897" t="s">
        <v>1208</v>
      </c>
      <c r="AK5" s="2754" t="s">
        <v>1209</v>
      </c>
      <c r="AL5" s="2754" t="s">
        <v>1210</v>
      </c>
      <c r="AM5" s="1547" t="s">
        <v>1211</v>
      </c>
      <c r="AN5" s="2909" t="s">
        <v>1212</v>
      </c>
      <c r="AO5" s="2924" t="s">
        <v>1213</v>
      </c>
      <c r="AP5" s="2925" t="s">
        <v>1214</v>
      </c>
      <c r="AQ5" s="2926" t="s">
        <v>1215</v>
      </c>
      <c r="AR5" s="2926" t="s">
        <v>1216</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科研</v>
      </c>
      <c r="B6" s="2757" t="str">
        <f>IF(A6=0,"","经营性")</f>
        <v>经营性</v>
      </c>
      <c r="C6" s="2758" t="s">
        <v>409</v>
      </c>
      <c r="D6" s="2759">
        <f>SUMIF(项目基本情况!C$12:I$12,C6,项目基本情况!C$14:I$14)</f>
        <v>50</v>
      </c>
      <c r="E6" s="2760">
        <f>IF(B6="","",SUMIF(项目基本情况!C$12:I$12,C6,项目基本情况!C$13:I$13))</f>
        <v>55840</v>
      </c>
      <c r="F6" s="2761">
        <f>SUMIF(项目基本情况!C$12:I$12,C6,项目基本情况!C$15:I$15)</f>
        <v>28.87</v>
      </c>
      <c r="G6" s="2762">
        <f>IF(ISERROR(ROUND(POWER(1+H6,D6-F6)*(POWER(1+H6,F6)-1)/(POWER(1+H6,D6)-1),3)),0,ROUND(POWER(1+H6,D6-F6)*(POWER(1+H6,F6)-1)/(POWER(1+H6,D6)-1),3))</f>
        <v>0.82799999999999996</v>
      </c>
      <c r="H6" s="2763">
        <v>0.05</v>
      </c>
      <c r="I6" s="2763">
        <v>5.5E-2</v>
      </c>
      <c r="J6" s="2764">
        <v>7.0000000000000007E-2</v>
      </c>
      <c r="K6" s="2851">
        <f>SUMIF('数据-汇总表'!C$19:C$33,A6,'数据-汇总表'!E$19:E$33)</f>
        <v>38.93</v>
      </c>
      <c r="L6" s="2852">
        <v>4500</v>
      </c>
      <c r="M6" s="2853">
        <f t="shared" ref="M6:M14" si="0">ROUND(K6*L6/10000,0)</f>
        <v>18</v>
      </c>
      <c r="N6" s="2854">
        <f>N21</f>
        <v>0.82</v>
      </c>
      <c r="O6" s="2853" t="str">
        <f>IF($N$5="成新度","——",ROUND(M6*N6,0))</f>
        <v>——</v>
      </c>
      <c r="P6" s="2855" t="str">
        <f>IF($N$5="成新度","——",M6-O6)</f>
        <v>——</v>
      </c>
      <c r="Q6" s="2873">
        <v>0.15</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v>2.5</v>
      </c>
      <c r="V6" s="2878">
        <v>2.5000000000000001E-2</v>
      </c>
      <c r="W6" s="2878">
        <v>0.1</v>
      </c>
      <c r="X6" s="2879"/>
      <c r="Y6" s="2898">
        <f>N6</f>
        <v>0.82</v>
      </c>
      <c r="Z6" s="2899"/>
      <c r="AA6" s="2764"/>
      <c r="AB6" s="2764"/>
      <c r="AC6" s="2879"/>
      <c r="AD6" s="2900"/>
      <c r="AE6" s="2901">
        <f ca="1">IF(AN6="",0,SUMIF(INDIRECT("'"&amp;AN6&amp;"'"&amp;"!E:E"),$AE$5,INDIRECT("'"&amp;AN6&amp;"'"&amp;"!F:F")))</f>
        <v>28.87</v>
      </c>
      <c r="AF6" s="2375"/>
      <c r="AG6" s="1728">
        <f>IF(AF6="",0,AE6-AF6)</f>
        <v>0</v>
      </c>
      <c r="AH6" s="2910"/>
      <c r="AI6" s="2911">
        <v>365</v>
      </c>
      <c r="AJ6" s="2912"/>
      <c r="AK6" s="2913">
        <v>5.0000000000000001E-3</v>
      </c>
      <c r="AL6" s="2914">
        <v>1E-3</v>
      </c>
      <c r="AM6" s="2915">
        <v>5.0000000000000001E-3</v>
      </c>
      <c r="AN6" s="2916" t="s">
        <v>3389</v>
      </c>
      <c r="AO6" s="1295">
        <f ca="1">SUMIF(INDIRECT("'"&amp;AN6&amp;"'"&amp;"!A:A"),"总价",INDIRECT("'"&amp;AN6&amp;"'"&amp;"!B:B"))</f>
        <v>48.3812</v>
      </c>
      <c r="AP6" s="2927">
        <f>IF(C6="住宅",K6*L6,0)</f>
        <v>0</v>
      </c>
      <c r="AQ6" s="1295">
        <f>ROUND($L$14*$N$14*S6/10000,0)</f>
        <v>0</v>
      </c>
      <c r="AR6" s="1295">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4"/>
      <c r="AB7" s="2764"/>
      <c r="AC7" s="2879"/>
      <c r="AD7" s="2900"/>
      <c r="AE7" s="2901">
        <f t="shared" ref="AE7:AE13" ca="1" si="6">IF(AN7="",0,SUMIF(INDIRECT("'"&amp;AN7&amp;"'"&amp;"!E:E"),$AE$5,INDIRECT("'"&amp;AN7&amp;"'"&amp;"!F:F")))</f>
        <v>0</v>
      </c>
      <c r="AF7" s="2375"/>
      <c r="AG7" s="1728">
        <f t="shared" ref="AG7:AG13" si="7">IF(AF7="",0,AE7-AF7)</f>
        <v>0</v>
      </c>
      <c r="AH7" s="2910"/>
      <c r="AI7" s="2911"/>
      <c r="AJ7" s="2912"/>
      <c r="AK7" s="2913"/>
      <c r="AL7" s="2914"/>
      <c r="AM7" s="2915"/>
      <c r="AN7" s="2916"/>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4"/>
      <c r="AB8" s="2764"/>
      <c r="AC8" s="2879"/>
      <c r="AD8" s="2900"/>
      <c r="AE8" s="2901">
        <f t="shared" ca="1" si="6"/>
        <v>0</v>
      </c>
      <c r="AF8" s="2375"/>
      <c r="AG8" s="1728">
        <f t="shared" si="7"/>
        <v>0</v>
      </c>
      <c r="AH8" s="2917"/>
      <c r="AI8" s="2911"/>
      <c r="AJ8" s="2912"/>
      <c r="AK8" s="2913"/>
      <c r="AL8" s="2914"/>
      <c r="AM8" s="2915"/>
      <c r="AN8" s="2916"/>
      <c r="AO8" s="1295" t="e">
        <f t="shared" ca="1" si="8"/>
        <v>#REF!</v>
      </c>
      <c r="AP8" s="2927">
        <f t="shared" si="9"/>
        <v>0</v>
      </c>
      <c r="AQ8" s="1295">
        <f t="shared" si="10"/>
        <v>0</v>
      </c>
      <c r="AR8" s="1295">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4"/>
      <c r="AB9" s="2764"/>
      <c r="AC9" s="2879"/>
      <c r="AD9" s="2900"/>
      <c r="AE9" s="2901">
        <f t="shared" ca="1" si="6"/>
        <v>0</v>
      </c>
      <c r="AF9" s="2375"/>
      <c r="AG9" s="1728">
        <f t="shared" si="7"/>
        <v>0</v>
      </c>
      <c r="AH9" s="2910"/>
      <c r="AI9" s="2911"/>
      <c r="AJ9" s="2912"/>
      <c r="AK9" s="2913"/>
      <c r="AL9" s="2914"/>
      <c r="AM9" s="2915"/>
      <c r="AN9" s="2916"/>
      <c r="AO9" s="1295" t="e">
        <f t="shared" ca="1" si="8"/>
        <v>#REF!</v>
      </c>
      <c r="AP9" s="2927">
        <f t="shared" si="9"/>
        <v>0</v>
      </c>
      <c r="AQ9" s="1295">
        <f t="shared" si="10"/>
        <v>0</v>
      </c>
      <c r="AR9" s="1295">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4"/>
      <c r="AB10" s="2764"/>
      <c r="AC10" s="2879"/>
      <c r="AD10" s="2900"/>
      <c r="AE10" s="2901">
        <f t="shared" ca="1" si="6"/>
        <v>0</v>
      </c>
      <c r="AF10" s="2375"/>
      <c r="AG10" s="1728">
        <f t="shared" si="7"/>
        <v>0</v>
      </c>
      <c r="AH10" s="2910"/>
      <c r="AI10" s="2911"/>
      <c r="AJ10" s="2912"/>
      <c r="AK10" s="2913"/>
      <c r="AL10" s="2914"/>
      <c r="AM10" s="2915"/>
      <c r="AN10" s="2916"/>
      <c r="AO10" s="1295" t="e">
        <f t="shared" ca="1" si="8"/>
        <v>#REF!</v>
      </c>
      <c r="AP10" s="2927">
        <f t="shared" si="9"/>
        <v>0</v>
      </c>
      <c r="AQ10" s="1295">
        <f t="shared" si="10"/>
        <v>0</v>
      </c>
      <c r="AR10" s="1295">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4"/>
      <c r="W11" s="2764"/>
      <c r="X11" s="2879"/>
      <c r="Y11" s="2898"/>
      <c r="Z11" s="2902"/>
      <c r="AA11" s="2764"/>
      <c r="AB11" s="2764"/>
      <c r="AC11" s="2879"/>
      <c r="AD11" s="2900"/>
      <c r="AE11" s="2901">
        <f t="shared" ca="1" si="6"/>
        <v>0</v>
      </c>
      <c r="AF11" s="2375"/>
      <c r="AG11" s="1728">
        <f t="shared" si="7"/>
        <v>0</v>
      </c>
      <c r="AH11" s="2910"/>
      <c r="AI11" s="2911"/>
      <c r="AJ11" s="2912"/>
      <c r="AK11" s="2918"/>
      <c r="AL11" s="2919"/>
      <c r="AM11" s="2920"/>
      <c r="AN11" s="2916"/>
      <c r="AO11" s="1295" t="e">
        <f t="shared" ca="1" si="8"/>
        <v>#REF!</v>
      </c>
      <c r="AP11" s="2927">
        <f t="shared" si="9"/>
        <v>0</v>
      </c>
      <c r="AQ11" s="1295">
        <f t="shared" si="10"/>
        <v>0</v>
      </c>
      <c r="AR11" s="1295">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4"/>
      <c r="W12" s="2764"/>
      <c r="X12" s="2879"/>
      <c r="Y12" s="2898"/>
      <c r="Z12" s="2902"/>
      <c r="AA12" s="2764"/>
      <c r="AB12" s="2764"/>
      <c r="AC12" s="2879"/>
      <c r="AD12" s="2900"/>
      <c r="AE12" s="2901">
        <f t="shared" ca="1" si="6"/>
        <v>0</v>
      </c>
      <c r="AF12" s="2375"/>
      <c r="AG12" s="1728">
        <f t="shared" si="7"/>
        <v>0</v>
      </c>
      <c r="AH12" s="2910"/>
      <c r="AI12" s="2911"/>
      <c r="AJ12" s="2912"/>
      <c r="AK12" s="2918"/>
      <c r="AL12" s="2919"/>
      <c r="AM12" s="2920"/>
      <c r="AN12" s="2916"/>
      <c r="AO12" s="1295" t="e">
        <f t="shared" ca="1" si="8"/>
        <v>#REF!</v>
      </c>
      <c r="AP12" s="2927">
        <f t="shared" si="9"/>
        <v>0</v>
      </c>
      <c r="AQ12" s="1295">
        <f t="shared" si="10"/>
        <v>0</v>
      </c>
      <c r="AR12" s="1295">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4"/>
      <c r="AB13" s="2764"/>
      <c r="AC13" s="2879"/>
      <c r="AD13" s="2900"/>
      <c r="AE13" s="2901">
        <f t="shared" ca="1" si="6"/>
        <v>0</v>
      </c>
      <c r="AF13" s="2375"/>
      <c r="AG13" s="1728">
        <f t="shared" si="7"/>
        <v>0</v>
      </c>
      <c r="AH13" s="2910"/>
      <c r="AI13" s="2911"/>
      <c r="AJ13" s="2912"/>
      <c r="AK13" s="2913"/>
      <c r="AL13" s="2914"/>
      <c r="AM13" s="2915"/>
      <c r="AN13" s="2916"/>
      <c r="AO13" s="1295" t="e">
        <f t="shared" ca="1" si="8"/>
        <v>#REF!</v>
      </c>
      <c r="AP13" s="2927">
        <f t="shared" si="9"/>
        <v>0</v>
      </c>
      <c r="AQ13" s="1295">
        <f t="shared" si="10"/>
        <v>0</v>
      </c>
      <c r="AR13" s="1295">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1170</v>
      </c>
      <c r="B14" s="2757" t="s">
        <v>1169</v>
      </c>
      <c r="C14" s="2766" t="s">
        <v>1170</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4"/>
      <c r="R14" s="2874"/>
      <c r="S14" s="2875"/>
      <c r="T14" s="2876"/>
      <c r="U14" s="2885"/>
      <c r="V14" s="2886"/>
      <c r="W14" s="2886"/>
      <c r="X14" s="2887"/>
      <c r="Y14" s="2903"/>
      <c r="Z14" s="2904"/>
      <c r="AA14" s="2905"/>
      <c r="AB14" s="2905"/>
      <c r="AC14" s="2879"/>
      <c r="AD14" s="2887"/>
      <c r="AE14" s="2901"/>
      <c r="AF14" s="1295"/>
      <c r="AG14" s="1728"/>
      <c r="AH14" s="2901"/>
      <c r="AI14" s="1283"/>
      <c r="AJ14" s="1294"/>
      <c r="AK14" s="2921"/>
      <c r="AL14" s="2922"/>
      <c r="AM14" s="2923"/>
      <c r="AN14" s="2262"/>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1171</v>
      </c>
      <c r="B15" s="2757" t="s">
        <v>1169</v>
      </c>
      <c r="C15" s="2766" t="s">
        <v>1217</v>
      </c>
      <c r="D15" s="2759"/>
      <c r="E15" s="2760"/>
      <c r="F15" s="2761"/>
      <c r="G15" s="2762"/>
      <c r="H15" s="2767"/>
      <c r="I15" s="2767"/>
      <c r="J15" s="2767"/>
      <c r="K15" s="2851">
        <f>SUMIF('数据-汇总表'!C$19:C$33,A15,'数据-汇总表'!E$19:E$33)</f>
        <v>0</v>
      </c>
      <c r="L15" s="2858"/>
      <c r="M15" s="2853"/>
      <c r="N15" s="2859"/>
      <c r="O15" s="2853"/>
      <c r="P15" s="2855"/>
      <c r="Q15" s="2884"/>
      <c r="R15" s="2874"/>
      <c r="S15" s="2875"/>
      <c r="T15" s="2876"/>
      <c r="U15" s="2885"/>
      <c r="V15" s="2886"/>
      <c r="W15" s="2886"/>
      <c r="X15" s="2887"/>
      <c r="Y15" s="2903"/>
      <c r="Z15" s="2904"/>
      <c r="AA15" s="2905"/>
      <c r="AB15" s="2905"/>
      <c r="AC15" s="2879"/>
      <c r="AD15" s="2887"/>
      <c r="AE15" s="2901"/>
      <c r="AF15" s="1295"/>
      <c r="AG15" s="1728"/>
      <c r="AH15" s="2901"/>
      <c r="AI15" s="1283"/>
      <c r="AJ15" s="1294"/>
      <c r="AK15" s="2921"/>
      <c r="AL15" s="2922"/>
      <c r="AM15" s="2923"/>
      <c r="AN15" s="2262"/>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1172</v>
      </c>
      <c r="B16" s="2769"/>
      <c r="C16" s="2319"/>
      <c r="D16" s="2770"/>
      <c r="E16" s="2769"/>
      <c r="F16" s="2769"/>
      <c r="G16" s="2771">
        <f>ROUND(SUMPRODUCT(G6:G13,K6:K13)/SUMPRODUCT((G6:G13&gt;0)*(K6:K13)),3)</f>
        <v>0.82799999999999996</v>
      </c>
      <c r="H16" s="2772">
        <f>ROUND(SUMPRODUCT(H6:H13,K6:K13)/SUMPRODUCT((H6:H13&gt;0)*(K6:K13)),3)</f>
        <v>0.05</v>
      </c>
      <c r="I16" s="2860"/>
      <c r="J16" s="2860"/>
      <c r="K16" s="2861">
        <f>SUM(K6:K15)</f>
        <v>38.93</v>
      </c>
      <c r="L16" s="2862">
        <f>ROUND(M16*10000/SUM(K6:K14),0)</f>
        <v>4624</v>
      </c>
      <c r="M16" s="2862">
        <f>SUM(M6:M14)</f>
        <v>18</v>
      </c>
      <c r="N16" s="2863">
        <f>ROUND(SUMPRODUCT(M6:M14,N6:N14)/M16,3)</f>
        <v>0.82</v>
      </c>
      <c r="O16" s="2862">
        <f>SUM(O6:O14)</f>
        <v>0</v>
      </c>
      <c r="P16" s="2862">
        <f>SUM(P6:P14)</f>
        <v>0</v>
      </c>
      <c r="Q16" s="2888">
        <f>ROUND(SUMPRODUCT(Q6:Q13,K6:K13)/SUMPRODUCT((Q6:Q13&gt;0)*(K6:K13)),2)</f>
        <v>0.15</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2"/>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2"/>
      <c r="D17" s="2775"/>
      <c r="E17" s="2775"/>
      <c r="F17" s="2262"/>
      <c r="G17" s="2262"/>
      <c r="H17" s="2262"/>
      <c r="I17" s="2262"/>
      <c r="J17" s="2262"/>
      <c r="K17" s="2864"/>
      <c r="L17" s="2864"/>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30" t="s">
        <v>1218</v>
      </c>
      <c r="B18" s="2776"/>
      <c r="C18" s="2777"/>
      <c r="D18" s="2778"/>
      <c r="E18" s="2777"/>
      <c r="F18" s="2777"/>
      <c r="G18" s="2777"/>
      <c r="H18" s="2777"/>
      <c r="I18" s="2777"/>
      <c r="J18" s="2777"/>
      <c r="K18" s="2864"/>
      <c r="L18" s="2864"/>
      <c r="M18" s="2865" t="s">
        <v>1219</v>
      </c>
      <c r="N18" s="2866">
        <v>2010</v>
      </c>
      <c r="O18" s="2262"/>
      <c r="P18" s="2262"/>
      <c r="Q18" s="2262"/>
      <c r="R18" s="2262"/>
      <c r="S18" s="2262"/>
      <c r="T18" s="2865"/>
      <c r="U18" s="2262"/>
      <c r="V18" s="2865"/>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9" t="s">
        <v>1220</v>
      </c>
      <c r="B19" s="2780">
        <v>0</v>
      </c>
      <c r="C19" s="2781" t="s">
        <v>1221</v>
      </c>
      <c r="D19" s="2778"/>
      <c r="E19" s="2777"/>
      <c r="F19" s="2777"/>
      <c r="G19" s="2777"/>
      <c r="H19" s="2777"/>
      <c r="I19" s="2777"/>
      <c r="J19" s="2777"/>
      <c r="K19" s="2864"/>
      <c r="L19" s="2864"/>
      <c r="M19" s="2865" t="s">
        <v>1222</v>
      </c>
      <c r="N19" s="2262">
        <f>ROUND(1-(2024-N18)/60,2)</f>
        <v>0.77</v>
      </c>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2" t="s">
        <v>1223</v>
      </c>
      <c r="B20" s="2783">
        <v>2</v>
      </c>
      <c r="C20" s="2784" t="s">
        <v>1224</v>
      </c>
      <c r="D20" s="2778"/>
      <c r="E20" s="2777"/>
      <c r="F20" s="2777"/>
      <c r="G20" s="2777"/>
      <c r="H20" s="2777"/>
      <c r="I20" s="2777"/>
      <c r="J20" s="2777"/>
      <c r="K20" s="2864"/>
      <c r="L20" s="2864"/>
      <c r="M20" s="2865" t="s">
        <v>1225</v>
      </c>
      <c r="N20" s="2262">
        <v>0.86</v>
      </c>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5" t="s">
        <v>1226</v>
      </c>
      <c r="B21" s="2783">
        <v>2</v>
      </c>
      <c r="C21" s="2777"/>
      <c r="D21" s="2778"/>
      <c r="E21" s="2777"/>
      <c r="F21" s="2777"/>
      <c r="G21" s="2777"/>
      <c r="H21" s="2777"/>
      <c r="I21" s="2777"/>
      <c r="J21" s="2777"/>
      <c r="K21" s="2864"/>
      <c r="L21" s="2864"/>
      <c r="M21" s="2865" t="s">
        <v>1227</v>
      </c>
      <c r="N21" s="2262">
        <f>ROUND((N19+N20)/2,2)</f>
        <v>0.82</v>
      </c>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2" t="s">
        <v>1228</v>
      </c>
      <c r="B22" s="2786">
        <f>B19+B20</f>
        <v>2</v>
      </c>
      <c r="C22" s="2777"/>
      <c r="D22" s="2778"/>
      <c r="E22" s="2777"/>
      <c r="F22" s="2777"/>
      <c r="G22" s="2777"/>
      <c r="H22" s="2777"/>
      <c r="I22" s="2777"/>
      <c r="J22" s="2777"/>
      <c r="K22" s="2864"/>
      <c r="L22" s="2864"/>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5" t="s">
        <v>1229</v>
      </c>
      <c r="B23" s="2786">
        <f>B19+B21</f>
        <v>2</v>
      </c>
      <c r="C23" s="2777"/>
      <c r="D23" s="2778"/>
      <c r="E23" s="2777"/>
      <c r="F23" s="2777"/>
      <c r="G23" s="2777"/>
      <c r="H23" s="2777"/>
      <c r="I23" s="2777"/>
      <c r="J23" s="2777"/>
      <c r="K23" s="2864"/>
      <c r="L23" s="2864"/>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7" t="s">
        <v>1230</v>
      </c>
      <c r="B24" s="2788">
        <f>B20-B21</f>
        <v>0</v>
      </c>
      <c r="C24" s="2777"/>
      <c r="D24" s="2778"/>
      <c r="E24" s="2777"/>
      <c r="F24" s="2777"/>
      <c r="G24" s="2777"/>
      <c r="H24" s="2777"/>
      <c r="I24" s="2777"/>
      <c r="J24" s="2777"/>
      <c r="K24" s="2864"/>
      <c r="L24" s="2864"/>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6"/>
      <c r="B25" s="2747"/>
      <c r="C25" s="2777"/>
      <c r="D25" s="2778"/>
      <c r="E25" s="2777"/>
      <c r="F25" s="2777"/>
      <c r="G25" s="2777"/>
      <c r="H25" s="2777"/>
      <c r="I25" s="2777"/>
      <c r="J25" s="2777"/>
      <c r="K25" s="3452" t="s">
        <v>3394</v>
      </c>
      <c r="L25" s="3575"/>
      <c r="M25" s="3575"/>
      <c r="N25" s="3575"/>
      <c r="O25" s="3575"/>
      <c r="P25" s="3575"/>
      <c r="Q25" s="3575"/>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2" t="s">
        <v>1231</v>
      </c>
      <c r="B26" s="2789" t="s">
        <v>1232</v>
      </c>
      <c r="C26" s="2790" t="s">
        <v>1233</v>
      </c>
      <c r="D26" s="2778"/>
      <c r="E26" s="2777"/>
      <c r="F26" s="2777"/>
      <c r="G26" s="2777"/>
      <c r="H26" s="2777"/>
      <c r="I26" s="2777"/>
      <c r="J26" s="2777"/>
      <c r="K26" s="3576"/>
      <c r="L26" s="3577" t="s">
        <v>3395</v>
      </c>
      <c r="M26" s="3577" t="s">
        <v>3396</v>
      </c>
      <c r="N26" s="3577" t="s">
        <v>3397</v>
      </c>
      <c r="O26" s="3575"/>
      <c r="P26" s="3575"/>
      <c r="Q26" s="3575"/>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3" customFormat="1" ht="27.75">
      <c r="A27" s="2791" t="s">
        <v>1234</v>
      </c>
      <c r="B27" s="2792">
        <v>160</v>
      </c>
      <c r="C27" s="2793" t="s">
        <v>1235</v>
      </c>
      <c r="D27" s="2794"/>
      <c r="E27" s="1410"/>
      <c r="F27" s="1410"/>
      <c r="G27" s="2777"/>
      <c r="H27" s="2777"/>
      <c r="I27" s="2777"/>
      <c r="J27" s="2777"/>
      <c r="K27" s="3578" t="s">
        <v>3398</v>
      </c>
      <c r="L27" s="3579">
        <f>L28+L29</f>
        <v>38.93</v>
      </c>
      <c r="M27" s="3579">
        <f>N27/L27</f>
        <v>2000</v>
      </c>
      <c r="N27" s="3579">
        <f>N28+N29</f>
        <v>77860</v>
      </c>
      <c r="O27" s="3575"/>
      <c r="P27" s="3575"/>
      <c r="Q27" s="3575"/>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3" customFormat="1" ht="27.75">
      <c r="A28" s="2795" t="s">
        <v>1236</v>
      </c>
      <c r="B28" s="2796">
        <v>200</v>
      </c>
      <c r="C28" s="2797"/>
      <c r="D28" s="2794"/>
      <c r="E28" s="1410"/>
      <c r="F28" s="1410"/>
      <c r="G28" s="2777"/>
      <c r="H28" s="2777"/>
      <c r="I28" s="2777"/>
      <c r="J28" s="2777"/>
      <c r="K28" s="3577" t="s">
        <v>3404</v>
      </c>
      <c r="L28" s="3580">
        <f>'数据-汇总表'!F31</f>
        <v>38.93</v>
      </c>
      <c r="M28" s="3576">
        <v>2000</v>
      </c>
      <c r="N28" s="3576">
        <f>M28*L28</f>
        <v>77860</v>
      </c>
      <c r="O28" s="3575"/>
      <c r="P28" s="3575"/>
      <c r="Q28" s="3575"/>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3" customFormat="1" ht="27.75">
      <c r="A29" s="2798" t="s">
        <v>1237</v>
      </c>
      <c r="B29" s="2799" t="e">
        <f ca="1">成本法!C10</f>
        <v>#N/A</v>
      </c>
      <c r="C29" s="2800" t="s">
        <v>1238</v>
      </c>
      <c r="D29" s="2794"/>
      <c r="E29" s="1410"/>
      <c r="F29" s="1410"/>
      <c r="G29" s="2777"/>
      <c r="H29" s="2777"/>
      <c r="I29" s="2777"/>
      <c r="J29" s="2777"/>
      <c r="K29" s="3577" t="s">
        <v>3403</v>
      </c>
      <c r="L29" s="3576">
        <f>'数据-汇总表'!G31</f>
        <v>0</v>
      </c>
      <c r="M29" s="3576">
        <v>3000</v>
      </c>
      <c r="N29" s="3576">
        <f t="shared" ref="N29:N32" si="12">M29*L29</f>
        <v>0</v>
      </c>
      <c r="O29" s="3575"/>
      <c r="P29" s="3575"/>
      <c r="Q29" s="3575"/>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3" customFormat="1" ht="27">
      <c r="A30" s="2801" t="s">
        <v>1239</v>
      </c>
      <c r="B30" s="2802">
        <v>200</v>
      </c>
      <c r="C30" s="2797"/>
      <c r="D30" s="2794"/>
      <c r="E30" s="1410"/>
      <c r="F30" s="1410"/>
      <c r="G30" s="2777"/>
      <c r="H30" s="2777"/>
      <c r="I30" s="2777"/>
      <c r="J30" s="2777"/>
      <c r="K30" s="3578" t="s">
        <v>3399</v>
      </c>
      <c r="L30" s="3579">
        <f>L27</f>
        <v>38.93</v>
      </c>
      <c r="M30" s="3579">
        <v>500</v>
      </c>
      <c r="N30" s="3579">
        <f>M30*L30</f>
        <v>19465</v>
      </c>
      <c r="O30" s="3575"/>
      <c r="P30" s="3575"/>
      <c r="Q30" s="3575"/>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3" customFormat="1" ht="27">
      <c r="A31" s="2795" t="s">
        <v>1240</v>
      </c>
      <c r="B31" s="2803">
        <f>B30-B32</f>
        <v>200</v>
      </c>
      <c r="C31" s="2804"/>
      <c r="D31" s="2794"/>
      <c r="E31" s="1410"/>
      <c r="F31" s="1410"/>
      <c r="G31" s="2777"/>
      <c r="H31" s="2777"/>
      <c r="I31" s="2777"/>
      <c r="J31" s="2777"/>
      <c r="K31" s="3578" t="s">
        <v>3400</v>
      </c>
      <c r="L31" s="3579">
        <f>L27</f>
        <v>38.93</v>
      </c>
      <c r="M31" s="3579">
        <v>1500</v>
      </c>
      <c r="N31" s="3579">
        <f>M31*L31</f>
        <v>58395</v>
      </c>
      <c r="O31" s="3575"/>
      <c r="P31" s="3575"/>
      <c r="Q31" s="3575"/>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3" customFormat="1" ht="27">
      <c r="A32" s="2805" t="s">
        <v>1241</v>
      </c>
      <c r="B32" s="2806"/>
      <c r="C32" s="2797"/>
      <c r="D32" s="2778"/>
      <c r="E32" s="2777"/>
      <c r="F32" s="2777"/>
      <c r="G32" s="2777"/>
      <c r="H32" s="2777"/>
      <c r="I32" s="2777"/>
      <c r="J32" s="2777"/>
      <c r="K32" s="3578" t="s">
        <v>3401</v>
      </c>
      <c r="L32" s="3579">
        <f>'[2]数据-基础表'!AU35</f>
        <v>0</v>
      </c>
      <c r="M32" s="3579">
        <v>2000</v>
      </c>
      <c r="N32" s="3579">
        <f t="shared" si="12"/>
        <v>0</v>
      </c>
      <c r="O32" s="3575"/>
      <c r="P32" s="3575"/>
      <c r="Q32" s="3575"/>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3" customFormat="1" ht="14.25">
      <c r="A33" s="2791" t="s">
        <v>1242</v>
      </c>
      <c r="B33" s="2807">
        <v>0.05</v>
      </c>
      <c r="C33" s="2808" t="s">
        <v>1243</v>
      </c>
      <c r="D33" s="2778"/>
      <c r="E33" s="2777"/>
      <c r="F33" s="2777"/>
      <c r="G33" s="2777"/>
      <c r="H33" s="2777"/>
      <c r="I33" s="2777"/>
      <c r="J33" s="2777"/>
      <c r="K33" s="3577" t="s">
        <v>3402</v>
      </c>
      <c r="L33" s="3576">
        <f>L27</f>
        <v>38.93</v>
      </c>
      <c r="M33" s="3576">
        <f>N33/L33</f>
        <v>4000</v>
      </c>
      <c r="N33" s="3576">
        <f>N27+N30+N31+N32</f>
        <v>155720</v>
      </c>
      <c r="O33" s="3575"/>
      <c r="P33" s="3575"/>
      <c r="Q33" s="3575"/>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3" customFormat="1" ht="14.25">
      <c r="A34" s="2795" t="s">
        <v>1244</v>
      </c>
      <c r="B34" s="2809">
        <v>0</v>
      </c>
      <c r="C34" s="2808" t="s">
        <v>1245</v>
      </c>
      <c r="D34" s="2810" t="s">
        <v>1246</v>
      </c>
      <c r="E34" s="2774"/>
      <c r="F34" s="2777"/>
      <c r="G34" s="2777"/>
      <c r="H34" s="2777"/>
      <c r="I34" s="2777"/>
      <c r="J34" s="2777"/>
      <c r="K34" s="2864"/>
      <c r="L34" s="2864"/>
      <c r="M34" s="2262"/>
      <c r="N34" s="2262"/>
      <c r="O34" s="3575"/>
      <c r="P34" s="3575"/>
      <c r="Q34" s="3575"/>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3" customFormat="1" ht="14.25">
      <c r="A35" s="2795" t="s">
        <v>1247</v>
      </c>
      <c r="B35" s="2796">
        <v>200</v>
      </c>
      <c r="C35" s="2808" t="s">
        <v>1248</v>
      </c>
      <c r="D35" s="2794"/>
      <c r="E35" s="1410"/>
      <c r="F35" s="1410"/>
      <c r="G35" s="2777"/>
      <c r="H35" s="2777"/>
      <c r="I35" s="2777"/>
      <c r="J35" s="2777"/>
      <c r="K35" s="2864"/>
      <c r="L35" s="2864"/>
      <c r="M35" s="2262"/>
      <c r="N35" s="2262"/>
      <c r="O35" s="3575"/>
      <c r="P35" s="3575"/>
      <c r="Q35" s="3575"/>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8" t="s">
        <v>1249</v>
      </c>
      <c r="B36" s="2811">
        <v>1.4999999999999999E-2</v>
      </c>
      <c r="C36" s="2808" t="s">
        <v>1250</v>
      </c>
      <c r="D36" s="2778"/>
      <c r="E36" s="2777"/>
      <c r="F36" s="2777"/>
      <c r="G36" s="2777"/>
      <c r="H36" s="2777"/>
      <c r="I36" s="2777"/>
      <c r="J36" s="2777"/>
      <c r="K36" s="2864"/>
      <c r="L36" s="2864"/>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1" t="s">
        <v>1251</v>
      </c>
      <c r="B37" s="2812">
        <v>0.02</v>
      </c>
      <c r="C37" s="2808" t="s">
        <v>1252</v>
      </c>
      <c r="D37" s="2778"/>
      <c r="E37" s="2777"/>
      <c r="F37" s="2777"/>
      <c r="G37" s="2777"/>
      <c r="H37" s="2777"/>
      <c r="I37" s="2777"/>
      <c r="J37" s="2777"/>
      <c r="K37" s="2864"/>
      <c r="L37" s="2864"/>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5" t="s">
        <v>1253</v>
      </c>
      <c r="B38" s="2809">
        <v>0.02</v>
      </c>
      <c r="C38" s="2808" t="s">
        <v>1252</v>
      </c>
      <c r="D38" s="2778"/>
      <c r="E38" s="2777"/>
      <c r="F38" s="2777"/>
      <c r="G38" s="2777"/>
      <c r="H38" s="2777"/>
      <c r="I38" s="2777"/>
      <c r="J38" s="2777"/>
      <c r="K38" s="2864"/>
      <c r="L38" s="2864"/>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5" t="s">
        <v>1254</v>
      </c>
      <c r="B39" s="2813">
        <f ca="1">存贷款利率!I1</f>
        <v>1.4999999999999999E-2</v>
      </c>
      <c r="C39" s="2814"/>
      <c r="D39" s="2778"/>
      <c r="E39" s="2777"/>
      <c r="F39" s="2777"/>
      <c r="G39" s="2777"/>
      <c r="H39" s="2777"/>
      <c r="I39" s="2777"/>
      <c r="J39" s="2777"/>
      <c r="K39" s="2864"/>
      <c r="L39" s="2864"/>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5" t="s">
        <v>1255</v>
      </c>
      <c r="B40" s="2816">
        <f ca="1">IF(A40="利息：取LPR",存贷款利率!G1,存贷款利率!G1+C40)</f>
        <v>3.4500000000000003E-2</v>
      </c>
      <c r="C40" s="2817">
        <v>5.0000000000000001E-3</v>
      </c>
      <c r="D40" s="2262"/>
      <c r="E40" s="2778"/>
      <c r="F40" s="2777"/>
      <c r="G40" s="2777"/>
      <c r="H40" s="2777"/>
      <c r="I40" s="2777"/>
      <c r="J40" s="2777"/>
      <c r="K40" s="2864"/>
      <c r="L40" s="2864"/>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1" t="s">
        <v>1256</v>
      </c>
      <c r="B41" s="2818">
        <f>B42+B43</f>
        <v>5.6000000000000001E-2</v>
      </c>
      <c r="C41" s="2804"/>
      <c r="D41" s="2262"/>
      <c r="E41" s="2778"/>
      <c r="F41" s="2777"/>
      <c r="G41" s="2777"/>
      <c r="H41" s="2777"/>
      <c r="I41" s="2777"/>
      <c r="J41" s="2777"/>
      <c r="K41" s="2864"/>
      <c r="L41" s="2864"/>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9" t="s">
        <v>1257</v>
      </c>
      <c r="B42" s="2820">
        <v>0.05</v>
      </c>
      <c r="C42" s="2821">
        <f>IF(B2&lt;DATE(2016,5,1),0,B42)</f>
        <v>0.05</v>
      </c>
      <c r="D42" s="2778"/>
      <c r="E42" s="2777"/>
      <c r="F42" s="2777"/>
      <c r="G42" s="2777"/>
      <c r="H42" s="2777"/>
      <c r="I42" s="2777"/>
      <c r="J42" s="2777"/>
      <c r="K42" s="2864"/>
      <c r="L42" s="2864"/>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9" t="s">
        <v>1258</v>
      </c>
      <c r="B43" s="2822">
        <f>B42*(B44+B45+B46)+B47</f>
        <v>6.0000000000000001E-3</v>
      </c>
      <c r="C43" s="2804"/>
      <c r="D43" s="2778"/>
      <c r="E43" s="2777"/>
      <c r="F43" s="2777"/>
      <c r="G43" s="2777"/>
      <c r="H43" s="2777"/>
      <c r="I43" s="2777"/>
      <c r="J43" s="2777"/>
      <c r="K43" s="2864"/>
      <c r="L43" s="2864"/>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3" t="s">
        <v>1259</v>
      </c>
      <c r="B44" s="2824">
        <v>7.0000000000000007E-2</v>
      </c>
      <c r="C44" s="2808" t="s">
        <v>1260</v>
      </c>
      <c r="D44" s="2778"/>
      <c r="E44" s="2777"/>
      <c r="F44" s="2777"/>
      <c r="G44" s="2777"/>
      <c r="H44" s="2777"/>
      <c r="I44" s="2777"/>
      <c r="J44" s="2777"/>
      <c r="K44" s="2864"/>
      <c r="L44" s="2864"/>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3" t="s">
        <v>1261</v>
      </c>
      <c r="B45" s="2820">
        <v>0.03</v>
      </c>
      <c r="C45" s="2800" t="s">
        <v>1262</v>
      </c>
      <c r="D45" s="2778"/>
      <c r="E45" s="2777"/>
      <c r="F45" s="2777"/>
      <c r="G45" s="2777"/>
      <c r="H45" s="2777"/>
      <c r="I45" s="2777"/>
      <c r="J45" s="2777"/>
      <c r="K45" s="2864"/>
      <c r="L45" s="2864"/>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3" t="s">
        <v>1263</v>
      </c>
      <c r="B46" s="2820">
        <v>0.02</v>
      </c>
      <c r="C46" s="2800" t="s">
        <v>1264</v>
      </c>
      <c r="D46" s="2778"/>
      <c r="E46" s="2777"/>
      <c r="F46" s="2777"/>
      <c r="G46" s="2777"/>
      <c r="H46" s="2777"/>
      <c r="I46" s="2777"/>
      <c r="J46" s="2777"/>
      <c r="K46" s="2864"/>
      <c r="L46" s="2864"/>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5" t="s">
        <v>1265</v>
      </c>
      <c r="B47" s="2826"/>
      <c r="C47" s="2827" t="s">
        <v>1266</v>
      </c>
      <c r="D47" s="2778"/>
      <c r="E47" s="2777"/>
      <c r="F47" s="2777"/>
      <c r="G47" s="2777"/>
      <c r="H47" s="2777"/>
      <c r="I47" s="2777"/>
      <c r="J47" s="2777"/>
      <c r="K47" s="2864"/>
      <c r="L47" s="2864"/>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8" t="s">
        <v>1267</v>
      </c>
      <c r="B48" s="2829">
        <v>0.03</v>
      </c>
      <c r="C48" s="2800" t="s">
        <v>1262</v>
      </c>
      <c r="D48" s="2778"/>
      <c r="E48" s="2777"/>
      <c r="F48" s="2777"/>
      <c r="G48" s="2777"/>
      <c r="H48" s="2777"/>
      <c r="I48" s="2777"/>
      <c r="J48" s="2777"/>
      <c r="K48" s="2864"/>
      <c r="L48" s="2864"/>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5" t="s">
        <v>1268</v>
      </c>
      <c r="B49" s="2820">
        <v>5.0000000000000001E-4</v>
      </c>
      <c r="C49" s="2800" t="s">
        <v>1269</v>
      </c>
      <c r="D49" s="2778"/>
      <c r="E49" s="2777"/>
      <c r="F49" s="2777"/>
      <c r="G49" s="2777"/>
      <c r="H49" s="2777"/>
      <c r="I49" s="2777"/>
      <c r="J49" s="2777"/>
      <c r="K49" s="2864"/>
      <c r="L49" s="2864"/>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30" t="s">
        <v>1270</v>
      </c>
      <c r="B50" s="2831">
        <v>1.2E-2</v>
      </c>
      <c r="C50" s="1410"/>
      <c r="D50" s="2778"/>
      <c r="E50" s="2777"/>
      <c r="F50" s="2777"/>
      <c r="G50" s="2777"/>
      <c r="H50" s="2777"/>
      <c r="I50" s="2777"/>
      <c r="J50" s="2777"/>
      <c r="K50" s="2864"/>
      <c r="L50" s="2864"/>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8" t="s">
        <v>1271</v>
      </c>
      <c r="B51" s="2832">
        <v>0.12</v>
      </c>
      <c r="C51" s="1410"/>
      <c r="D51" s="2778"/>
      <c r="E51" s="2777"/>
      <c r="F51" s="2777"/>
      <c r="G51" s="2777"/>
      <c r="H51" s="2777"/>
      <c r="I51" s="2777"/>
      <c r="J51" s="2777"/>
      <c r="K51" s="2864"/>
      <c r="L51" s="2864"/>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30" t="s">
        <v>1272</v>
      </c>
      <c r="B52" s="2833">
        <f>SUMIF(A54:A63,B53,B54:B63)</f>
        <v>1.5</v>
      </c>
      <c r="C52" s="1410"/>
      <c r="D52" s="2778"/>
      <c r="E52" s="2777"/>
      <c r="F52" s="2777"/>
      <c r="G52" s="2777"/>
      <c r="H52" s="2777"/>
      <c r="I52" s="2777"/>
      <c r="J52" s="2777"/>
      <c r="K52" s="2864"/>
      <c r="L52" s="2864"/>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5" t="s">
        <v>1273</v>
      </c>
      <c r="B53" s="2834" t="s">
        <v>272</v>
      </c>
      <c r="C53" s="1410" t="s">
        <v>1274</v>
      </c>
      <c r="D53" s="2835" t="s">
        <v>1275</v>
      </c>
      <c r="E53" s="2777"/>
      <c r="F53" s="2777"/>
      <c r="G53" s="2777"/>
      <c r="H53" s="2777"/>
      <c r="I53" s="2777"/>
      <c r="J53" s="2777"/>
      <c r="K53" s="2864"/>
      <c r="L53" s="2864"/>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6" t="s">
        <v>1276</v>
      </c>
      <c r="B54" s="2837"/>
      <c r="C54" s="1410">
        <v>30</v>
      </c>
      <c r="D54" s="2778"/>
      <c r="E54" s="2777"/>
      <c r="F54" s="2777"/>
      <c r="G54" s="2777"/>
      <c r="H54" s="2777"/>
      <c r="I54" s="2777"/>
      <c r="J54" s="2777"/>
      <c r="K54" s="2864"/>
      <c r="L54" s="2864"/>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6" t="s">
        <v>1277</v>
      </c>
      <c r="B55" s="2837"/>
      <c r="C55" s="1410">
        <v>24</v>
      </c>
      <c r="D55" s="2778"/>
      <c r="E55" s="2777"/>
      <c r="F55" s="2777"/>
      <c r="G55" s="2777"/>
      <c r="H55" s="2777"/>
      <c r="I55" s="2867"/>
      <c r="J55" s="2777"/>
      <c r="K55" s="2864"/>
      <c r="L55" s="2864"/>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6" t="s">
        <v>1278</v>
      </c>
      <c r="B56" s="2837"/>
      <c r="C56" s="1410">
        <v>18</v>
      </c>
      <c r="D56" s="2778"/>
      <c r="E56" s="2777"/>
      <c r="F56" s="2777"/>
      <c r="G56" s="2777"/>
      <c r="H56" s="2777"/>
      <c r="I56" s="2777"/>
      <c r="J56" s="2777"/>
      <c r="K56" s="2864"/>
      <c r="L56" s="2864"/>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6" t="s">
        <v>1279</v>
      </c>
      <c r="B57" s="2837"/>
      <c r="C57" s="1410">
        <v>12</v>
      </c>
      <c r="D57" s="2778"/>
      <c r="E57" s="2777"/>
      <c r="F57" s="2777"/>
      <c r="G57" s="2777"/>
      <c r="H57" s="2777"/>
      <c r="I57" s="2777"/>
      <c r="J57" s="2777"/>
      <c r="K57" s="2864"/>
      <c r="L57" s="2864"/>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6" t="s">
        <v>1280</v>
      </c>
      <c r="B58" s="2837"/>
      <c r="C58" s="1410">
        <v>3</v>
      </c>
      <c r="D58" s="2778"/>
      <c r="E58" s="2777"/>
      <c r="F58" s="2777"/>
      <c r="G58" s="2777"/>
      <c r="H58" s="2777"/>
      <c r="I58" s="2777"/>
      <c r="J58" s="2777"/>
      <c r="K58" s="2864"/>
      <c r="L58" s="2864"/>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6" t="s">
        <v>1281</v>
      </c>
      <c r="B59" s="2837">
        <v>1.5</v>
      </c>
      <c r="C59" s="1410">
        <v>1.5</v>
      </c>
      <c r="D59" s="2778"/>
      <c r="E59" s="2777"/>
      <c r="F59" s="2777"/>
      <c r="G59" s="2777"/>
      <c r="H59" s="2777"/>
      <c r="I59" s="2777"/>
      <c r="J59" s="2777"/>
      <c r="K59" s="2864"/>
      <c r="L59" s="2864"/>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6" t="s">
        <v>1282</v>
      </c>
      <c r="B60" s="2837"/>
      <c r="C60" s="2777"/>
      <c r="D60" s="2778"/>
      <c r="E60" s="2777"/>
      <c r="F60" s="2777"/>
      <c r="G60" s="2777"/>
      <c r="H60" s="2777"/>
      <c r="I60" s="2777"/>
      <c r="J60" s="2777"/>
      <c r="K60" s="2864"/>
      <c r="L60" s="2864"/>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6" t="s">
        <v>1283</v>
      </c>
      <c r="B61" s="2837"/>
      <c r="C61" s="2777"/>
      <c r="D61" s="2778"/>
      <c r="E61" s="2777"/>
      <c r="F61" s="2777"/>
      <c r="G61" s="2777"/>
      <c r="H61" s="2777"/>
      <c r="I61" s="2777"/>
      <c r="J61" s="2777"/>
      <c r="K61" s="2864"/>
      <c r="L61" s="2864"/>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6" t="s">
        <v>1284</v>
      </c>
      <c r="B62" s="2837"/>
      <c r="C62" s="2777"/>
      <c r="D62" s="2778"/>
      <c r="E62" s="2777"/>
      <c r="F62" s="2777"/>
      <c r="G62" s="2777"/>
      <c r="H62" s="2777"/>
      <c r="I62" s="2777"/>
      <c r="J62" s="2777"/>
      <c r="K62" s="2864"/>
      <c r="L62" s="2864"/>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8" t="s">
        <v>1285</v>
      </c>
      <c r="B63" s="2839"/>
      <c r="C63" s="2777"/>
      <c r="D63" s="2778"/>
      <c r="E63" s="2777"/>
      <c r="F63" s="2777"/>
      <c r="G63" s="2777"/>
      <c r="H63" s="2777"/>
      <c r="I63" s="2777"/>
      <c r="J63" s="2777"/>
      <c r="K63" s="2864"/>
      <c r="L63" s="2864"/>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40"/>
      <c r="B64" s="2262"/>
      <c r="C64" s="2262"/>
      <c r="D64" s="2775"/>
      <c r="E64" s="2262"/>
      <c r="F64" s="2262"/>
      <c r="G64" s="2262"/>
      <c r="H64" s="2262"/>
      <c r="I64" s="2262"/>
      <c r="J64" s="2262"/>
      <c r="K64" s="2864"/>
      <c r="L64" s="2864"/>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40"/>
      <c r="B65" s="2262"/>
      <c r="C65" s="2262"/>
      <c r="D65" s="2775"/>
      <c r="E65" s="2262"/>
      <c r="F65" s="2262"/>
      <c r="G65" s="2262"/>
      <c r="H65" s="2262"/>
      <c r="I65" s="2262"/>
      <c r="J65" s="2262"/>
      <c r="K65" s="2864"/>
      <c r="L65" s="2864"/>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40"/>
      <c r="B66" s="2262"/>
      <c r="C66" s="2262"/>
      <c r="D66" s="2775"/>
      <c r="E66" s="2262"/>
      <c r="F66" s="2262"/>
      <c r="G66" s="2262"/>
      <c r="H66" s="2262"/>
      <c r="I66" s="2262"/>
      <c r="J66" s="2262"/>
      <c r="K66" s="2864"/>
      <c r="L66" s="2864"/>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40"/>
      <c r="B67" s="2262"/>
      <c r="C67" s="2262"/>
      <c r="D67" s="2775"/>
      <c r="E67" s="2262"/>
      <c r="F67" s="2262"/>
      <c r="G67" s="2262"/>
      <c r="H67" s="2262"/>
      <c r="I67" s="2262"/>
      <c r="J67" s="2262"/>
      <c r="K67" s="2864"/>
      <c r="L67" s="2864"/>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40"/>
      <c r="B68" s="2262"/>
      <c r="C68" s="2262"/>
      <c r="D68" s="2775"/>
      <c r="E68" s="2262"/>
      <c r="F68" s="2262"/>
      <c r="G68" s="2262"/>
      <c r="H68" s="2262"/>
      <c r="I68" s="2262"/>
      <c r="J68" s="2262"/>
      <c r="K68" s="2864"/>
      <c r="L68" s="2864"/>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4"/>
      <c r="L69" s="1044"/>
    </row>
    <row r="70" spans="1:44" s="2334" customFormat="1">
      <c r="A70" s="2638"/>
      <c r="D70" s="2928"/>
      <c r="K70" s="1044"/>
      <c r="L70" s="1044"/>
    </row>
    <row r="71" spans="1:44" s="2334" customFormat="1">
      <c r="A71" s="2638"/>
      <c r="D71" s="2928"/>
      <c r="K71" s="1044"/>
      <c r="L71" s="1044"/>
    </row>
    <row r="72" spans="1:44" s="2334" customFormat="1">
      <c r="A72" s="2638"/>
      <c r="D72" s="2928"/>
      <c r="K72" s="1044"/>
      <c r="L72" s="1044"/>
    </row>
    <row r="73" spans="1:44" s="2334" customFormat="1">
      <c r="A73" s="2638"/>
      <c r="D73" s="2928"/>
      <c r="K73" s="1044"/>
      <c r="L73" s="1044"/>
    </row>
    <row r="74" spans="1:44" s="2334" customFormat="1">
      <c r="A74" s="2638"/>
      <c r="D74" s="2928"/>
      <c r="K74" s="1044"/>
      <c r="L74" s="1044"/>
    </row>
    <row r="75" spans="1:44" s="2334" customFormat="1">
      <c r="A75" s="2638"/>
      <c r="D75" s="2928"/>
      <c r="K75" s="1044"/>
      <c r="L75" s="1044"/>
    </row>
    <row r="76" spans="1:44" s="2334" customFormat="1">
      <c r="A76" s="2638"/>
      <c r="D76" s="2928"/>
      <c r="K76" s="1044"/>
      <c r="L76" s="1044"/>
    </row>
    <row r="77" spans="1:44" s="2334" customFormat="1">
      <c r="A77" s="2638"/>
      <c r="D77" s="2928"/>
      <c r="K77" s="1044"/>
      <c r="L77" s="1044"/>
    </row>
    <row r="78" spans="1:44" s="2334" customFormat="1">
      <c r="A78" s="2638"/>
      <c r="D78" s="2928"/>
      <c r="K78" s="1044"/>
      <c r="L78" s="1044"/>
    </row>
    <row r="79" spans="1:44" s="2334" customFormat="1">
      <c r="A79" s="2638"/>
      <c r="D79" s="2928"/>
      <c r="K79" s="1044"/>
      <c r="L79" s="1044"/>
    </row>
    <row r="80" spans="1:44" s="2334" customFormat="1">
      <c r="A80" s="2638"/>
      <c r="D80" s="2928"/>
      <c r="K80" s="1044"/>
      <c r="L80" s="1044"/>
    </row>
    <row r="81" spans="1:12" s="2334" customFormat="1">
      <c r="A81" s="2638"/>
      <c r="D81" s="2928"/>
      <c r="K81" s="1044"/>
      <c r="L81" s="1044"/>
    </row>
    <row r="82" spans="1:12" s="2334" customFormat="1">
      <c r="A82" s="2638"/>
      <c r="D82" s="2928"/>
      <c r="K82" s="1044"/>
      <c r="L82" s="1044"/>
    </row>
    <row r="83" spans="1:12" s="2334" customFormat="1">
      <c r="A83" s="2638"/>
      <c r="D83" s="2928"/>
      <c r="K83" s="1044"/>
      <c r="L83" s="1044"/>
    </row>
    <row r="84" spans="1:12" s="2334" customFormat="1">
      <c r="A84" s="2638"/>
      <c r="D84" s="2928"/>
      <c r="K84" s="1044"/>
      <c r="L84" s="1044"/>
    </row>
    <row r="85" spans="1:12" s="2334" customFormat="1">
      <c r="A85" s="2638"/>
      <c r="D85" s="2928"/>
      <c r="K85" s="1044"/>
      <c r="L85" s="1044"/>
    </row>
    <row r="86" spans="1:12" s="2334" customFormat="1">
      <c r="A86" s="2638"/>
      <c r="D86" s="2928"/>
      <c r="K86" s="1044"/>
      <c r="L86" s="1044"/>
    </row>
    <row r="87" spans="1:12" s="2334" customFormat="1">
      <c r="A87" s="2638"/>
      <c r="D87" s="2928"/>
      <c r="K87" s="1044"/>
      <c r="L87" s="1044"/>
    </row>
    <row r="88" spans="1:12" s="2334" customFormat="1">
      <c r="A88" s="2638"/>
      <c r="D88" s="2928"/>
      <c r="K88" s="1044"/>
      <c r="L88" s="1044"/>
    </row>
    <row r="89" spans="1:12" s="2334" customFormat="1">
      <c r="A89" s="2638"/>
      <c r="D89" s="2928"/>
      <c r="K89" s="1044"/>
      <c r="L89" s="1044"/>
    </row>
    <row r="90" spans="1:12" s="2334" customFormat="1">
      <c r="A90" s="2638"/>
      <c r="D90" s="2928"/>
      <c r="K90" s="1044"/>
      <c r="L90" s="1044"/>
    </row>
    <row r="91" spans="1:12" s="2334" customFormat="1">
      <c r="A91" s="2638"/>
      <c r="D91" s="2928"/>
      <c r="K91" s="1044"/>
      <c r="L91" s="1044"/>
    </row>
    <row r="92" spans="1:12" s="2334" customFormat="1">
      <c r="A92" s="2638"/>
      <c r="D92" s="2928"/>
      <c r="K92" s="1044"/>
      <c r="L92" s="1044"/>
    </row>
    <row r="93" spans="1:12" s="2334" customFormat="1">
      <c r="A93" s="2638"/>
      <c r="D93" s="2928"/>
      <c r="K93" s="1044"/>
      <c r="L93" s="1044"/>
    </row>
    <row r="94" spans="1:12" s="2334" customFormat="1">
      <c r="A94" s="2638"/>
      <c r="D94" s="2928"/>
      <c r="K94" s="1044"/>
      <c r="L94" s="1044"/>
    </row>
    <row r="95" spans="1:12" s="2334" customFormat="1">
      <c r="A95" s="2638"/>
      <c r="D95" s="2928"/>
      <c r="K95" s="1044"/>
      <c r="L95" s="1044"/>
    </row>
    <row r="96" spans="1:12" s="2334" customFormat="1">
      <c r="A96" s="2638"/>
      <c r="D96" s="2928"/>
      <c r="K96" s="1044"/>
      <c r="L96" s="1044"/>
    </row>
    <row r="97" spans="1:12" s="2334" customFormat="1">
      <c r="A97" s="2638"/>
      <c r="D97" s="2928"/>
      <c r="K97" s="1044"/>
      <c r="L97" s="1044"/>
    </row>
    <row r="98" spans="1:12" s="2334" customFormat="1">
      <c r="A98" s="2638"/>
      <c r="D98" s="2928"/>
      <c r="K98" s="1044"/>
      <c r="L98" s="1044"/>
    </row>
    <row r="99" spans="1:12" s="2334" customFormat="1">
      <c r="A99" s="2638"/>
      <c r="D99" s="2928"/>
      <c r="K99" s="1044"/>
      <c r="L99" s="1044"/>
    </row>
    <row r="100" spans="1:12" s="2334" customFormat="1">
      <c r="A100" s="2638"/>
      <c r="D100" s="2928"/>
      <c r="K100" s="1044"/>
      <c r="L100" s="1044"/>
    </row>
    <row r="101" spans="1:12" s="2334" customFormat="1">
      <c r="A101" s="2638"/>
      <c r="D101" s="2928"/>
      <c r="K101" s="1044"/>
      <c r="L101" s="1044"/>
    </row>
    <row r="102" spans="1:12" s="2334" customFormat="1">
      <c r="A102" s="2638"/>
      <c r="D102" s="2928"/>
      <c r="K102" s="1044"/>
      <c r="L102" s="1044"/>
    </row>
    <row r="103" spans="1:12" s="2334" customFormat="1">
      <c r="A103" s="2638"/>
      <c r="D103" s="2928"/>
      <c r="K103" s="1044"/>
      <c r="L103" s="1044"/>
    </row>
    <row r="104" spans="1:12" s="2334" customFormat="1">
      <c r="A104" s="2638"/>
      <c r="D104" s="2928"/>
      <c r="K104" s="1044"/>
      <c r="L104" s="1044"/>
    </row>
    <row r="105" spans="1:12" s="2334" customFormat="1">
      <c r="A105" s="2638"/>
      <c r="D105" s="2928"/>
      <c r="K105" s="1044"/>
      <c r="L105" s="1044"/>
    </row>
    <row r="106" spans="1:12" s="2334" customFormat="1">
      <c r="A106" s="2638"/>
      <c r="D106" s="2928"/>
      <c r="K106" s="1044"/>
      <c r="L106" s="1044"/>
    </row>
    <row r="107" spans="1:12" s="2334" customFormat="1">
      <c r="A107" s="2638"/>
      <c r="D107" s="2928"/>
      <c r="K107" s="1044"/>
      <c r="L107" s="1044"/>
    </row>
    <row r="108" spans="1:12" s="2334" customFormat="1">
      <c r="A108" s="2638"/>
      <c r="D108" s="2928"/>
      <c r="K108" s="1044"/>
      <c r="L108" s="1044"/>
    </row>
    <row r="109" spans="1:12" s="2334" customFormat="1">
      <c r="A109" s="2638"/>
      <c r="D109" s="2928"/>
      <c r="K109" s="1044"/>
      <c r="L109" s="1044"/>
    </row>
    <row r="110" spans="1:12" s="2334" customFormat="1">
      <c r="A110" s="2638"/>
      <c r="D110" s="2928"/>
      <c r="K110" s="1044"/>
      <c r="L110" s="1044"/>
    </row>
    <row r="111" spans="1:12" s="2334" customFormat="1">
      <c r="A111" s="2638"/>
      <c r="D111" s="2928"/>
      <c r="K111" s="1044"/>
      <c r="L111" s="1044"/>
    </row>
    <row r="112" spans="1:12" s="2334" customFormat="1">
      <c r="A112" s="2638"/>
      <c r="D112" s="2928"/>
      <c r="K112" s="1044"/>
      <c r="L112" s="1044"/>
    </row>
    <row r="113" spans="1:12" s="2334" customFormat="1">
      <c r="A113" s="2638"/>
      <c r="D113" s="2928"/>
      <c r="K113" s="1044"/>
      <c r="L113" s="1044"/>
    </row>
    <row r="114" spans="1:12" s="2334" customFormat="1">
      <c r="A114" s="2638"/>
      <c r="D114" s="2928"/>
      <c r="K114" s="1044"/>
      <c r="L114" s="1044"/>
    </row>
    <row r="115" spans="1:12" s="2334" customFormat="1">
      <c r="A115" s="2638"/>
      <c r="D115" s="2928"/>
      <c r="K115" s="1044"/>
      <c r="L115" s="1044"/>
    </row>
    <row r="116" spans="1:12" s="2334" customFormat="1">
      <c r="A116" s="2638"/>
      <c r="D116" s="2928"/>
      <c r="K116" s="1044"/>
      <c r="L116" s="1044"/>
    </row>
    <row r="117" spans="1:12" s="2334" customFormat="1">
      <c r="A117" s="2638"/>
      <c r="D117" s="2928"/>
      <c r="K117" s="1044"/>
      <c r="L117" s="1044"/>
    </row>
    <row r="118" spans="1:12" s="2334" customFormat="1">
      <c r="A118" s="2638"/>
      <c r="D118" s="2928"/>
      <c r="K118" s="1044"/>
      <c r="L118" s="1044"/>
    </row>
    <row r="119" spans="1:12" s="2334" customFormat="1">
      <c r="A119" s="2638"/>
      <c r="D119" s="2928"/>
      <c r="K119" s="1044"/>
      <c r="L119" s="1044"/>
    </row>
    <row r="120" spans="1:12" s="2334" customFormat="1">
      <c r="A120" s="2638"/>
      <c r="D120" s="2928"/>
      <c r="K120" s="1044"/>
      <c r="L120" s="1044"/>
    </row>
    <row r="121" spans="1:12" s="2334" customFormat="1">
      <c r="A121" s="2638"/>
      <c r="D121" s="2928"/>
      <c r="K121" s="1044"/>
      <c r="L121" s="1044"/>
    </row>
    <row r="122" spans="1:12" s="2334" customFormat="1">
      <c r="A122" s="2638"/>
      <c r="D122" s="2928"/>
      <c r="K122" s="1044"/>
      <c r="L122" s="1044"/>
    </row>
    <row r="123" spans="1:12" s="2334" customFormat="1">
      <c r="A123" s="2638"/>
      <c r="D123" s="2928"/>
      <c r="K123" s="1044"/>
      <c r="L123" s="1044"/>
    </row>
    <row r="124" spans="1:12" s="2334" customFormat="1">
      <c r="A124" s="2638"/>
      <c r="D124" s="2928"/>
      <c r="K124" s="1044"/>
      <c r="L124" s="1044"/>
    </row>
    <row r="125" spans="1:12" s="2334" customFormat="1">
      <c r="A125" s="2638"/>
      <c r="D125" s="2928"/>
      <c r="K125" s="1044"/>
      <c r="L125" s="1044"/>
    </row>
    <row r="126" spans="1:12" s="2334" customFormat="1">
      <c r="A126" s="2638"/>
      <c r="D126" s="2928"/>
      <c r="K126" s="1044"/>
      <c r="L126" s="1044"/>
    </row>
    <row r="127" spans="1:12" s="2334" customFormat="1">
      <c r="A127" s="2638"/>
      <c r="D127" s="2928"/>
      <c r="K127" s="1044"/>
      <c r="L127" s="1044"/>
    </row>
    <row r="128" spans="1:12" s="2334" customFormat="1">
      <c r="A128" s="2638"/>
      <c r="D128" s="2928"/>
      <c r="K128" s="1044"/>
      <c r="L128" s="1044"/>
    </row>
    <row r="129" spans="1:12" s="2334" customFormat="1">
      <c r="A129" s="2638"/>
      <c r="D129" s="2928"/>
      <c r="K129" s="1044"/>
      <c r="L129" s="1044"/>
    </row>
    <row r="130" spans="1:12" s="2334" customFormat="1">
      <c r="A130" s="2638"/>
      <c r="D130" s="2928"/>
      <c r="K130" s="1044"/>
      <c r="L130" s="1044"/>
    </row>
    <row r="131" spans="1:12" s="2334" customFormat="1">
      <c r="A131" s="2638"/>
      <c r="D131" s="2928"/>
      <c r="K131" s="1044"/>
      <c r="L131" s="1044"/>
    </row>
    <row r="132" spans="1:12" s="2334" customFormat="1">
      <c r="A132" s="2638"/>
      <c r="D132" s="2928"/>
      <c r="K132" s="1044"/>
      <c r="L132" s="1044"/>
    </row>
    <row r="133" spans="1:12" s="2334" customFormat="1">
      <c r="A133" s="2638"/>
      <c r="D133" s="2928"/>
      <c r="K133" s="1044"/>
      <c r="L133" s="1044"/>
    </row>
    <row r="134" spans="1:12" s="2734" customFormat="1">
      <c r="A134" s="2929"/>
      <c r="D134" s="2930"/>
      <c r="K134" s="949"/>
      <c r="L134" s="949"/>
    </row>
    <row r="135" spans="1:12" s="2734" customFormat="1">
      <c r="A135" s="2929"/>
      <c r="D135" s="2930"/>
      <c r="K135" s="949"/>
      <c r="L135" s="949"/>
    </row>
    <row r="136" spans="1:12" s="2734" customFormat="1">
      <c r="A136" s="2929"/>
      <c r="D136" s="2930"/>
      <c r="K136" s="949"/>
      <c r="L136" s="949"/>
    </row>
    <row r="137" spans="1:12" s="2734" customFormat="1">
      <c r="A137" s="2929"/>
      <c r="D137" s="2930"/>
      <c r="K137" s="949"/>
      <c r="L137" s="949"/>
    </row>
    <row r="138" spans="1:12" s="2734" customFormat="1">
      <c r="A138" s="2929"/>
      <c r="D138" s="2930"/>
      <c r="K138" s="949"/>
      <c r="L138" s="949"/>
    </row>
    <row r="139" spans="1:12" s="2734" customFormat="1">
      <c r="A139" s="2929"/>
      <c r="D139" s="2930"/>
      <c r="K139" s="949"/>
      <c r="L139" s="949"/>
    </row>
    <row r="140" spans="1:12" s="2734" customFormat="1">
      <c r="A140" s="2929"/>
      <c r="D140" s="2930"/>
      <c r="K140" s="949"/>
      <c r="L140" s="949"/>
    </row>
    <row r="141" spans="1:12" s="2734" customFormat="1">
      <c r="A141" s="2929"/>
      <c r="D141" s="2930"/>
      <c r="K141" s="949"/>
      <c r="L141" s="949"/>
    </row>
    <row r="142" spans="1:12" s="2734" customFormat="1">
      <c r="A142" s="2929"/>
      <c r="D142" s="2930"/>
      <c r="K142" s="949"/>
      <c r="L142" s="949"/>
    </row>
    <row r="143" spans="1:12" s="2734" customFormat="1">
      <c r="A143" s="2929"/>
      <c r="D143" s="2930"/>
      <c r="K143" s="949"/>
      <c r="L143" s="949"/>
    </row>
    <row r="144" spans="1:12" s="2734" customFormat="1">
      <c r="A144" s="2929"/>
      <c r="D144" s="2930"/>
      <c r="K144" s="949"/>
      <c r="L144" s="949"/>
    </row>
    <row r="145" spans="1:12" s="2734" customFormat="1">
      <c r="A145" s="2929"/>
      <c r="D145" s="2930"/>
      <c r="K145" s="949"/>
      <c r="L145" s="949"/>
    </row>
    <row r="146" spans="1:12" s="2734" customFormat="1">
      <c r="A146" s="2929"/>
      <c r="D146" s="2930"/>
      <c r="K146" s="949"/>
      <c r="L146" s="949"/>
    </row>
    <row r="147" spans="1:12" s="2734" customFormat="1">
      <c r="A147" s="2929"/>
      <c r="D147" s="2930"/>
      <c r="K147" s="949"/>
      <c r="L147" s="949"/>
    </row>
    <row r="148" spans="1:12" s="2734" customFormat="1">
      <c r="A148" s="2929"/>
      <c r="D148" s="2930"/>
      <c r="K148" s="949"/>
      <c r="L148" s="949"/>
    </row>
    <row r="149" spans="1:12" s="2734" customFormat="1">
      <c r="A149" s="2929"/>
      <c r="D149" s="2930"/>
      <c r="K149" s="949"/>
      <c r="L149" s="949"/>
    </row>
    <row r="150" spans="1:12" s="2734" customFormat="1">
      <c r="A150" s="2929"/>
      <c r="D150" s="2930"/>
      <c r="K150" s="949"/>
      <c r="L150" s="949"/>
    </row>
    <row r="151" spans="1:12" s="2734" customFormat="1">
      <c r="A151" s="2929"/>
      <c r="D151" s="2930"/>
      <c r="K151" s="949"/>
      <c r="L151" s="949"/>
    </row>
    <row r="152" spans="1:12" s="2734" customFormat="1">
      <c r="A152" s="2929"/>
      <c r="D152" s="2930"/>
      <c r="K152" s="949"/>
      <c r="L152" s="949"/>
    </row>
    <row r="153" spans="1:12" s="2734" customFormat="1">
      <c r="A153" s="2929"/>
      <c r="D153" s="2930"/>
      <c r="K153" s="949"/>
      <c r="L153" s="949"/>
    </row>
    <row r="154" spans="1:12" s="2734" customFormat="1">
      <c r="A154" s="2929"/>
      <c r="D154" s="2930"/>
      <c r="K154" s="949"/>
      <c r="L154" s="949"/>
    </row>
    <row r="155" spans="1:12" s="2734" customFormat="1">
      <c r="A155" s="2929"/>
      <c r="D155" s="2930"/>
      <c r="K155" s="949"/>
      <c r="L155" s="949"/>
    </row>
    <row r="156" spans="1:12" s="2734" customFormat="1">
      <c r="A156" s="2929"/>
      <c r="D156" s="2930"/>
      <c r="K156" s="949"/>
      <c r="L156" s="949"/>
    </row>
    <row r="157" spans="1:12" s="2734" customFormat="1">
      <c r="A157" s="2929"/>
      <c r="D157" s="2930"/>
      <c r="K157" s="949"/>
      <c r="L157" s="949"/>
    </row>
    <row r="158" spans="1:12" s="2734" customFormat="1">
      <c r="A158" s="2929"/>
      <c r="D158" s="2930"/>
      <c r="K158" s="949"/>
      <c r="L158" s="949"/>
    </row>
    <row r="159" spans="1:12" s="2734" customFormat="1">
      <c r="A159" s="2929"/>
      <c r="D159" s="2930"/>
      <c r="K159" s="949"/>
      <c r="L159" s="949"/>
    </row>
    <row r="160" spans="1:12" s="2734" customFormat="1">
      <c r="A160" s="2929"/>
      <c r="D160" s="2930"/>
      <c r="K160" s="949"/>
      <c r="L160" s="949"/>
    </row>
    <row r="161" spans="1:12" s="2734" customFormat="1">
      <c r="A161" s="2929"/>
      <c r="D161" s="2930"/>
      <c r="K161" s="949"/>
      <c r="L161" s="949"/>
    </row>
    <row r="162" spans="1:12" s="2734" customFormat="1">
      <c r="A162" s="2929"/>
      <c r="D162" s="2930"/>
      <c r="K162" s="949"/>
      <c r="L162" s="949"/>
    </row>
    <row r="163" spans="1:12" s="2734" customFormat="1">
      <c r="A163" s="2929"/>
      <c r="D163" s="2930"/>
      <c r="K163" s="949"/>
      <c r="L163" s="949"/>
    </row>
    <row r="164" spans="1:12" s="2734" customFormat="1">
      <c r="A164" s="2929"/>
      <c r="D164" s="2930"/>
      <c r="K164" s="949"/>
      <c r="L164" s="949"/>
    </row>
    <row r="165" spans="1:12" s="2734" customFormat="1">
      <c r="A165" s="2929"/>
      <c r="D165" s="2930"/>
      <c r="K165" s="949"/>
      <c r="L165" s="949"/>
    </row>
    <row r="166" spans="1:12" s="2734" customFormat="1">
      <c r="A166" s="2929"/>
      <c r="D166" s="2930"/>
      <c r="K166" s="949"/>
      <c r="L166" s="949"/>
    </row>
    <row r="167" spans="1:12" s="2734" customFormat="1">
      <c r="A167" s="2929"/>
      <c r="D167" s="2930"/>
      <c r="K167" s="949"/>
      <c r="L167" s="949"/>
    </row>
    <row r="168" spans="1:12" s="2734" customFormat="1">
      <c r="A168" s="2929"/>
      <c r="D168" s="2930"/>
      <c r="K168" s="949"/>
      <c r="L168" s="949"/>
    </row>
    <row r="169" spans="1:12" s="2734" customFormat="1">
      <c r="A169" s="2929"/>
      <c r="D169" s="2930"/>
      <c r="K169" s="949"/>
      <c r="L169" s="949"/>
    </row>
    <row r="170" spans="1:12" s="2734" customFormat="1">
      <c r="A170" s="2929"/>
      <c r="D170" s="2930"/>
      <c r="K170" s="949"/>
      <c r="L170" s="949"/>
    </row>
    <row r="171" spans="1:12" s="2734" customFormat="1">
      <c r="A171" s="2929"/>
      <c r="D171" s="2930"/>
      <c r="K171" s="949"/>
      <c r="L171" s="949"/>
    </row>
    <row r="172" spans="1:12" s="2734" customFormat="1">
      <c r="A172" s="2929"/>
      <c r="D172" s="2930"/>
      <c r="K172" s="949"/>
      <c r="L172" s="949"/>
    </row>
    <row r="173" spans="1:12" s="2734" customFormat="1">
      <c r="A173" s="2929"/>
      <c r="D173" s="2930"/>
      <c r="K173" s="949"/>
      <c r="L173" s="949"/>
    </row>
    <row r="174" spans="1:12" s="2734" customFormat="1">
      <c r="A174" s="2929"/>
      <c r="D174" s="2930"/>
      <c r="K174" s="949"/>
      <c r="L174" s="949"/>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26" sqref="J26"/>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1"/>
    <col min="30" max="16384" width="9" style="2662"/>
  </cols>
  <sheetData>
    <row r="1" spans="1:29" s="2660" customFormat="1" ht="18">
      <c r="A1" s="3687" t="s">
        <v>1286</v>
      </c>
      <c r="B1" s="3688"/>
      <c r="C1" s="3688"/>
      <c r="D1" s="3688"/>
      <c r="E1" s="3688"/>
      <c r="F1" s="3688"/>
      <c r="G1" s="3688"/>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1287</v>
      </c>
      <c r="D2" s="2673"/>
      <c r="E2" s="2670"/>
      <c r="F2" s="2674"/>
      <c r="G2" s="2672" t="s">
        <v>1288</v>
      </c>
      <c r="H2" s="2251"/>
      <c r="I2" s="2251"/>
      <c r="J2" s="2251"/>
      <c r="K2" s="2251"/>
      <c r="L2" s="2251"/>
      <c r="M2" s="2251"/>
      <c r="N2" s="2251"/>
      <c r="O2" s="2251"/>
      <c r="P2" s="2251"/>
      <c r="Q2" s="2251"/>
      <c r="R2" s="2251"/>
    </row>
    <row r="3" spans="1:29" ht="48">
      <c r="A3" s="2675" t="s">
        <v>1289</v>
      </c>
      <c r="B3" s="2676" t="s">
        <v>1290</v>
      </c>
      <c r="C3" s="2677" t="s">
        <v>1291</v>
      </c>
      <c r="D3" s="2678"/>
      <c r="E3" s="2679" t="s">
        <v>1289</v>
      </c>
      <c r="F3" s="2680" t="s">
        <v>1292</v>
      </c>
      <c r="G3" s="2681" t="s">
        <v>1293</v>
      </c>
      <c r="H3" s="2251"/>
      <c r="I3" s="2251"/>
      <c r="J3" s="2251"/>
      <c r="K3" s="2251"/>
      <c r="L3" s="2251"/>
      <c r="M3" s="2251"/>
      <c r="N3" s="2251"/>
      <c r="O3" s="2251"/>
      <c r="P3" s="2251"/>
      <c r="Q3" s="2251"/>
      <c r="R3" s="2251"/>
    </row>
    <row r="4" spans="1:29" ht="36.75">
      <c r="A4" s="2679"/>
      <c r="B4" s="2032" t="s">
        <v>1294</v>
      </c>
      <c r="C4" s="2682" t="s">
        <v>1295</v>
      </c>
      <c r="D4" s="2678"/>
      <c r="E4" s="2683"/>
      <c r="F4" s="2244" t="s">
        <v>1296</v>
      </c>
      <c r="G4" s="2684" t="s">
        <v>1297</v>
      </c>
      <c r="H4" s="2251"/>
      <c r="I4" s="2251"/>
      <c r="J4" s="2251"/>
      <c r="K4" s="2251"/>
      <c r="L4" s="2251"/>
      <c r="M4" s="2251"/>
      <c r="N4" s="2251"/>
      <c r="O4" s="2251"/>
      <c r="P4" s="2251"/>
      <c r="Q4" s="2251"/>
      <c r="R4" s="2251"/>
    </row>
    <row r="5" spans="1:29" ht="36.75">
      <c r="A5" s="2679"/>
      <c r="B5" s="2032" t="s">
        <v>1298</v>
      </c>
      <c r="C5" s="2682" t="s">
        <v>1299</v>
      </c>
      <c r="D5" s="2678"/>
      <c r="E5" s="2683"/>
      <c r="F5" s="2032" t="s">
        <v>1116</v>
      </c>
      <c r="G5" s="2684" t="s">
        <v>1300</v>
      </c>
      <c r="H5" s="2251"/>
      <c r="I5" s="2251"/>
      <c r="J5" s="2251"/>
      <c r="K5" s="2251"/>
      <c r="L5" s="2251"/>
      <c r="M5" s="2251"/>
      <c r="N5" s="2251"/>
      <c r="O5" s="2251"/>
      <c r="P5" s="2251"/>
      <c r="Q5" s="2251"/>
      <c r="R5" s="2251"/>
    </row>
    <row r="6" spans="1:29" ht="36">
      <c r="A6" s="2679"/>
      <c r="B6" s="2032" t="s">
        <v>1296</v>
      </c>
      <c r="C6" s="2684" t="s">
        <v>1297</v>
      </c>
      <c r="D6" s="2678"/>
      <c r="E6" s="2683"/>
      <c r="F6" s="2032" t="s">
        <v>1301</v>
      </c>
      <c r="G6" s="2684" t="s">
        <v>1302</v>
      </c>
      <c r="H6" s="2251"/>
      <c r="I6" s="2251"/>
      <c r="J6" s="2251"/>
      <c r="K6" s="2251"/>
      <c r="L6" s="2251"/>
      <c r="M6" s="2251"/>
      <c r="N6" s="2251"/>
      <c r="O6" s="2251"/>
      <c r="P6" s="2251"/>
      <c r="Q6" s="2251"/>
      <c r="R6" s="2251"/>
    </row>
    <row r="7" spans="1:29" ht="24">
      <c r="A7" s="2679"/>
      <c r="B7" s="2032" t="s">
        <v>1116</v>
      </c>
      <c r="C7" s="2684" t="s">
        <v>1300</v>
      </c>
      <c r="D7" s="2685"/>
      <c r="E7" s="2686"/>
      <c r="F7" s="2687" t="s">
        <v>1303</v>
      </c>
      <c r="G7" s="2688" t="s">
        <v>1304</v>
      </c>
      <c r="H7" s="2251"/>
      <c r="I7" s="2251"/>
      <c r="J7" s="2251"/>
      <c r="K7" s="2251"/>
      <c r="L7" s="2251"/>
      <c r="M7" s="2251"/>
      <c r="N7" s="2251"/>
      <c r="O7" s="2251"/>
      <c r="P7" s="2251"/>
      <c r="Q7" s="2251"/>
      <c r="R7" s="2251"/>
    </row>
    <row r="8" spans="1:29">
      <c r="A8" s="2679"/>
      <c r="B8" s="2032" t="s">
        <v>1301</v>
      </c>
      <c r="C8" s="2684" t="s">
        <v>1302</v>
      </c>
      <c r="D8" s="2685"/>
      <c r="E8" s="2685"/>
      <c r="F8" s="2154"/>
      <c r="G8" s="2154"/>
      <c r="H8" s="2251"/>
      <c r="I8" s="2251"/>
      <c r="J8" s="2251"/>
      <c r="K8" s="2251"/>
      <c r="L8" s="2251"/>
      <c r="M8" s="2251"/>
      <c r="N8" s="2251"/>
      <c r="O8" s="2251"/>
      <c r="P8" s="2251"/>
      <c r="Q8" s="2251"/>
      <c r="R8" s="2251"/>
    </row>
    <row r="9" spans="1:29" ht="24">
      <c r="A9" s="2679"/>
      <c r="B9" s="2032" t="s">
        <v>1305</v>
      </c>
      <c r="C9" s="2682" t="s">
        <v>1306</v>
      </c>
      <c r="D9" s="2678"/>
      <c r="E9" s="2685"/>
      <c r="F9" s="2154"/>
      <c r="G9" s="2154"/>
      <c r="H9" s="2251"/>
      <c r="I9" s="2251"/>
      <c r="J9" s="2251"/>
      <c r="K9" s="2251"/>
      <c r="L9" s="2251"/>
      <c r="M9" s="2251"/>
      <c r="N9" s="2251"/>
      <c r="O9" s="2251"/>
      <c r="P9" s="2251"/>
      <c r="Q9" s="2251"/>
      <c r="R9" s="2251"/>
    </row>
    <row r="10" spans="1:29" s="2661" customFormat="1">
      <c r="A10" s="2689"/>
      <c r="B10" s="2690" t="s">
        <v>1307</v>
      </c>
      <c r="C10" s="2691"/>
      <c r="D10" s="2678"/>
      <c r="E10" s="2678"/>
      <c r="F10" s="2154"/>
      <c r="G10" s="2154"/>
      <c r="H10" s="2692"/>
      <c r="I10" s="2722"/>
      <c r="J10" s="2723"/>
      <c r="K10" s="2692"/>
      <c r="L10" s="2722"/>
      <c r="M10" s="2723"/>
      <c r="N10" s="2692"/>
      <c r="O10" s="2722"/>
      <c r="P10" s="2723"/>
      <c r="Q10" s="2692"/>
      <c r="R10" s="2722"/>
      <c r="S10" s="2251"/>
      <c r="T10" s="2251"/>
      <c r="U10" s="2251"/>
      <c r="V10" s="2251"/>
      <c r="W10" s="2251"/>
      <c r="X10" s="2251"/>
      <c r="Y10" s="2251"/>
      <c r="Z10" s="2251"/>
      <c r="AA10" s="2251"/>
      <c r="AB10" s="2251"/>
      <c r="AC10" s="2251"/>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1"/>
      <c r="T11" s="2251"/>
      <c r="U11" s="2251"/>
      <c r="V11" s="2251"/>
      <c r="W11" s="2251"/>
      <c r="X11" s="2251"/>
      <c r="Y11" s="2251"/>
      <c r="Z11" s="2251"/>
      <c r="AA11" s="2251"/>
      <c r="AB11" s="2251"/>
      <c r="AC11" s="2251"/>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1308</v>
      </c>
      <c r="B13" s="2695"/>
      <c r="C13" s="2695"/>
      <c r="D13" s="2693"/>
      <c r="E13" s="2695"/>
      <c r="F13" s="2695"/>
      <c r="G13" s="2695"/>
    </row>
    <row r="14" spans="1:29">
      <c r="A14" s="2698"/>
      <c r="B14" s="2698"/>
      <c r="C14" s="2699" t="s">
        <v>1287</v>
      </c>
      <c r="D14" s="2678"/>
      <c r="E14" s="2700"/>
      <c r="F14" s="2700"/>
      <c r="G14" s="2672" t="s">
        <v>1288</v>
      </c>
    </row>
    <row r="15" spans="1:29" ht="51">
      <c r="A15" s="2701" t="s">
        <v>1289</v>
      </c>
      <c r="B15" s="2702" t="s">
        <v>1290</v>
      </c>
      <c r="C15" s="2703" t="str">
        <f>C3</f>
        <v>估价对象周边居住用地比例、居住小区规模和社区发展完善程度，综合评价居住社区成熟度一般</v>
      </c>
      <c r="D15" s="2678"/>
      <c r="E15" s="2704" t="s">
        <v>1289</v>
      </c>
      <c r="F15" s="2702" t="s">
        <v>1292</v>
      </c>
      <c r="G15" s="2705" t="str">
        <f>G3</f>
        <v>估价对象位于XX开发区，园区建设成熟度XX，产业集聚程度XX</v>
      </c>
    </row>
    <row r="16" spans="1:29" ht="38.25">
      <c r="A16" s="2706"/>
      <c r="B16" s="2707" t="s">
        <v>1294</v>
      </c>
      <c r="C16" s="2708" t="str">
        <f>C4</f>
        <v>估价对象位于XX商圈，周边商业氛围成熟，人流量大，商业繁华度好</v>
      </c>
      <c r="D16" s="2678"/>
      <c r="E16" s="2709"/>
      <c r="F16" s="2710" t="s">
        <v>1296</v>
      </c>
      <c r="G16" s="2711" t="str">
        <f>G4</f>
        <v>估价对象周边道路状况、公共交通通达情况、停车便捷程度，综合评价交通便捷度较好</v>
      </c>
    </row>
    <row r="17" spans="1:18" ht="38.25">
      <c r="A17" s="2706"/>
      <c r="B17" s="2707" t="s">
        <v>1298</v>
      </c>
      <c r="C17" s="2708" t="str">
        <f>C5</f>
        <v>估价对象位于XX商圈，周边办公楼项目较多，入驻率高，办公集聚程度较好</v>
      </c>
      <c r="D17" s="2685"/>
      <c r="E17" s="2709"/>
      <c r="F17" s="2710" t="s">
        <v>1309</v>
      </c>
      <c r="G17" s="2712"/>
    </row>
    <row r="18" spans="1:18" ht="38.25">
      <c r="A18" s="2706"/>
      <c r="B18" s="2710" t="s">
        <v>1296</v>
      </c>
      <c r="C18" s="2711" t="str">
        <f>C6</f>
        <v>估价对象周边道路状况、公共交通通达情况、停车便捷程度，综合评价交通便捷度较好</v>
      </c>
      <c r="D18" s="2685"/>
      <c r="E18" s="2709"/>
      <c r="F18" s="2710" t="s">
        <v>1303</v>
      </c>
      <c r="G18" s="2711" t="str">
        <f>G7</f>
        <v>该园区内是否有污染型企业，绿化情况，卫生条件，整体环境状况判断</v>
      </c>
    </row>
    <row r="19" spans="1:18" ht="25.5">
      <c r="A19" s="2706"/>
      <c r="B19" s="2710" t="s">
        <v>1309</v>
      </c>
      <c r="C19" s="2712"/>
      <c r="D19" s="2678"/>
      <c r="E19" s="2709"/>
      <c r="F19" s="2032" t="s">
        <v>1116</v>
      </c>
      <c r="G19" s="2711" t="str">
        <f>G5</f>
        <v>估价对象所在区域公共配套设施齐备情况</v>
      </c>
    </row>
    <row r="20" spans="1:18" ht="25.5">
      <c r="A20" s="2706"/>
      <c r="B20" s="2710" t="s">
        <v>1310</v>
      </c>
      <c r="C20" s="2708" t="str">
        <f>C9</f>
        <v>区域自然环境：；人文环境；综合评价环境状况一般</v>
      </c>
      <c r="D20" s="2685"/>
      <c r="E20" s="2709"/>
      <c r="F20" s="2032" t="s">
        <v>1301</v>
      </c>
      <c r="G20" s="2711" t="str">
        <f>G6</f>
        <v>估价对象所在区域基础设施水平</v>
      </c>
    </row>
    <row r="21" spans="1:18" ht="25.5">
      <c r="A21" s="2706"/>
      <c r="B21" s="2032" t="s">
        <v>1116</v>
      </c>
      <c r="C21" s="2711" t="str">
        <f>C7</f>
        <v>估价对象所在区域公共配套设施齐备情况</v>
      </c>
      <c r="D21" s="2678"/>
      <c r="E21" s="2709"/>
      <c r="F21" s="2710" t="s">
        <v>1311</v>
      </c>
      <c r="G21" s="2713"/>
    </row>
    <row r="22" spans="1:18" ht="13.5" customHeight="1">
      <c r="A22" s="2706"/>
      <c r="B22" s="2032" t="s">
        <v>1301</v>
      </c>
      <c r="C22" s="2711" t="str">
        <f>C8</f>
        <v>估价对象所在区域基础设施水平</v>
      </c>
      <c r="D22" s="2678"/>
      <c r="E22" s="2709"/>
      <c r="F22" s="2710" t="s">
        <v>1307</v>
      </c>
      <c r="G22" s="2712"/>
    </row>
    <row r="23" spans="1:18" s="2251" customFormat="1">
      <c r="A23" s="2706"/>
      <c r="B23" s="2710" t="s">
        <v>1311</v>
      </c>
      <c r="C23" s="2713"/>
      <c r="D23" s="2638"/>
      <c r="E23" s="2714"/>
      <c r="F23" s="2715" t="s">
        <v>498</v>
      </c>
      <c r="G23" s="2716"/>
      <c r="H23" s="2666"/>
      <c r="I23" s="2667"/>
      <c r="J23" s="2666"/>
      <c r="K23" s="2666"/>
      <c r="L23" s="2667"/>
      <c r="M23" s="2666"/>
      <c r="N23" s="2666"/>
      <c r="O23" s="2667"/>
      <c r="P23" s="2666"/>
      <c r="Q23" s="2666"/>
      <c r="R23" s="2668"/>
    </row>
    <row r="24" spans="1:18" s="2251" customFormat="1">
      <c r="A24" s="2717"/>
      <c r="B24" s="2715" t="s">
        <v>1307</v>
      </c>
      <c r="C24" s="2718">
        <f>C10</f>
        <v>0</v>
      </c>
      <c r="D24" s="2638"/>
      <c r="E24" s="2719"/>
      <c r="F24" s="2719"/>
      <c r="G24" s="2720"/>
      <c r="H24" s="2666"/>
      <c r="I24" s="2667"/>
      <c r="J24" s="2666"/>
      <c r="K24" s="2666"/>
      <c r="L24" s="2667"/>
      <c r="M24" s="2666"/>
      <c r="N24" s="2666"/>
      <c r="O24" s="2667"/>
      <c r="P24" s="2666"/>
      <c r="Q24" s="2666"/>
      <c r="R24" s="2668"/>
    </row>
    <row r="25" spans="1:18" s="2251" customFormat="1">
      <c r="B25" s="2666"/>
      <c r="C25" s="2666"/>
      <c r="D25" s="2666"/>
      <c r="H25" s="2666"/>
      <c r="I25" s="2667"/>
      <c r="J25" s="2666"/>
      <c r="K25" s="2666"/>
      <c r="L25" s="2667"/>
      <c r="M25" s="2666"/>
      <c r="N25" s="2666"/>
      <c r="O25" s="2667"/>
      <c r="P25" s="2666"/>
      <c r="Q25" s="2666"/>
      <c r="R25" s="2668"/>
    </row>
    <row r="26" spans="1:18" s="2251" customFormat="1">
      <c r="B26" s="2666"/>
      <c r="C26" s="2666"/>
      <c r="D26" s="2666"/>
      <c r="H26" s="2666"/>
      <c r="I26" s="2667"/>
      <c r="J26" s="2666"/>
      <c r="K26" s="2666"/>
      <c r="L26" s="2667"/>
      <c r="M26" s="2666"/>
      <c r="N26" s="2666"/>
      <c r="O26" s="2667"/>
      <c r="P26" s="2666"/>
      <c r="Q26" s="2666"/>
      <c r="R26" s="2668"/>
    </row>
    <row r="27" spans="1:18" s="2251" customFormat="1">
      <c r="B27" s="2666"/>
      <c r="C27" s="2666"/>
      <c r="D27" s="2666"/>
      <c r="H27" s="2666"/>
      <c r="I27" s="2667"/>
      <c r="J27" s="2666"/>
      <c r="K27" s="2666"/>
      <c r="L27" s="2667"/>
      <c r="M27" s="2666"/>
      <c r="N27" s="2666"/>
      <c r="O27" s="2667"/>
      <c r="P27" s="2666"/>
      <c r="Q27" s="2666"/>
      <c r="R27" s="2668"/>
    </row>
    <row r="28" spans="1:18" s="2251" customFormat="1">
      <c r="B28" s="2666"/>
      <c r="C28" s="2666"/>
      <c r="D28" s="2666"/>
      <c r="H28" s="2666"/>
      <c r="I28" s="2667"/>
      <c r="J28" s="2666"/>
      <c r="K28" s="2666"/>
      <c r="L28" s="2667"/>
      <c r="M28" s="2666"/>
      <c r="N28" s="2666"/>
      <c r="O28" s="2667"/>
      <c r="P28" s="2666"/>
      <c r="Q28" s="2666"/>
      <c r="R28" s="2668"/>
    </row>
    <row r="29" spans="1:18" s="2251" customFormat="1">
      <c r="B29" s="2666"/>
      <c r="C29" s="2666"/>
      <c r="D29" s="2666"/>
      <c r="H29" s="2666"/>
      <c r="I29" s="2667"/>
      <c r="J29" s="2666"/>
      <c r="K29" s="2666"/>
      <c r="L29" s="2667"/>
      <c r="M29" s="2666"/>
      <c r="N29" s="2666"/>
      <c r="O29" s="2667"/>
      <c r="P29" s="2666"/>
      <c r="Q29" s="2666"/>
      <c r="R29" s="2668"/>
    </row>
    <row r="30" spans="1:18" s="2251" customFormat="1">
      <c r="B30" s="2666"/>
      <c r="C30" s="2666"/>
      <c r="D30" s="2666"/>
      <c r="H30" s="2666"/>
      <c r="I30" s="2667"/>
      <c r="J30" s="2666"/>
      <c r="K30" s="2666"/>
      <c r="L30" s="2667"/>
      <c r="M30" s="2666"/>
      <c r="N30" s="2666"/>
      <c r="O30" s="2667"/>
      <c r="P30" s="2666"/>
      <c r="Q30" s="2666"/>
      <c r="R30" s="2668"/>
    </row>
    <row r="31" spans="1:18" s="2251" customFormat="1">
      <c r="B31" s="2666"/>
      <c r="C31" s="2666"/>
      <c r="D31" s="2666"/>
      <c r="H31" s="2666"/>
      <c r="I31" s="2667"/>
      <c r="J31" s="2666"/>
      <c r="K31" s="2666"/>
      <c r="L31" s="2667"/>
      <c r="M31" s="2666"/>
      <c r="N31" s="2666"/>
      <c r="O31" s="2667"/>
      <c r="P31" s="2666"/>
      <c r="Q31" s="2666"/>
      <c r="R31" s="2668"/>
    </row>
    <row r="32" spans="1:18" s="2251" customFormat="1">
      <c r="B32" s="2666"/>
      <c r="C32" s="2666"/>
      <c r="D32" s="2666"/>
      <c r="H32" s="2666"/>
      <c r="I32" s="2667"/>
      <c r="J32" s="2666"/>
      <c r="K32" s="2666"/>
      <c r="L32" s="2667"/>
      <c r="M32" s="2666"/>
      <c r="N32" s="2666"/>
      <c r="O32" s="2667"/>
      <c r="P32" s="2666"/>
      <c r="Q32" s="2666"/>
      <c r="R32" s="2668"/>
    </row>
    <row r="33" spans="2:18" s="2251" customFormat="1">
      <c r="B33" s="2666"/>
      <c r="C33" s="2666"/>
      <c r="D33" s="2666"/>
      <c r="H33" s="2666"/>
      <c r="I33" s="2667"/>
      <c r="J33" s="2666"/>
      <c r="K33" s="2666"/>
      <c r="L33" s="2667"/>
      <c r="M33" s="2666"/>
      <c r="N33" s="2666"/>
      <c r="O33" s="2667"/>
      <c r="P33" s="2666"/>
      <c r="Q33" s="2666"/>
      <c r="R33" s="2668"/>
    </row>
    <row r="34" spans="2:18" s="2251" customFormat="1">
      <c r="B34" s="2666"/>
      <c r="C34" s="2666"/>
      <c r="D34" s="2666"/>
      <c r="H34" s="2666"/>
      <c r="I34" s="2667"/>
      <c r="J34" s="2666"/>
      <c r="K34" s="2666"/>
      <c r="L34" s="2667"/>
      <c r="M34" s="2666"/>
      <c r="N34" s="2666"/>
      <c r="O34" s="2667"/>
      <c r="P34" s="2666"/>
      <c r="Q34" s="2666"/>
      <c r="R34" s="2668"/>
    </row>
    <row r="35" spans="2:18" s="2251" customFormat="1">
      <c r="B35" s="2666"/>
      <c r="C35" s="2666"/>
      <c r="D35" s="2666"/>
      <c r="H35" s="2666"/>
      <c r="I35" s="2667"/>
      <c r="J35" s="2666"/>
      <c r="K35" s="2666"/>
      <c r="L35" s="2667"/>
      <c r="M35" s="2666"/>
      <c r="N35" s="2666"/>
      <c r="O35" s="2667"/>
      <c r="P35" s="2666"/>
      <c r="Q35" s="2666"/>
      <c r="R35" s="2668"/>
    </row>
    <row r="36" spans="2:18" s="2251" customFormat="1">
      <c r="B36" s="2666"/>
      <c r="C36" s="2666"/>
      <c r="D36" s="2666"/>
      <c r="H36" s="2666"/>
      <c r="I36" s="2667"/>
      <c r="J36" s="2666"/>
      <c r="K36" s="2666"/>
      <c r="L36" s="2667"/>
      <c r="M36" s="2666"/>
      <c r="N36" s="2666"/>
      <c r="O36" s="2667"/>
      <c r="P36" s="2666"/>
      <c r="Q36" s="2666"/>
      <c r="R36" s="2668"/>
    </row>
    <row r="37" spans="2:18" s="2251" customFormat="1">
      <c r="B37" s="2666"/>
      <c r="C37" s="2666"/>
      <c r="D37" s="2666"/>
      <c r="H37" s="2666"/>
      <c r="I37" s="2667"/>
      <c r="J37" s="2666"/>
      <c r="K37" s="2666"/>
      <c r="L37" s="2667"/>
      <c r="M37" s="2666"/>
      <c r="N37" s="2666"/>
      <c r="O37" s="2667"/>
      <c r="P37" s="2666"/>
      <c r="Q37" s="2666"/>
      <c r="R37" s="2668"/>
    </row>
    <row r="38" spans="2:18" s="2251" customFormat="1">
      <c r="B38" s="2666"/>
      <c r="C38" s="2666"/>
      <c r="D38" s="2666"/>
      <c r="E38" s="2666"/>
      <c r="F38" s="2666"/>
      <c r="G38" s="2667"/>
      <c r="H38" s="2666"/>
      <c r="I38" s="2667"/>
      <c r="J38" s="2666"/>
      <c r="K38" s="2666"/>
      <c r="L38" s="2667"/>
      <c r="M38" s="2666"/>
      <c r="N38" s="2666"/>
      <c r="O38" s="2667"/>
      <c r="P38" s="2666"/>
      <c r="Q38" s="2666"/>
      <c r="R38" s="2668"/>
    </row>
    <row r="39" spans="2:18" s="2251" customFormat="1">
      <c r="B39" s="2666"/>
      <c r="C39" s="2666"/>
      <c r="D39" s="2666"/>
      <c r="E39" s="2666"/>
      <c r="F39" s="2666"/>
      <c r="G39" s="2667"/>
      <c r="H39" s="2666"/>
      <c r="I39" s="2667"/>
      <c r="J39" s="2666"/>
      <c r="K39" s="2666"/>
      <c r="L39" s="2667"/>
      <c r="M39" s="2666"/>
      <c r="N39" s="2666"/>
      <c r="O39" s="2667"/>
      <c r="P39" s="2666"/>
      <c r="Q39" s="2666"/>
      <c r="R39" s="2668"/>
    </row>
    <row r="40" spans="2:18" s="2251" customFormat="1">
      <c r="B40" s="2666"/>
      <c r="C40" s="2666"/>
      <c r="D40" s="2666"/>
      <c r="E40" s="2666"/>
      <c r="F40" s="2666"/>
      <c r="G40" s="2667"/>
      <c r="H40" s="2666"/>
      <c r="I40" s="2667"/>
      <c r="J40" s="2666"/>
      <c r="K40" s="2666"/>
      <c r="L40" s="2667"/>
      <c r="M40" s="2666"/>
      <c r="N40" s="2666"/>
      <c r="O40" s="2667"/>
      <c r="P40" s="2666"/>
      <c r="Q40" s="2666"/>
      <c r="R40" s="2668"/>
    </row>
    <row r="41" spans="2:18" s="2251" customFormat="1">
      <c r="B41" s="2666"/>
      <c r="C41" s="2666"/>
      <c r="D41" s="2666"/>
      <c r="E41" s="2666"/>
      <c r="F41" s="2666"/>
      <c r="G41" s="2667"/>
      <c r="H41" s="2666"/>
      <c r="I41" s="2667"/>
      <c r="J41" s="2666"/>
      <c r="K41" s="2666"/>
      <c r="L41" s="2667"/>
      <c r="M41" s="2666"/>
      <c r="N41" s="2666"/>
      <c r="O41" s="2667"/>
      <c r="P41" s="2666"/>
      <c r="Q41" s="2666"/>
      <c r="R41" s="2668"/>
    </row>
    <row r="42" spans="2:18" s="2251" customFormat="1">
      <c r="B42" s="2666"/>
      <c r="C42" s="2666"/>
      <c r="D42" s="2666"/>
      <c r="E42" s="2666"/>
      <c r="F42" s="2666"/>
      <c r="G42" s="2667"/>
      <c r="H42" s="2666"/>
      <c r="I42" s="2667"/>
      <c r="J42" s="2666"/>
      <c r="K42" s="2666"/>
      <c r="L42" s="2667"/>
      <c r="M42" s="2666"/>
      <c r="N42" s="2666"/>
      <c r="O42" s="2667"/>
      <c r="P42" s="2666"/>
      <c r="Q42" s="2666"/>
      <c r="R42" s="2668"/>
    </row>
    <row r="43" spans="2:18" s="2251" customFormat="1">
      <c r="B43" s="2666"/>
      <c r="C43" s="2666"/>
      <c r="D43" s="2666"/>
      <c r="E43" s="2666"/>
      <c r="F43" s="2666"/>
      <c r="G43" s="2667"/>
      <c r="H43" s="2666"/>
      <c r="I43" s="2667"/>
      <c r="J43" s="2666"/>
      <c r="K43" s="2666"/>
      <c r="L43" s="2667"/>
      <c r="M43" s="2666"/>
      <c r="N43" s="2666"/>
      <c r="O43" s="2667"/>
      <c r="P43" s="2666"/>
      <c r="Q43" s="2666"/>
      <c r="R43" s="2668"/>
    </row>
    <row r="44" spans="2:18" s="2251" customFormat="1">
      <c r="B44" s="2666"/>
      <c r="C44" s="2666"/>
      <c r="D44" s="2666"/>
      <c r="E44" s="2666"/>
      <c r="F44" s="2666"/>
      <c r="G44" s="2667"/>
      <c r="H44" s="2666"/>
      <c r="I44" s="2667"/>
      <c r="J44" s="2666"/>
      <c r="K44" s="2666"/>
      <c r="L44" s="2667"/>
      <c r="M44" s="2666"/>
      <c r="N44" s="2666"/>
      <c r="O44" s="2667"/>
      <c r="P44" s="2666"/>
      <c r="Q44" s="2666"/>
      <c r="R44" s="2668"/>
    </row>
    <row r="45" spans="2:18" s="2251" customFormat="1">
      <c r="B45" s="2666"/>
      <c r="C45" s="2666"/>
      <c r="D45" s="2666"/>
      <c r="E45" s="2666"/>
      <c r="F45" s="2666"/>
      <c r="G45" s="2667"/>
      <c r="H45" s="2666"/>
      <c r="I45" s="2667"/>
      <c r="J45" s="2666"/>
      <c r="K45" s="2666"/>
      <c r="L45" s="2667"/>
      <c r="M45" s="2666"/>
      <c r="N45" s="2666"/>
      <c r="O45" s="2667"/>
      <c r="P45" s="2666"/>
      <c r="Q45" s="2666"/>
      <c r="R45" s="2668"/>
    </row>
    <row r="46" spans="2:18" s="2251" customFormat="1">
      <c r="B46" s="2666"/>
      <c r="C46" s="2666"/>
      <c r="D46" s="2666"/>
      <c r="E46" s="2666"/>
      <c r="F46" s="2666"/>
      <c r="G46" s="2667"/>
      <c r="H46" s="2666"/>
      <c r="I46" s="2667"/>
      <c r="J46" s="2666"/>
      <c r="K46" s="2666"/>
      <c r="L46" s="2667"/>
      <c r="M46" s="2666"/>
      <c r="N46" s="2666"/>
      <c r="O46" s="2667"/>
      <c r="P46" s="2666"/>
      <c r="Q46" s="2666"/>
      <c r="R46" s="2668"/>
    </row>
    <row r="47" spans="2:18" s="2251" customFormat="1">
      <c r="B47" s="2666"/>
      <c r="C47" s="2666"/>
      <c r="D47" s="2666"/>
      <c r="E47" s="2666"/>
      <c r="F47" s="2666"/>
      <c r="G47" s="2667"/>
      <c r="H47" s="2666"/>
      <c r="I47" s="2667"/>
      <c r="J47" s="2666"/>
      <c r="K47" s="2666"/>
      <c r="L47" s="2667"/>
      <c r="M47" s="2666"/>
      <c r="N47" s="2666"/>
      <c r="O47" s="2667"/>
      <c r="P47" s="2666"/>
      <c r="Q47" s="2666"/>
      <c r="R47" s="2668"/>
    </row>
    <row r="48" spans="2:18" s="2251" customFormat="1">
      <c r="B48" s="2666"/>
      <c r="C48" s="2666"/>
      <c r="D48" s="2666"/>
      <c r="E48" s="2666"/>
      <c r="F48" s="2666"/>
      <c r="G48" s="2667"/>
      <c r="H48" s="2666"/>
      <c r="I48" s="2667"/>
      <c r="J48" s="2666"/>
      <c r="K48" s="2666"/>
      <c r="L48" s="2667"/>
      <c r="M48" s="2666"/>
      <c r="N48" s="2666"/>
      <c r="O48" s="2667"/>
      <c r="P48" s="2666"/>
      <c r="Q48" s="2666"/>
      <c r="R48" s="2668"/>
    </row>
    <row r="49" spans="2:18" s="2251" customFormat="1">
      <c r="B49" s="2666"/>
      <c r="C49" s="2666"/>
      <c r="D49" s="2666"/>
      <c r="E49" s="2666"/>
      <c r="F49" s="2666"/>
      <c r="G49" s="2667"/>
      <c r="H49" s="2666"/>
      <c r="I49" s="2667"/>
      <c r="J49" s="2666"/>
      <c r="K49" s="2666"/>
      <c r="L49" s="2667"/>
      <c r="M49" s="2666"/>
      <c r="N49" s="2666"/>
      <c r="O49" s="2667"/>
      <c r="P49" s="2666"/>
      <c r="Q49" s="2666"/>
      <c r="R49" s="2668"/>
    </row>
    <row r="50" spans="2:18" s="2251" customFormat="1">
      <c r="B50" s="2666"/>
      <c r="C50" s="2666"/>
      <c r="D50" s="2666"/>
      <c r="E50" s="2666"/>
      <c r="F50" s="2666"/>
      <c r="G50" s="2667"/>
      <c r="H50" s="2666"/>
      <c r="I50" s="2667"/>
      <c r="J50" s="2666"/>
      <c r="K50" s="2666"/>
      <c r="L50" s="2667"/>
      <c r="M50" s="2666"/>
      <c r="N50" s="2666"/>
      <c r="O50" s="2667"/>
      <c r="P50" s="2666"/>
      <c r="Q50" s="2666"/>
      <c r="R50" s="2668"/>
    </row>
    <row r="51" spans="2:18" s="2251" customFormat="1">
      <c r="B51" s="2666"/>
      <c r="C51" s="2666"/>
      <c r="D51" s="2666"/>
      <c r="E51" s="2666"/>
      <c r="F51" s="2666"/>
      <c r="G51" s="2667"/>
      <c r="H51" s="2666"/>
      <c r="I51" s="2667"/>
      <c r="J51" s="2666"/>
      <c r="K51" s="2666"/>
      <c r="L51" s="2667"/>
      <c r="M51" s="2666"/>
      <c r="N51" s="2666"/>
      <c r="O51" s="2667"/>
      <c r="P51" s="2666"/>
      <c r="Q51" s="2666"/>
      <c r="R51" s="2668"/>
    </row>
    <row r="52" spans="2:18" s="2251" customFormat="1">
      <c r="B52" s="2666"/>
      <c r="C52" s="2666"/>
      <c r="D52" s="2666"/>
      <c r="E52" s="2666"/>
      <c r="F52" s="2666"/>
      <c r="G52" s="2667"/>
      <c r="H52" s="2666"/>
      <c r="I52" s="2667"/>
      <c r="J52" s="2666"/>
      <c r="K52" s="2666"/>
      <c r="L52" s="2667"/>
      <c r="M52" s="2666"/>
      <c r="N52" s="2666"/>
      <c r="O52" s="2667"/>
      <c r="P52" s="2666"/>
      <c r="Q52" s="2666"/>
      <c r="R52" s="2668"/>
    </row>
    <row r="53" spans="2:18" s="2251" customFormat="1">
      <c r="B53" s="2666"/>
      <c r="C53" s="2666"/>
      <c r="D53" s="2666"/>
      <c r="E53" s="2666"/>
      <c r="F53" s="2666"/>
      <c r="G53" s="2667"/>
      <c r="H53" s="2666"/>
      <c r="I53" s="2667"/>
      <c r="J53" s="2666"/>
      <c r="K53" s="2666"/>
      <c r="L53" s="2667"/>
      <c r="M53" s="2666"/>
      <c r="N53" s="2666"/>
      <c r="O53" s="2667"/>
      <c r="P53" s="2666"/>
      <c r="Q53" s="2666"/>
      <c r="R53" s="2668"/>
    </row>
    <row r="54" spans="2:18" s="2251" customFormat="1">
      <c r="B54" s="2666"/>
      <c r="C54" s="2666"/>
      <c r="D54" s="2666"/>
      <c r="E54" s="2666"/>
      <c r="F54" s="2666"/>
      <c r="G54" s="2667"/>
      <c r="H54" s="2666"/>
      <c r="I54" s="2667"/>
      <c r="J54" s="2666"/>
      <c r="K54" s="2666"/>
      <c r="L54" s="2667"/>
      <c r="M54" s="2666"/>
      <c r="N54" s="2666"/>
      <c r="O54" s="2667"/>
      <c r="P54" s="2666"/>
      <c r="Q54" s="2666"/>
      <c r="R54" s="2668"/>
    </row>
    <row r="55" spans="2:18" s="2251" customFormat="1">
      <c r="B55" s="2666"/>
      <c r="C55" s="2666"/>
      <c r="D55" s="2666"/>
      <c r="E55" s="2666"/>
      <c r="F55" s="2666"/>
      <c r="G55" s="2667"/>
      <c r="H55" s="2666"/>
      <c r="I55" s="2667"/>
      <c r="J55" s="2666"/>
      <c r="K55" s="2666"/>
      <c r="L55" s="2667"/>
      <c r="M55" s="2666"/>
      <c r="N55" s="2666"/>
      <c r="O55" s="2667"/>
      <c r="P55" s="2666"/>
      <c r="Q55" s="2666"/>
      <c r="R55" s="2668"/>
    </row>
    <row r="56" spans="2:18" s="2251" customFormat="1">
      <c r="B56" s="2666"/>
      <c r="C56" s="2666"/>
      <c r="D56" s="2666"/>
      <c r="E56" s="2666"/>
      <c r="F56" s="2666"/>
      <c r="G56" s="2667"/>
      <c r="H56" s="2666"/>
      <c r="I56" s="2667"/>
      <c r="J56" s="2666"/>
      <c r="K56" s="2666"/>
      <c r="L56" s="2667"/>
      <c r="M56" s="2666"/>
      <c r="N56" s="2666"/>
      <c r="O56" s="2667"/>
      <c r="P56" s="2666"/>
      <c r="Q56" s="2666"/>
      <c r="R56" s="2668"/>
    </row>
    <row r="57" spans="2:18" s="2251" customFormat="1">
      <c r="B57" s="2666"/>
      <c r="C57" s="2666"/>
      <c r="D57" s="2666"/>
      <c r="E57" s="2666"/>
      <c r="F57" s="2666"/>
      <c r="G57" s="2667"/>
      <c r="H57" s="2666"/>
      <c r="I57" s="2667"/>
      <c r="J57" s="2666"/>
      <c r="K57" s="2666"/>
      <c r="L57" s="2667"/>
      <c r="M57" s="2666"/>
      <c r="N57" s="2666"/>
      <c r="O57" s="2667"/>
      <c r="P57" s="2666"/>
      <c r="Q57" s="2666"/>
      <c r="R57" s="2668"/>
    </row>
    <row r="58" spans="2:18" s="2251" customFormat="1">
      <c r="B58" s="2666"/>
      <c r="C58" s="2666"/>
      <c r="D58" s="2666"/>
      <c r="E58" s="2666"/>
      <c r="F58" s="2666"/>
      <c r="G58" s="2667"/>
      <c r="H58" s="2666"/>
      <c r="I58" s="2667"/>
      <c r="J58" s="2666"/>
      <c r="K58" s="2666"/>
      <c r="L58" s="2667"/>
      <c r="M58" s="2666"/>
      <c r="N58" s="2666"/>
      <c r="O58" s="2667"/>
      <c r="P58" s="2666"/>
      <c r="Q58" s="2666"/>
      <c r="R58" s="2668"/>
    </row>
    <row r="59" spans="2:18" s="2251" customFormat="1">
      <c r="B59" s="2666"/>
      <c r="C59" s="2666"/>
      <c r="D59" s="2666"/>
      <c r="E59" s="2666"/>
      <c r="F59" s="2666"/>
      <c r="G59" s="2667"/>
      <c r="H59" s="2666"/>
      <c r="I59" s="2667"/>
      <c r="J59" s="2666"/>
      <c r="K59" s="2666"/>
      <c r="L59" s="2667"/>
      <c r="M59" s="2666"/>
      <c r="N59" s="2666"/>
      <c r="O59" s="2667"/>
      <c r="P59" s="2666"/>
      <c r="Q59" s="2666"/>
      <c r="R59" s="2668"/>
    </row>
    <row r="60" spans="2:18" s="2251" customFormat="1">
      <c r="B60" s="2666"/>
      <c r="C60" s="2666"/>
      <c r="D60" s="2666"/>
      <c r="E60" s="2666"/>
      <c r="F60" s="2666"/>
      <c r="G60" s="2667"/>
      <c r="H60" s="2666"/>
      <c r="I60" s="2667"/>
      <c r="J60" s="2666"/>
      <c r="K60" s="2666"/>
      <c r="L60" s="2667"/>
      <c r="M60" s="2666"/>
      <c r="N60" s="2666"/>
      <c r="O60" s="2667"/>
      <c r="P60" s="2666"/>
      <c r="Q60" s="2666"/>
      <c r="R60" s="2668"/>
    </row>
    <row r="61" spans="2:18" s="2251" customFormat="1">
      <c r="B61" s="2666"/>
      <c r="C61" s="2666"/>
      <c r="D61" s="2666"/>
      <c r="E61" s="2666"/>
      <c r="F61" s="2666"/>
      <c r="G61" s="2667"/>
      <c r="H61" s="2666"/>
      <c r="I61" s="2667"/>
      <c r="J61" s="2666"/>
      <c r="K61" s="2666"/>
      <c r="L61" s="2667"/>
      <c r="M61" s="2666"/>
      <c r="N61" s="2666"/>
      <c r="O61" s="2667"/>
      <c r="P61" s="2666"/>
      <c r="Q61" s="2666"/>
      <c r="R61" s="2668"/>
    </row>
    <row r="62" spans="2:18" s="2251" customFormat="1">
      <c r="B62" s="2666"/>
      <c r="C62" s="2666"/>
      <c r="D62" s="2666"/>
      <c r="E62" s="2666"/>
      <c r="F62" s="2666"/>
      <c r="G62" s="2667"/>
      <c r="H62" s="2666"/>
      <c r="I62" s="2667"/>
      <c r="J62" s="2666"/>
      <c r="K62" s="2666"/>
      <c r="L62" s="2667"/>
      <c r="M62" s="2666"/>
      <c r="N62" s="2666"/>
      <c r="O62" s="2667"/>
      <c r="P62" s="2666"/>
      <c r="Q62" s="2666"/>
      <c r="R62" s="2668"/>
    </row>
    <row r="63" spans="2:18" s="2251" customFormat="1">
      <c r="B63" s="2666"/>
      <c r="C63" s="2666"/>
      <c r="D63" s="2666"/>
      <c r="E63" s="2666"/>
      <c r="F63" s="2666"/>
      <c r="G63" s="2667"/>
      <c r="H63" s="2666"/>
      <c r="I63" s="2667"/>
      <c r="J63" s="2666"/>
      <c r="K63" s="2666"/>
      <c r="L63" s="2667"/>
      <c r="M63" s="2666"/>
      <c r="N63" s="2666"/>
      <c r="O63" s="2667"/>
      <c r="P63" s="2666"/>
      <c r="Q63" s="2666"/>
      <c r="R63" s="2668"/>
    </row>
    <row r="64" spans="2:18" s="2251" customFormat="1">
      <c r="B64" s="2666"/>
      <c r="C64" s="2666"/>
      <c r="D64" s="2666"/>
      <c r="E64" s="2666"/>
      <c r="F64" s="2666"/>
      <c r="G64" s="2667"/>
      <c r="H64" s="2666"/>
      <c r="I64" s="2667"/>
      <c r="J64" s="2666"/>
      <c r="K64" s="2666"/>
      <c r="L64" s="2667"/>
      <c r="M64" s="2666"/>
      <c r="N64" s="2666"/>
      <c r="O64" s="2667"/>
      <c r="P64" s="2666"/>
      <c r="Q64" s="2666"/>
      <c r="R64" s="2668"/>
    </row>
    <row r="65" spans="2:18" s="2251" customFormat="1">
      <c r="B65" s="2666"/>
      <c r="C65" s="2666"/>
      <c r="D65" s="2666"/>
      <c r="E65" s="2666"/>
      <c r="F65" s="2666"/>
      <c r="G65" s="2667"/>
      <c r="H65" s="2666"/>
      <c r="I65" s="2667"/>
      <c r="J65" s="2666"/>
      <c r="K65" s="2666"/>
      <c r="L65" s="2667"/>
      <c r="M65" s="2666"/>
      <c r="N65" s="2666"/>
      <c r="O65" s="2667"/>
      <c r="P65" s="2666"/>
      <c r="Q65" s="2666"/>
      <c r="R65" s="2668"/>
    </row>
    <row r="66" spans="2:18" s="2251" customFormat="1">
      <c r="B66" s="2666"/>
      <c r="C66" s="2666"/>
      <c r="D66" s="2666"/>
      <c r="E66" s="2666"/>
      <c r="F66" s="2666"/>
      <c r="G66" s="2667"/>
      <c r="H66" s="2666"/>
      <c r="I66" s="2667"/>
      <c r="J66" s="2666"/>
      <c r="K66" s="2666"/>
      <c r="L66" s="2667"/>
      <c r="M66" s="2666"/>
      <c r="N66" s="2666"/>
      <c r="O66" s="2667"/>
      <c r="P66" s="2666"/>
      <c r="Q66" s="2666"/>
      <c r="R66" s="2668"/>
    </row>
    <row r="67" spans="2:18" s="2251" customFormat="1">
      <c r="B67" s="2666"/>
      <c r="C67" s="2666"/>
      <c r="D67" s="2666"/>
      <c r="E67" s="2666"/>
      <c r="F67" s="2666"/>
      <c r="G67" s="2667"/>
      <c r="H67" s="2666"/>
      <c r="I67" s="2667"/>
      <c r="J67" s="2666"/>
      <c r="K67" s="2666"/>
      <c r="L67" s="2667"/>
      <c r="M67" s="2666"/>
      <c r="N67" s="2666"/>
      <c r="O67" s="2667"/>
      <c r="P67" s="2666"/>
      <c r="Q67" s="2666"/>
      <c r="R67" s="2668"/>
    </row>
    <row r="68" spans="2:18" s="2251" customFormat="1">
      <c r="B68" s="2666"/>
      <c r="C68" s="2666"/>
      <c r="D68" s="2666"/>
      <c r="E68" s="2666"/>
      <c r="F68" s="2666"/>
      <c r="G68" s="2667"/>
      <c r="H68" s="2666"/>
      <c r="I68" s="2667"/>
      <c r="J68" s="2666"/>
      <c r="K68" s="2666"/>
      <c r="L68" s="2667"/>
      <c r="M68" s="2666"/>
      <c r="N68" s="2666"/>
      <c r="O68" s="2667"/>
      <c r="P68" s="2666"/>
      <c r="Q68" s="2666"/>
      <c r="R68" s="2668"/>
    </row>
    <row r="69" spans="2:18" s="2251" customFormat="1">
      <c r="B69" s="2666"/>
      <c r="C69" s="2666"/>
      <c r="D69" s="2666"/>
      <c r="E69" s="2666"/>
      <c r="F69" s="2666"/>
      <c r="G69" s="2667"/>
      <c r="H69" s="2666"/>
      <c r="I69" s="2667"/>
      <c r="J69" s="2666"/>
      <c r="K69" s="2666"/>
      <c r="L69" s="2667"/>
      <c r="M69" s="2666"/>
      <c r="N69" s="2666"/>
      <c r="O69" s="2667"/>
      <c r="P69" s="2666"/>
      <c r="Q69" s="2666"/>
      <c r="R69" s="2668"/>
    </row>
    <row r="70" spans="2:18" s="2251" customFormat="1">
      <c r="B70" s="2666"/>
      <c r="C70" s="2666"/>
      <c r="D70" s="2666"/>
      <c r="E70" s="2666"/>
      <c r="F70" s="2666"/>
      <c r="G70" s="2667"/>
      <c r="H70" s="2666"/>
      <c r="I70" s="2667"/>
      <c r="J70" s="2666"/>
      <c r="K70" s="2666"/>
      <c r="L70" s="2667"/>
      <c r="M70" s="2666"/>
      <c r="N70" s="2666"/>
      <c r="O70" s="2667"/>
      <c r="P70" s="2666"/>
      <c r="Q70" s="2666"/>
      <c r="R70" s="2668"/>
    </row>
    <row r="71" spans="2:18" s="2251" customFormat="1">
      <c r="B71" s="2666"/>
      <c r="C71" s="2666"/>
      <c r="D71" s="2666"/>
      <c r="E71" s="2666"/>
      <c r="F71" s="2666"/>
      <c r="G71" s="2667"/>
      <c r="H71" s="2666"/>
      <c r="I71" s="2667"/>
      <c r="J71" s="2666"/>
      <c r="K71" s="2666"/>
      <c r="L71" s="2667"/>
      <c r="M71" s="2666"/>
      <c r="N71" s="2666"/>
      <c r="O71" s="2667"/>
      <c r="P71" s="2666"/>
      <c r="Q71" s="2666"/>
      <c r="R71" s="2668"/>
    </row>
    <row r="72" spans="2:18" s="2251" customFormat="1">
      <c r="B72" s="2666"/>
      <c r="C72" s="2666"/>
      <c r="D72" s="2666"/>
      <c r="E72" s="2666"/>
      <c r="F72" s="2666"/>
      <c r="G72" s="2667"/>
      <c r="H72" s="2666"/>
      <c r="I72" s="2667"/>
      <c r="J72" s="2666"/>
      <c r="K72" s="2666"/>
      <c r="L72" s="2667"/>
      <c r="M72" s="2666"/>
      <c r="N72" s="2666"/>
      <c r="O72" s="2667"/>
      <c r="P72" s="2666"/>
      <c r="Q72" s="2666"/>
      <c r="R72" s="2668"/>
    </row>
    <row r="73" spans="2:18" s="2251" customFormat="1">
      <c r="B73" s="2666"/>
      <c r="C73" s="2666"/>
      <c r="D73" s="2666"/>
      <c r="E73" s="2666"/>
      <c r="F73" s="2666"/>
      <c r="G73" s="2667"/>
      <c r="H73" s="2666"/>
      <c r="I73" s="2667"/>
      <c r="J73" s="2666"/>
      <c r="K73" s="2666"/>
      <c r="L73" s="2667"/>
      <c r="M73" s="2666"/>
      <c r="N73" s="2666"/>
      <c r="O73" s="2667"/>
      <c r="P73" s="2666"/>
      <c r="Q73" s="2666"/>
      <c r="R73" s="2668"/>
    </row>
    <row r="74" spans="2:18" s="2251" customFormat="1">
      <c r="B74" s="2666"/>
      <c r="C74" s="2666"/>
      <c r="D74" s="2666"/>
      <c r="E74" s="2666"/>
      <c r="F74" s="2666"/>
      <c r="G74" s="2667"/>
      <c r="H74" s="2666"/>
      <c r="I74" s="2667"/>
      <c r="J74" s="2666"/>
      <c r="K74" s="2666"/>
      <c r="L74" s="2667"/>
      <c r="M74" s="2666"/>
      <c r="N74" s="2666"/>
      <c r="O74" s="2667"/>
      <c r="P74" s="2666"/>
      <c r="Q74" s="2666"/>
      <c r="R74" s="2668"/>
    </row>
    <row r="75" spans="2:18" s="2251" customFormat="1">
      <c r="B75" s="2666"/>
      <c r="C75" s="2666"/>
      <c r="D75" s="2666"/>
      <c r="E75" s="2666"/>
      <c r="F75" s="2666"/>
      <c r="G75" s="2667"/>
      <c r="H75" s="2666"/>
      <c r="I75" s="2667"/>
      <c r="J75" s="2666"/>
      <c r="K75" s="2666"/>
      <c r="L75" s="2667"/>
      <c r="M75" s="2666"/>
      <c r="N75" s="2666"/>
      <c r="O75" s="2667"/>
      <c r="P75" s="2666"/>
      <c r="Q75" s="2666"/>
      <c r="R75" s="2668"/>
    </row>
    <row r="76" spans="2:18" s="2251" customFormat="1">
      <c r="B76" s="2666"/>
      <c r="C76" s="2666"/>
      <c r="D76" s="2666"/>
      <c r="E76" s="2666"/>
      <c r="F76" s="2666"/>
      <c r="G76" s="2667"/>
      <c r="H76" s="2666"/>
      <c r="I76" s="2667"/>
      <c r="J76" s="2666"/>
      <c r="K76" s="2666"/>
      <c r="L76" s="2667"/>
      <c r="M76" s="2666"/>
      <c r="N76" s="2666"/>
      <c r="O76" s="2667"/>
      <c r="P76" s="2666"/>
      <c r="Q76" s="2666"/>
      <c r="R76" s="2668"/>
    </row>
    <row r="77" spans="2:18" s="2251" customFormat="1">
      <c r="B77" s="2666"/>
      <c r="C77" s="2666"/>
      <c r="D77" s="2666"/>
      <c r="E77" s="2666"/>
      <c r="F77" s="2666"/>
      <c r="G77" s="2667"/>
      <c r="H77" s="2666"/>
      <c r="I77" s="2667"/>
      <c r="J77" s="2666"/>
      <c r="K77" s="2666"/>
      <c r="L77" s="2667"/>
      <c r="M77" s="2666"/>
      <c r="N77" s="2666"/>
      <c r="O77" s="2667"/>
      <c r="P77" s="2666"/>
      <c r="Q77" s="2666"/>
      <c r="R77" s="2668"/>
    </row>
    <row r="78" spans="2:18" s="2251" customFormat="1">
      <c r="B78" s="2666"/>
      <c r="C78" s="2666"/>
      <c r="D78" s="2666"/>
      <c r="E78" s="2666"/>
      <c r="F78" s="2666"/>
      <c r="G78" s="2667"/>
      <c r="H78" s="2666"/>
      <c r="I78" s="2667"/>
      <c r="J78" s="2666"/>
      <c r="K78" s="2666"/>
      <c r="L78" s="2667"/>
      <c r="M78" s="2666"/>
      <c r="N78" s="2666"/>
      <c r="O78" s="2667"/>
      <c r="P78" s="2666"/>
      <c r="Q78" s="2666"/>
      <c r="R78" s="2668"/>
    </row>
    <row r="79" spans="2:18" s="2251" customFormat="1">
      <c r="B79" s="2666"/>
      <c r="C79" s="2666"/>
      <c r="D79" s="2666"/>
      <c r="E79" s="2666"/>
      <c r="F79" s="2666"/>
      <c r="G79" s="2667"/>
      <c r="H79" s="2666"/>
      <c r="I79" s="2667"/>
      <c r="J79" s="2666"/>
      <c r="K79" s="2666"/>
      <c r="L79" s="2667"/>
      <c r="M79" s="2666"/>
      <c r="N79" s="2666"/>
      <c r="O79" s="2667"/>
      <c r="P79" s="2666"/>
      <c r="Q79" s="2666"/>
      <c r="R79" s="2668"/>
    </row>
    <row r="80" spans="2:18" s="2251" customFormat="1">
      <c r="B80" s="2666"/>
      <c r="C80" s="2666"/>
      <c r="D80" s="2666"/>
      <c r="E80" s="2666"/>
      <c r="F80" s="2666"/>
      <c r="G80" s="2667"/>
      <c r="H80" s="2666"/>
      <c r="I80" s="2667"/>
      <c r="J80" s="2666"/>
      <c r="K80" s="2666"/>
      <c r="L80" s="2667"/>
      <c r="M80" s="2666"/>
      <c r="N80" s="2666"/>
      <c r="O80" s="2667"/>
      <c r="P80" s="2666"/>
      <c r="Q80" s="2666"/>
      <c r="R80" s="2668"/>
    </row>
    <row r="81" spans="2:18" s="2251" customFormat="1">
      <c r="B81" s="2666"/>
      <c r="C81" s="2666"/>
      <c r="D81" s="2666"/>
      <c r="E81" s="2666"/>
      <c r="F81" s="2666"/>
      <c r="G81" s="2667"/>
      <c r="H81" s="2666"/>
      <c r="I81" s="2667"/>
      <c r="J81" s="2666"/>
      <c r="K81" s="2666"/>
      <c r="L81" s="2667"/>
      <c r="M81" s="2666"/>
      <c r="N81" s="2666"/>
      <c r="O81" s="2667"/>
      <c r="P81" s="2666"/>
      <c r="Q81" s="2666"/>
      <c r="R81" s="2668"/>
    </row>
    <row r="82" spans="2:18" s="2251" customFormat="1">
      <c r="B82" s="2666"/>
      <c r="C82" s="2666"/>
      <c r="D82" s="2666"/>
      <c r="E82" s="2666"/>
      <c r="F82" s="2666"/>
      <c r="G82" s="2667"/>
      <c r="H82" s="2666"/>
      <c r="I82" s="2667"/>
      <c r="J82" s="2666"/>
      <c r="K82" s="2666"/>
      <c r="L82" s="2667"/>
      <c r="M82" s="2666"/>
      <c r="N82" s="2666"/>
      <c r="O82" s="2667"/>
      <c r="P82" s="2666"/>
      <c r="Q82" s="2666"/>
      <c r="R82" s="2668"/>
    </row>
    <row r="83" spans="2:18" s="2251" customFormat="1">
      <c r="B83" s="2666"/>
      <c r="C83" s="2666"/>
      <c r="D83" s="2666"/>
      <c r="E83" s="2666"/>
      <c r="F83" s="2666"/>
      <c r="G83" s="2667"/>
      <c r="H83" s="2666"/>
      <c r="I83" s="2667"/>
      <c r="J83" s="2666"/>
      <c r="K83" s="2666"/>
      <c r="L83" s="2667"/>
      <c r="M83" s="2666"/>
      <c r="N83" s="2666"/>
      <c r="O83" s="2667"/>
      <c r="P83" s="2666"/>
      <c r="Q83" s="2666"/>
      <c r="R83" s="2668"/>
    </row>
    <row r="84" spans="2:18" s="2251" customFormat="1">
      <c r="B84" s="2666"/>
      <c r="C84" s="2666"/>
      <c r="D84" s="2666"/>
      <c r="E84" s="2666"/>
      <c r="F84" s="2666"/>
      <c r="G84" s="2667"/>
      <c r="H84" s="2666"/>
      <c r="I84" s="2667"/>
      <c r="J84" s="2666"/>
      <c r="K84" s="2666"/>
      <c r="L84" s="2667"/>
      <c r="M84" s="2666"/>
      <c r="N84" s="2666"/>
      <c r="O84" s="2667"/>
      <c r="P84" s="2666"/>
      <c r="Q84" s="2666"/>
      <c r="R84" s="2668"/>
    </row>
    <row r="85" spans="2:18" s="2251" customFormat="1">
      <c r="B85" s="2666"/>
      <c r="C85" s="2666"/>
      <c r="D85" s="2666"/>
      <c r="E85" s="2666"/>
      <c r="F85" s="2666"/>
      <c r="G85" s="2667"/>
      <c r="H85" s="2666"/>
      <c r="I85" s="2667"/>
      <c r="J85" s="2666"/>
      <c r="K85" s="2666"/>
      <c r="L85" s="2667"/>
      <c r="M85" s="2666"/>
      <c r="N85" s="2666"/>
      <c r="O85" s="2667"/>
      <c r="P85" s="2666"/>
      <c r="Q85" s="2666"/>
      <c r="R85" s="2668"/>
    </row>
    <row r="86" spans="2:18" s="2251" customFormat="1">
      <c r="B86" s="2666"/>
      <c r="C86" s="2666"/>
      <c r="D86" s="2666"/>
      <c r="E86" s="2666"/>
      <c r="F86" s="2666"/>
      <c r="G86" s="2667"/>
      <c r="H86" s="2666"/>
      <c r="I86" s="2667"/>
      <c r="J86" s="2666"/>
      <c r="K86" s="2666"/>
      <c r="L86" s="2667"/>
      <c r="M86" s="2666"/>
      <c r="N86" s="2666"/>
      <c r="O86" s="2667"/>
      <c r="P86" s="2666"/>
      <c r="Q86" s="2666"/>
      <c r="R86" s="2668"/>
    </row>
    <row r="87" spans="2:18" s="2251" customFormat="1">
      <c r="B87" s="2666"/>
      <c r="C87" s="2666"/>
      <c r="D87" s="2666"/>
      <c r="E87" s="2666"/>
      <c r="F87" s="2666"/>
      <c r="G87" s="2667"/>
      <c r="H87" s="2666"/>
      <c r="I87" s="2667"/>
      <c r="J87" s="2666"/>
      <c r="K87" s="2666"/>
      <c r="L87" s="2667"/>
      <c r="M87" s="2666"/>
      <c r="N87" s="2666"/>
      <c r="O87" s="2667"/>
      <c r="P87" s="2666"/>
      <c r="Q87" s="2666"/>
      <c r="R87" s="2668"/>
    </row>
    <row r="88" spans="2:18" s="2251" customFormat="1">
      <c r="B88" s="2666"/>
      <c r="C88" s="2666"/>
      <c r="D88" s="2666"/>
      <c r="E88" s="2666"/>
      <c r="F88" s="2666"/>
      <c r="G88" s="2667"/>
      <c r="H88" s="2666"/>
      <c r="I88" s="2667"/>
      <c r="J88" s="2666"/>
      <c r="K88" s="2666"/>
      <c r="L88" s="2667"/>
      <c r="M88" s="2666"/>
      <c r="N88" s="2666"/>
      <c r="O88" s="2667"/>
      <c r="P88" s="2666"/>
      <c r="Q88" s="2666"/>
      <c r="R88" s="2668"/>
    </row>
    <row r="89" spans="2:18" s="2251" customFormat="1">
      <c r="B89" s="2666"/>
      <c r="C89" s="2666"/>
      <c r="D89" s="2666"/>
      <c r="E89" s="2666"/>
      <c r="F89" s="2666"/>
      <c r="G89" s="2667"/>
      <c r="H89" s="2666"/>
      <c r="I89" s="2667"/>
      <c r="J89" s="2666"/>
      <c r="K89" s="2666"/>
      <c r="L89" s="2667"/>
      <c r="M89" s="2666"/>
      <c r="N89" s="2666"/>
      <c r="O89" s="2667"/>
      <c r="P89" s="2666"/>
      <c r="Q89" s="2666"/>
      <c r="R89" s="2668"/>
    </row>
    <row r="90" spans="2:18" s="2251" customFormat="1">
      <c r="B90" s="2666"/>
      <c r="C90" s="2666"/>
      <c r="D90" s="2666"/>
      <c r="E90" s="2666"/>
      <c r="F90" s="2666"/>
      <c r="G90" s="2667"/>
      <c r="H90" s="2666"/>
      <c r="I90" s="2667"/>
      <c r="J90" s="2666"/>
      <c r="K90" s="2666"/>
      <c r="L90" s="2667"/>
      <c r="M90" s="2666"/>
      <c r="N90" s="2666"/>
      <c r="O90" s="2667"/>
      <c r="P90" s="2666"/>
      <c r="Q90" s="2666"/>
      <c r="R90" s="2668"/>
    </row>
    <row r="91" spans="2:18" s="2251" customFormat="1">
      <c r="B91" s="2666"/>
      <c r="C91" s="2666"/>
      <c r="D91" s="2666"/>
      <c r="E91" s="2666"/>
      <c r="F91" s="2666"/>
      <c r="G91" s="2667"/>
      <c r="H91" s="2666"/>
      <c r="I91" s="2667"/>
      <c r="J91" s="2666"/>
      <c r="K91" s="2666"/>
      <c r="L91" s="2667"/>
      <c r="M91" s="2666"/>
      <c r="N91" s="2666"/>
      <c r="O91" s="2667"/>
      <c r="P91" s="2666"/>
      <c r="Q91" s="2666"/>
      <c r="R91" s="2668"/>
    </row>
    <row r="92" spans="2:18" s="2251" customFormat="1">
      <c r="B92" s="2666"/>
      <c r="C92" s="2666"/>
      <c r="D92" s="2666"/>
      <c r="E92" s="2666"/>
      <c r="F92" s="2666"/>
      <c r="G92" s="2667"/>
      <c r="H92" s="2666"/>
      <c r="I92" s="2667"/>
      <c r="J92" s="2666"/>
      <c r="K92" s="2666"/>
      <c r="L92" s="2667"/>
      <c r="M92" s="2666"/>
      <c r="N92" s="2666"/>
      <c r="O92" s="2667"/>
      <c r="P92" s="2666"/>
      <c r="Q92" s="2666"/>
      <c r="R92" s="2668"/>
    </row>
    <row r="93" spans="2:18" s="2251" customFormat="1">
      <c r="B93" s="2666"/>
      <c r="C93" s="2666"/>
      <c r="D93" s="2666"/>
      <c r="E93" s="2666"/>
      <c r="F93" s="2666"/>
      <c r="G93" s="2667"/>
      <c r="H93" s="2666"/>
      <c r="I93" s="2667"/>
      <c r="J93" s="2666"/>
      <c r="K93" s="2666"/>
      <c r="L93" s="2667"/>
      <c r="M93" s="2666"/>
      <c r="N93" s="2666"/>
      <c r="O93" s="2667"/>
      <c r="P93" s="2666"/>
      <c r="Q93" s="2666"/>
      <c r="R93" s="2668"/>
    </row>
    <row r="94" spans="2:18" s="2251" customFormat="1">
      <c r="B94" s="2666"/>
      <c r="C94" s="2666"/>
      <c r="D94" s="2666"/>
      <c r="E94" s="2666"/>
      <c r="F94" s="2666"/>
      <c r="G94" s="2667"/>
      <c r="H94" s="2666"/>
      <c r="I94" s="2667"/>
      <c r="J94" s="2666"/>
      <c r="K94" s="2666"/>
      <c r="L94" s="2667"/>
      <c r="M94" s="2666"/>
      <c r="N94" s="2666"/>
      <c r="O94" s="2667"/>
      <c r="P94" s="2666"/>
      <c r="Q94" s="2666"/>
      <c r="R94" s="2668"/>
    </row>
    <row r="95" spans="2:18" s="2251" customFormat="1">
      <c r="B95" s="2666"/>
      <c r="C95" s="2666"/>
      <c r="D95" s="2666"/>
      <c r="E95" s="2666"/>
      <c r="F95" s="2666"/>
      <c r="G95" s="2667"/>
      <c r="H95" s="2666"/>
      <c r="I95" s="2667"/>
      <c r="J95" s="2666"/>
      <c r="K95" s="2666"/>
      <c r="L95" s="2667"/>
      <c r="M95" s="2666"/>
      <c r="N95" s="2666"/>
      <c r="O95" s="2667"/>
      <c r="P95" s="2666"/>
      <c r="Q95" s="2666"/>
      <c r="R95" s="2668"/>
    </row>
    <row r="96" spans="2:18" s="2251" customFormat="1">
      <c r="B96" s="2666"/>
      <c r="C96" s="2666"/>
      <c r="D96" s="2666"/>
      <c r="E96" s="2666"/>
      <c r="F96" s="2666"/>
      <c r="G96" s="2667"/>
      <c r="H96" s="2666"/>
      <c r="I96" s="2667"/>
      <c r="J96" s="2666"/>
      <c r="K96" s="2666"/>
      <c r="L96" s="2667"/>
      <c r="M96" s="2666"/>
      <c r="N96" s="2666"/>
      <c r="O96" s="2667"/>
      <c r="P96" s="2666"/>
      <c r="Q96" s="2666"/>
      <c r="R96" s="2668"/>
    </row>
    <row r="97" spans="2:18" s="2251" customFormat="1">
      <c r="B97" s="2666"/>
      <c r="C97" s="2666"/>
      <c r="D97" s="2666"/>
      <c r="E97" s="2666"/>
      <c r="F97" s="2666"/>
      <c r="G97" s="2667"/>
      <c r="H97" s="2666"/>
      <c r="I97" s="2667"/>
      <c r="J97" s="2666"/>
      <c r="K97" s="2666"/>
      <c r="L97" s="2667"/>
      <c r="M97" s="2666"/>
      <c r="N97" s="2666"/>
      <c r="O97" s="2667"/>
      <c r="P97" s="2666"/>
      <c r="Q97" s="2666"/>
      <c r="R97" s="2668"/>
    </row>
    <row r="98" spans="2:18" s="2251" customFormat="1">
      <c r="B98" s="2666"/>
      <c r="C98" s="2666"/>
      <c r="D98" s="2666"/>
      <c r="E98" s="2666"/>
      <c r="F98" s="2666"/>
      <c r="G98" s="2667"/>
      <c r="H98" s="2666"/>
      <c r="I98" s="2667"/>
      <c r="J98" s="2666"/>
      <c r="K98" s="2666"/>
      <c r="L98" s="2667"/>
      <c r="M98" s="2666"/>
      <c r="N98" s="2666"/>
      <c r="O98" s="2667"/>
      <c r="P98" s="2666"/>
      <c r="Q98" s="2666"/>
      <c r="R98" s="2668"/>
    </row>
    <row r="99" spans="2:18" s="2251" customFormat="1">
      <c r="B99" s="2666"/>
      <c r="C99" s="2666"/>
      <c r="D99" s="2666"/>
      <c r="E99" s="2666"/>
      <c r="F99" s="2666"/>
      <c r="G99" s="2667"/>
      <c r="H99" s="2666"/>
      <c r="I99" s="2667"/>
      <c r="J99" s="2666"/>
      <c r="K99" s="2666"/>
      <c r="L99" s="2667"/>
      <c r="M99" s="2666"/>
      <c r="N99" s="2666"/>
      <c r="O99" s="2667"/>
      <c r="P99" s="2666"/>
      <c r="Q99" s="2666"/>
      <c r="R99" s="2668"/>
    </row>
    <row r="100" spans="2:18" s="2251" customFormat="1">
      <c r="B100" s="2666"/>
      <c r="C100" s="2666"/>
      <c r="D100" s="2666"/>
      <c r="E100" s="2666"/>
      <c r="F100" s="2666"/>
      <c r="G100" s="2667"/>
      <c r="H100" s="2666"/>
      <c r="I100" s="2667"/>
      <c r="J100" s="2666"/>
      <c r="K100" s="2666"/>
      <c r="L100" s="2667"/>
      <c r="M100" s="2666"/>
      <c r="N100" s="2666"/>
      <c r="O100" s="2667"/>
      <c r="P100" s="2666"/>
      <c r="Q100" s="2666"/>
      <c r="R100" s="2668"/>
    </row>
    <row r="101" spans="2:18" s="2251" customFormat="1">
      <c r="B101" s="2666"/>
      <c r="C101" s="2666"/>
      <c r="D101" s="2666"/>
      <c r="E101" s="2666"/>
      <c r="F101" s="2666"/>
      <c r="G101" s="2667"/>
      <c r="H101" s="2666"/>
      <c r="I101" s="2667"/>
      <c r="J101" s="2666"/>
      <c r="K101" s="2666"/>
      <c r="L101" s="2667"/>
      <c r="M101" s="2666"/>
      <c r="N101" s="2666"/>
      <c r="O101" s="2667"/>
      <c r="P101" s="2666"/>
      <c r="Q101" s="2666"/>
      <c r="R101" s="2668"/>
    </row>
    <row r="102" spans="2:18" s="2251" customFormat="1">
      <c r="B102" s="2666"/>
      <c r="C102" s="2666"/>
      <c r="D102" s="2666"/>
      <c r="E102" s="2666"/>
      <c r="F102" s="2666"/>
      <c r="G102" s="2667"/>
      <c r="H102" s="2666"/>
      <c r="I102" s="2667"/>
      <c r="J102" s="2666"/>
      <c r="K102" s="2666"/>
      <c r="L102" s="2667"/>
      <c r="M102" s="2666"/>
      <c r="N102" s="2666"/>
      <c r="O102" s="2667"/>
      <c r="P102" s="2666"/>
      <c r="Q102" s="2666"/>
      <c r="R102" s="2668"/>
    </row>
    <row r="103" spans="2:18" s="2251" customFormat="1">
      <c r="B103" s="2666"/>
      <c r="C103" s="2666"/>
      <c r="D103" s="2666"/>
      <c r="E103" s="2666"/>
      <c r="F103" s="2666"/>
      <c r="G103" s="2667"/>
      <c r="H103" s="2666"/>
      <c r="I103" s="2667"/>
      <c r="J103" s="2666"/>
      <c r="K103" s="2666"/>
      <c r="L103" s="2667"/>
      <c r="M103" s="2666"/>
      <c r="N103" s="2666"/>
      <c r="O103" s="2667"/>
      <c r="P103" s="2666"/>
      <c r="Q103" s="2666"/>
      <c r="R103" s="2668"/>
    </row>
    <row r="104" spans="2:18" s="2251" customFormat="1">
      <c r="B104" s="2666"/>
      <c r="C104" s="2666"/>
      <c r="D104" s="2666"/>
      <c r="E104" s="2666"/>
      <c r="F104" s="2666"/>
      <c r="G104" s="2667"/>
      <c r="H104" s="2666"/>
      <c r="I104" s="2667"/>
      <c r="J104" s="2666"/>
      <c r="K104" s="2666"/>
      <c r="L104" s="2667"/>
      <c r="M104" s="2666"/>
      <c r="N104" s="2666"/>
      <c r="O104" s="2667"/>
      <c r="P104" s="2666"/>
      <c r="Q104" s="2666"/>
      <c r="R104" s="2668"/>
    </row>
    <row r="105" spans="2:18" s="2251" customFormat="1">
      <c r="B105" s="2666"/>
      <c r="C105" s="2666"/>
      <c r="D105" s="2666"/>
      <c r="E105" s="2666"/>
      <c r="F105" s="2666"/>
      <c r="G105" s="2667"/>
      <c r="H105" s="2666"/>
      <c r="I105" s="2667"/>
      <c r="J105" s="2666"/>
      <c r="K105" s="2666"/>
      <c r="L105" s="2667"/>
      <c r="M105" s="2666"/>
      <c r="N105" s="2666"/>
      <c r="O105" s="2667"/>
      <c r="P105" s="2666"/>
      <c r="Q105" s="2666"/>
      <c r="R105" s="2668"/>
    </row>
    <row r="106" spans="2:18" s="2251" customFormat="1">
      <c r="B106" s="2666"/>
      <c r="C106" s="2666"/>
      <c r="D106" s="2666"/>
      <c r="E106" s="2666"/>
      <c r="F106" s="2666"/>
      <c r="G106" s="2667"/>
      <c r="H106" s="2666"/>
      <c r="I106" s="2667"/>
      <c r="J106" s="2666"/>
      <c r="K106" s="2666"/>
      <c r="L106" s="2667"/>
      <c r="M106" s="2666"/>
      <c r="N106" s="2666"/>
      <c r="O106" s="2667"/>
      <c r="P106" s="2666"/>
      <c r="Q106" s="2666"/>
      <c r="R106" s="2668"/>
    </row>
    <row r="107" spans="2:18" s="2251" customFormat="1">
      <c r="B107" s="2666"/>
      <c r="C107" s="2666"/>
      <c r="D107" s="2666"/>
      <c r="E107" s="2666"/>
      <c r="F107" s="2666"/>
      <c r="G107" s="2667"/>
      <c r="H107" s="2666"/>
      <c r="I107" s="2667"/>
      <c r="J107" s="2666"/>
      <c r="K107" s="2666"/>
      <c r="L107" s="2667"/>
      <c r="M107" s="2666"/>
      <c r="N107" s="2666"/>
      <c r="O107" s="2667"/>
      <c r="P107" s="2666"/>
      <c r="Q107" s="2666"/>
      <c r="R107" s="2668"/>
    </row>
    <row r="108" spans="2:18" s="2251" customFormat="1">
      <c r="B108" s="2666"/>
      <c r="C108" s="2666"/>
      <c r="D108" s="2666"/>
      <c r="E108" s="2666"/>
      <c r="F108" s="2666"/>
      <c r="G108" s="2667"/>
      <c r="H108" s="2666"/>
      <c r="I108" s="2667"/>
      <c r="J108" s="2666"/>
      <c r="K108" s="2666"/>
      <c r="L108" s="2667"/>
      <c r="M108" s="2666"/>
      <c r="N108" s="2666"/>
      <c r="O108" s="2667"/>
      <c r="P108" s="2666"/>
      <c r="Q108" s="2666"/>
      <c r="R108" s="2668"/>
    </row>
    <row r="109" spans="2:18" s="2251" customFormat="1">
      <c r="B109" s="2666"/>
      <c r="C109" s="2666"/>
      <c r="D109" s="2666"/>
      <c r="E109" s="2666"/>
      <c r="F109" s="2666"/>
      <c r="G109" s="2667"/>
      <c r="H109" s="2666"/>
      <c r="I109" s="2667"/>
      <c r="J109" s="2666"/>
      <c r="K109" s="2666"/>
      <c r="L109" s="2667"/>
      <c r="M109" s="2666"/>
      <c r="N109" s="2666"/>
      <c r="O109" s="2667"/>
      <c r="P109" s="2666"/>
      <c r="Q109" s="2666"/>
      <c r="R109" s="2668"/>
    </row>
    <row r="110" spans="2:18" s="2251" customFormat="1">
      <c r="B110" s="2666"/>
      <c r="C110" s="2666"/>
      <c r="D110" s="2666"/>
      <c r="E110" s="2666"/>
      <c r="F110" s="2666"/>
      <c r="G110" s="2667"/>
      <c r="H110" s="2666"/>
      <c r="I110" s="2667"/>
      <c r="J110" s="2666"/>
      <c r="K110" s="2666"/>
      <c r="L110" s="2667"/>
      <c r="M110" s="2666"/>
      <c r="N110" s="2666"/>
      <c r="O110" s="2667"/>
      <c r="P110" s="2666"/>
      <c r="Q110" s="2666"/>
      <c r="R110" s="2668"/>
    </row>
    <row r="111" spans="2:18" s="2251" customFormat="1">
      <c r="B111" s="2666"/>
      <c r="C111" s="2666"/>
      <c r="D111" s="2666"/>
      <c r="E111" s="2666"/>
      <c r="F111" s="2666"/>
      <c r="G111" s="2667"/>
      <c r="H111" s="2666"/>
      <c r="I111" s="2667"/>
      <c r="J111" s="2666"/>
      <c r="K111" s="2666"/>
      <c r="L111" s="2667"/>
      <c r="M111" s="2666"/>
      <c r="N111" s="2666"/>
      <c r="O111" s="2667"/>
      <c r="P111" s="2666"/>
      <c r="Q111" s="2666"/>
      <c r="R111" s="2668"/>
    </row>
    <row r="112" spans="2:18" s="2251" customFormat="1">
      <c r="B112" s="2666"/>
      <c r="C112" s="2666"/>
      <c r="D112" s="2666"/>
      <c r="E112" s="2666"/>
      <c r="F112" s="2666"/>
      <c r="G112" s="2667"/>
      <c r="H112" s="2666"/>
      <c r="I112" s="2667"/>
      <c r="J112" s="2666"/>
      <c r="K112" s="2666"/>
      <c r="L112" s="2667"/>
      <c r="M112" s="2666"/>
      <c r="N112" s="2666"/>
      <c r="O112" s="2667"/>
      <c r="P112" s="2666"/>
      <c r="Q112" s="2666"/>
      <c r="R112" s="2668"/>
    </row>
    <row r="113" spans="2:18" s="2251" customFormat="1">
      <c r="B113" s="2666"/>
      <c r="C113" s="2666"/>
      <c r="D113" s="2666"/>
      <c r="E113" s="2666"/>
      <c r="F113" s="2666"/>
      <c r="G113" s="2667"/>
      <c r="H113" s="2666"/>
      <c r="I113" s="2667"/>
      <c r="J113" s="2666"/>
      <c r="K113" s="2666"/>
      <c r="L113" s="2667"/>
      <c r="M113" s="2666"/>
      <c r="N113" s="2666"/>
      <c r="O113" s="2667"/>
      <c r="P113" s="2666"/>
      <c r="Q113" s="2666"/>
      <c r="R113" s="2668"/>
    </row>
    <row r="114" spans="2:18" s="2251" customFormat="1">
      <c r="B114" s="2666"/>
      <c r="C114" s="2666"/>
      <c r="D114" s="2666"/>
      <c r="E114" s="2666"/>
      <c r="F114" s="2666"/>
      <c r="G114" s="2667"/>
      <c r="H114" s="2666"/>
      <c r="I114" s="2667"/>
      <c r="J114" s="2666"/>
      <c r="K114" s="2666"/>
      <c r="L114" s="2667"/>
      <c r="M114" s="2666"/>
      <c r="N114" s="2666"/>
      <c r="O114" s="2667"/>
      <c r="P114" s="2666"/>
      <c r="Q114" s="2666"/>
      <c r="R114" s="2668"/>
    </row>
    <row r="115" spans="2:18" s="2251" customFormat="1">
      <c r="B115" s="2666"/>
      <c r="C115" s="2666"/>
      <c r="D115" s="2666"/>
      <c r="E115" s="2666"/>
      <c r="F115" s="2666"/>
      <c r="G115" s="2667"/>
      <c r="H115" s="2666"/>
      <c r="I115" s="2667"/>
      <c r="J115" s="2666"/>
      <c r="K115" s="2666"/>
      <c r="L115" s="2667"/>
      <c r="M115" s="2666"/>
      <c r="N115" s="2666"/>
      <c r="O115" s="2667"/>
      <c r="P115" s="2666"/>
      <c r="Q115" s="2666"/>
      <c r="R115" s="2668"/>
    </row>
    <row r="116" spans="2:18" s="2251" customFormat="1">
      <c r="B116" s="2666"/>
      <c r="C116" s="2666"/>
      <c r="D116" s="2666"/>
      <c r="E116" s="2666"/>
      <c r="F116" s="2666"/>
      <c r="G116" s="2667"/>
      <c r="H116" s="2666"/>
      <c r="I116" s="2667"/>
      <c r="J116" s="2666"/>
      <c r="K116" s="2666"/>
      <c r="L116" s="2667"/>
      <c r="M116" s="2666"/>
      <c r="N116" s="2666"/>
      <c r="O116" s="2667"/>
      <c r="P116" s="2666"/>
      <c r="Q116" s="2666"/>
      <c r="R116" s="2668"/>
    </row>
    <row r="117" spans="2:18" s="2251" customFormat="1">
      <c r="B117" s="2666"/>
      <c r="C117" s="2666"/>
      <c r="D117" s="2666"/>
      <c r="E117" s="2666"/>
      <c r="F117" s="2666"/>
      <c r="G117" s="2667"/>
      <c r="H117" s="2666"/>
      <c r="I117" s="2667"/>
      <c r="J117" s="2666"/>
      <c r="K117" s="2666"/>
      <c r="L117" s="2667"/>
      <c r="M117" s="2666"/>
      <c r="N117" s="2666"/>
      <c r="O117" s="2667"/>
      <c r="P117" s="2666"/>
      <c r="Q117" s="2666"/>
      <c r="R117" s="2668"/>
    </row>
    <row r="118" spans="2:18" s="2251" customFormat="1">
      <c r="B118" s="2666"/>
      <c r="C118" s="2666"/>
      <c r="D118" s="2666"/>
      <c r="E118" s="2666"/>
      <c r="F118" s="2666"/>
      <c r="G118" s="2667"/>
      <c r="H118" s="2666"/>
      <c r="I118" s="2667"/>
      <c r="J118" s="2666"/>
      <c r="K118" s="2666"/>
      <c r="L118" s="2667"/>
      <c r="M118" s="2666"/>
      <c r="N118" s="2666"/>
      <c r="O118" s="2667"/>
      <c r="P118" s="2666"/>
      <c r="Q118" s="2666"/>
      <c r="R118" s="2668"/>
    </row>
    <row r="119" spans="2:18" s="2251" customFormat="1">
      <c r="B119" s="2666"/>
      <c r="C119" s="2666"/>
      <c r="D119" s="2666"/>
      <c r="E119" s="2666"/>
      <c r="F119" s="2666"/>
      <c r="G119" s="2667"/>
      <c r="H119" s="2666"/>
      <c r="I119" s="2667"/>
      <c r="J119" s="2666"/>
      <c r="K119" s="2666"/>
      <c r="L119" s="2667"/>
      <c r="M119" s="2666"/>
      <c r="N119" s="2666"/>
      <c r="O119" s="2667"/>
      <c r="P119" s="2666"/>
      <c r="Q119" s="2666"/>
      <c r="R119" s="2668"/>
    </row>
    <row r="120" spans="2:18" s="2251" customFormat="1">
      <c r="B120" s="2666"/>
      <c r="C120" s="2666"/>
      <c r="D120" s="2666"/>
      <c r="E120" s="2666"/>
      <c r="F120" s="2666"/>
      <c r="G120" s="2667"/>
      <c r="H120" s="2666"/>
      <c r="I120" s="2667"/>
      <c r="J120" s="2666"/>
      <c r="K120" s="2666"/>
      <c r="L120" s="2667"/>
      <c r="M120" s="2666"/>
      <c r="N120" s="2666"/>
      <c r="O120" s="2667"/>
      <c r="P120" s="2666"/>
      <c r="Q120" s="2666"/>
      <c r="R120" s="2668"/>
    </row>
    <row r="121" spans="2:18" s="2251" customFormat="1">
      <c r="B121" s="2666"/>
      <c r="C121" s="2666"/>
      <c r="D121" s="2666"/>
      <c r="E121" s="2666"/>
      <c r="F121" s="2666"/>
      <c r="G121" s="2667"/>
      <c r="H121" s="2666"/>
      <c r="I121" s="2667"/>
      <c r="J121" s="2666"/>
      <c r="K121" s="2666"/>
      <c r="L121" s="2667"/>
      <c r="M121" s="2666"/>
      <c r="N121" s="2666"/>
      <c r="O121" s="2667"/>
      <c r="P121" s="2666"/>
      <c r="Q121" s="2666"/>
      <c r="R121" s="2668"/>
    </row>
    <row r="122" spans="2:18" s="2251" customFormat="1">
      <c r="B122" s="2666"/>
      <c r="C122" s="2666"/>
      <c r="D122" s="2666"/>
      <c r="E122" s="2666"/>
      <c r="F122" s="2666"/>
      <c r="G122" s="2667"/>
      <c r="H122" s="2666"/>
      <c r="I122" s="2667"/>
      <c r="J122" s="2666"/>
      <c r="K122" s="2666"/>
      <c r="L122" s="2667"/>
      <c r="M122" s="2666"/>
      <c r="N122" s="2666"/>
      <c r="O122" s="2667"/>
      <c r="P122" s="2666"/>
      <c r="Q122" s="2666"/>
      <c r="R122" s="2668"/>
    </row>
    <row r="123" spans="2:18" s="2251" customFormat="1">
      <c r="B123" s="2666"/>
      <c r="C123" s="2666"/>
      <c r="D123" s="2666"/>
      <c r="E123" s="2666"/>
      <c r="F123" s="2666"/>
      <c r="G123" s="2667"/>
      <c r="H123" s="2666"/>
      <c r="I123" s="2667"/>
      <c r="J123" s="2666"/>
      <c r="K123" s="2666"/>
      <c r="L123" s="2667"/>
      <c r="M123" s="2666"/>
      <c r="N123" s="2666"/>
      <c r="O123" s="2667"/>
      <c r="P123" s="2666"/>
      <c r="Q123" s="2666"/>
      <c r="R123" s="2668"/>
    </row>
    <row r="124" spans="2:18" s="2251" customFormat="1">
      <c r="B124" s="2666"/>
      <c r="C124" s="2666"/>
      <c r="D124" s="2666"/>
      <c r="E124" s="2666"/>
      <c r="F124" s="2666"/>
      <c r="G124" s="2667"/>
      <c r="H124" s="2666"/>
      <c r="I124" s="2667"/>
      <c r="J124" s="2666"/>
      <c r="K124" s="2666"/>
      <c r="L124" s="2667"/>
      <c r="M124" s="2666"/>
      <c r="N124" s="2666"/>
      <c r="O124" s="2667"/>
      <c r="P124" s="2666"/>
      <c r="Q124" s="2666"/>
      <c r="R124" s="2668"/>
    </row>
    <row r="125" spans="2:18" s="2251" customFormat="1">
      <c r="B125" s="2666"/>
      <c r="C125" s="2666"/>
      <c r="D125" s="2666"/>
      <c r="E125" s="2666"/>
      <c r="F125" s="2666"/>
      <c r="G125" s="2667"/>
      <c r="H125" s="2666"/>
      <c r="I125" s="2667"/>
      <c r="J125" s="2666"/>
      <c r="K125" s="2666"/>
      <c r="L125" s="2667"/>
      <c r="M125" s="2666"/>
      <c r="N125" s="2666"/>
      <c r="O125" s="2667"/>
      <c r="P125" s="2666"/>
      <c r="Q125" s="2666"/>
      <c r="R125" s="2668"/>
    </row>
    <row r="126" spans="2:18" s="2251" customFormat="1">
      <c r="B126" s="2666"/>
      <c r="C126" s="2666"/>
      <c r="D126" s="2666"/>
      <c r="E126" s="2666"/>
      <c r="F126" s="2666"/>
      <c r="G126" s="2667"/>
      <c r="H126" s="2666"/>
      <c r="I126" s="2667"/>
      <c r="J126" s="2666"/>
      <c r="K126" s="2666"/>
      <c r="L126" s="2667"/>
      <c r="M126" s="2666"/>
      <c r="N126" s="2666"/>
      <c r="O126" s="2667"/>
      <c r="P126" s="2666"/>
      <c r="Q126" s="2666"/>
      <c r="R126" s="2668"/>
    </row>
    <row r="127" spans="2:18" s="2251" customFormat="1">
      <c r="B127" s="2666"/>
      <c r="C127" s="2666"/>
      <c r="D127" s="2666"/>
      <c r="E127" s="2666"/>
      <c r="F127" s="2666"/>
      <c r="G127" s="2667"/>
      <c r="H127" s="2666"/>
      <c r="I127" s="2667"/>
      <c r="J127" s="2666"/>
      <c r="K127" s="2666"/>
      <c r="L127" s="2667"/>
      <c r="M127" s="2666"/>
      <c r="N127" s="2666"/>
      <c r="O127" s="2667"/>
      <c r="P127" s="2666"/>
      <c r="Q127" s="2666"/>
      <c r="R127" s="2668"/>
    </row>
    <row r="128" spans="2:18" s="2251" customFormat="1">
      <c r="B128" s="2666"/>
      <c r="C128" s="2666"/>
      <c r="D128" s="2666"/>
      <c r="E128" s="2666"/>
      <c r="F128" s="2666"/>
      <c r="G128" s="2667"/>
      <c r="H128" s="2666"/>
      <c r="I128" s="2667"/>
      <c r="J128" s="2666"/>
      <c r="K128" s="2666"/>
      <c r="L128" s="2667"/>
      <c r="M128" s="2666"/>
      <c r="N128" s="2666"/>
      <c r="O128" s="2667"/>
      <c r="P128" s="2666"/>
      <c r="Q128" s="2666"/>
      <c r="R128" s="2668"/>
    </row>
    <row r="129" spans="2:18" s="2251" customFormat="1">
      <c r="B129" s="2666"/>
      <c r="C129" s="2666"/>
      <c r="D129" s="2666"/>
      <c r="E129" s="2666"/>
      <c r="F129" s="2666"/>
      <c r="G129" s="2667"/>
      <c r="H129" s="2666"/>
      <c r="I129" s="2667"/>
      <c r="J129" s="2666"/>
      <c r="K129" s="2666"/>
      <c r="L129" s="2667"/>
      <c r="M129" s="2666"/>
      <c r="N129" s="2666"/>
      <c r="O129" s="2667"/>
      <c r="P129" s="2666"/>
      <c r="Q129" s="2666"/>
      <c r="R129" s="2668"/>
    </row>
    <row r="130" spans="2:18" s="2251" customFormat="1">
      <c r="B130" s="2666"/>
      <c r="C130" s="2666"/>
      <c r="D130" s="2666"/>
      <c r="E130" s="2666"/>
      <c r="F130" s="2666"/>
      <c r="G130" s="2667"/>
      <c r="H130" s="2666"/>
      <c r="I130" s="2667"/>
      <c r="J130" s="2666"/>
      <c r="K130" s="2666"/>
      <c r="L130" s="2667"/>
      <c r="M130" s="2666"/>
      <c r="N130" s="2666"/>
      <c r="O130" s="2667"/>
      <c r="P130" s="2666"/>
      <c r="Q130" s="2666"/>
      <c r="R130" s="2668"/>
    </row>
    <row r="131" spans="2:18" s="2251" customFormat="1">
      <c r="B131" s="2666"/>
      <c r="C131" s="2666"/>
      <c r="D131" s="2666"/>
      <c r="E131" s="2666"/>
      <c r="F131" s="2666"/>
      <c r="G131" s="2667"/>
      <c r="H131" s="2666"/>
      <c r="I131" s="2667"/>
      <c r="J131" s="2666"/>
      <c r="K131" s="2666"/>
      <c r="L131" s="2667"/>
      <c r="M131" s="2666"/>
      <c r="N131" s="2666"/>
      <c r="O131" s="2667"/>
      <c r="P131" s="2666"/>
      <c r="Q131" s="2666"/>
      <c r="R131" s="2668"/>
    </row>
    <row r="132" spans="2:18" s="2251" customFormat="1">
      <c r="B132" s="2666"/>
      <c r="C132" s="2666"/>
      <c r="D132" s="2666"/>
      <c r="E132" s="2666"/>
      <c r="F132" s="2666"/>
      <c r="G132" s="2667"/>
      <c r="H132" s="2666"/>
      <c r="I132" s="2667"/>
      <c r="J132" s="2666"/>
      <c r="K132" s="2666"/>
      <c r="L132" s="2667"/>
      <c r="M132" s="2666"/>
      <c r="N132" s="2666"/>
      <c r="O132" s="2667"/>
      <c r="P132" s="2666"/>
      <c r="Q132" s="2666"/>
      <c r="R132" s="2668"/>
    </row>
    <row r="133" spans="2:18" s="2251" customFormat="1">
      <c r="B133" s="2666"/>
      <c r="C133" s="2666"/>
      <c r="D133" s="2666"/>
      <c r="E133" s="2666"/>
      <c r="F133" s="2666"/>
      <c r="G133" s="2667"/>
      <c r="H133" s="2666"/>
      <c r="I133" s="2667"/>
      <c r="J133" s="2666"/>
      <c r="K133" s="2666"/>
      <c r="L133" s="2667"/>
      <c r="M133" s="2666"/>
      <c r="N133" s="2666"/>
      <c r="O133" s="2667"/>
      <c r="P133" s="2666"/>
      <c r="Q133" s="2666"/>
      <c r="R133" s="2668"/>
    </row>
    <row r="134" spans="2:18" s="2251" customFormat="1">
      <c r="B134" s="2666"/>
      <c r="C134" s="2666"/>
      <c r="D134" s="2666"/>
      <c r="E134" s="2666"/>
      <c r="F134" s="2666"/>
      <c r="G134" s="2667"/>
      <c r="H134" s="2666"/>
      <c r="I134" s="2667"/>
      <c r="J134" s="2666"/>
      <c r="K134" s="2666"/>
      <c r="L134" s="2667"/>
      <c r="M134" s="2666"/>
      <c r="N134" s="2666"/>
      <c r="O134" s="2667"/>
      <c r="P134" s="2666"/>
      <c r="Q134" s="2666"/>
      <c r="R134" s="2668"/>
    </row>
    <row r="135" spans="2:18" s="2251" customFormat="1">
      <c r="B135" s="2666"/>
      <c r="C135" s="2666"/>
      <c r="D135" s="2666"/>
      <c r="E135" s="2666"/>
      <c r="F135" s="2666"/>
      <c r="G135" s="2667"/>
      <c r="H135" s="2666"/>
      <c r="I135" s="2667"/>
      <c r="J135" s="2666"/>
      <c r="K135" s="2666"/>
      <c r="L135" s="2667"/>
      <c r="M135" s="2666"/>
      <c r="N135" s="2666"/>
      <c r="O135" s="2667"/>
      <c r="P135" s="2666"/>
      <c r="Q135" s="2666"/>
      <c r="R135" s="2668"/>
    </row>
    <row r="136" spans="2:18" s="2251" customFormat="1">
      <c r="B136" s="2666"/>
      <c r="C136" s="2666"/>
      <c r="D136" s="2666"/>
      <c r="E136" s="2666"/>
      <c r="F136" s="2666"/>
      <c r="G136" s="2667"/>
      <c r="H136" s="2666"/>
      <c r="I136" s="2667"/>
      <c r="J136" s="2666"/>
      <c r="K136" s="2666"/>
      <c r="L136" s="2667"/>
      <c r="M136" s="2666"/>
      <c r="N136" s="2666"/>
      <c r="O136" s="2667"/>
      <c r="P136" s="2666"/>
      <c r="Q136" s="2666"/>
      <c r="R136" s="2668"/>
    </row>
    <row r="137" spans="2:18" s="2251" customFormat="1">
      <c r="B137" s="2666"/>
      <c r="C137" s="2666"/>
      <c r="D137" s="2666"/>
      <c r="E137" s="2666"/>
      <c r="F137" s="2666"/>
      <c r="G137" s="2667"/>
      <c r="H137" s="2666"/>
      <c r="I137" s="2667"/>
      <c r="J137" s="2666"/>
      <c r="K137" s="2666"/>
      <c r="L137" s="2667"/>
      <c r="M137" s="2666"/>
      <c r="N137" s="2666"/>
      <c r="O137" s="2667"/>
      <c r="P137" s="2666"/>
      <c r="Q137" s="2666"/>
      <c r="R137" s="2668"/>
    </row>
    <row r="138" spans="2:18" s="2251" customFormat="1">
      <c r="B138" s="2666"/>
      <c r="C138" s="2666"/>
      <c r="D138" s="2666"/>
      <c r="E138" s="2666"/>
      <c r="F138" s="2666"/>
      <c r="G138" s="2667"/>
      <c r="H138" s="2666"/>
      <c r="I138" s="2667"/>
      <c r="J138" s="2666"/>
      <c r="K138" s="2666"/>
      <c r="L138" s="2667"/>
      <c r="M138" s="2666"/>
      <c r="N138" s="2666"/>
      <c r="O138" s="2667"/>
      <c r="P138" s="2666"/>
      <c r="Q138" s="2666"/>
      <c r="R138" s="2668"/>
    </row>
    <row r="139" spans="2:18" s="2251" customFormat="1">
      <c r="B139" s="2666"/>
      <c r="C139" s="2666"/>
      <c r="D139" s="2666"/>
      <c r="E139" s="2666"/>
      <c r="F139" s="2666"/>
      <c r="G139" s="2667"/>
      <c r="H139" s="2666"/>
      <c r="I139" s="2667"/>
      <c r="J139" s="2666"/>
      <c r="K139" s="2666"/>
      <c r="L139" s="2667"/>
      <c r="M139" s="2666"/>
      <c r="N139" s="2666"/>
      <c r="O139" s="2667"/>
      <c r="P139" s="2666"/>
      <c r="Q139" s="2666"/>
      <c r="R139" s="2668"/>
    </row>
    <row r="140" spans="2:18" s="2251" customFormat="1">
      <c r="B140" s="2666"/>
      <c r="C140" s="2666"/>
      <c r="D140" s="2666"/>
      <c r="E140" s="2666"/>
      <c r="F140" s="2666"/>
      <c r="G140" s="2667"/>
      <c r="H140" s="2666"/>
      <c r="I140" s="2667"/>
      <c r="J140" s="2666"/>
      <c r="K140" s="2666"/>
      <c r="L140" s="2667"/>
      <c r="M140" s="2666"/>
      <c r="N140" s="2666"/>
      <c r="O140" s="2667"/>
      <c r="P140" s="2666"/>
      <c r="Q140" s="2666"/>
      <c r="R140" s="2668"/>
    </row>
    <row r="141" spans="2:18" s="2251" customFormat="1">
      <c r="B141" s="2666"/>
      <c r="C141" s="2666"/>
      <c r="D141" s="2666"/>
      <c r="E141" s="2666"/>
      <c r="F141" s="2666"/>
      <c r="G141" s="2667"/>
      <c r="H141" s="2666"/>
      <c r="I141" s="2667"/>
      <c r="J141" s="2666"/>
      <c r="K141" s="2666"/>
      <c r="L141" s="2667"/>
      <c r="M141" s="2666"/>
      <c r="N141" s="2666"/>
      <c r="O141" s="2667"/>
      <c r="P141" s="2666"/>
      <c r="Q141" s="2666"/>
      <c r="R141" s="2668"/>
    </row>
    <row r="142" spans="2:18" s="2251" customFormat="1">
      <c r="B142" s="2666"/>
      <c r="C142" s="2666"/>
      <c r="D142" s="2666"/>
      <c r="E142" s="2666"/>
      <c r="F142" s="2666"/>
      <c r="G142" s="2667"/>
      <c r="H142" s="2666"/>
      <c r="I142" s="2667"/>
      <c r="J142" s="2666"/>
      <c r="K142" s="2666"/>
      <c r="L142" s="2667"/>
      <c r="M142" s="2666"/>
      <c r="N142" s="2666"/>
      <c r="O142" s="2667"/>
      <c r="P142" s="2666"/>
      <c r="Q142" s="2666"/>
      <c r="R142" s="2668"/>
    </row>
    <row r="143" spans="2:18" s="2251" customFormat="1">
      <c r="B143" s="2666"/>
      <c r="C143" s="2666"/>
      <c r="D143" s="2666"/>
      <c r="E143" s="2666"/>
      <c r="F143" s="2666"/>
      <c r="G143" s="2667"/>
      <c r="H143" s="2666"/>
      <c r="I143" s="2667"/>
      <c r="J143" s="2666"/>
      <c r="K143" s="2666"/>
      <c r="L143" s="2667"/>
      <c r="M143" s="2666"/>
      <c r="N143" s="2666"/>
      <c r="O143" s="2667"/>
      <c r="P143" s="2666"/>
      <c r="Q143" s="2666"/>
      <c r="R143" s="2668"/>
    </row>
    <row r="144" spans="2:18" s="2251" customFormat="1">
      <c r="B144" s="2666"/>
      <c r="C144" s="2666"/>
      <c r="D144" s="2666"/>
      <c r="E144" s="2666"/>
      <c r="F144" s="2666"/>
      <c r="G144" s="2667"/>
      <c r="H144" s="2666"/>
      <c r="I144" s="2667"/>
      <c r="J144" s="2666"/>
      <c r="K144" s="2666"/>
      <c r="L144" s="2667"/>
      <c r="M144" s="2666"/>
      <c r="N144" s="2666"/>
      <c r="O144" s="2667"/>
      <c r="P144" s="2666"/>
      <c r="Q144" s="2666"/>
      <c r="R144" s="2668"/>
    </row>
    <row r="145" spans="2:18" s="2251" customFormat="1">
      <c r="B145" s="2666"/>
      <c r="C145" s="2666"/>
      <c r="D145" s="2666"/>
      <c r="E145" s="2666"/>
      <c r="F145" s="2666"/>
      <c r="G145" s="2667"/>
      <c r="H145" s="2666"/>
      <c r="I145" s="2667"/>
      <c r="J145" s="2666"/>
      <c r="K145" s="2666"/>
      <c r="L145" s="2667"/>
      <c r="M145" s="2666"/>
      <c r="N145" s="2666"/>
      <c r="O145" s="2667"/>
      <c r="P145" s="2666"/>
      <c r="Q145" s="2666"/>
      <c r="R145" s="2668"/>
    </row>
    <row r="146" spans="2:18" s="2251" customFormat="1">
      <c r="B146" s="2666"/>
      <c r="C146" s="2666"/>
      <c r="D146" s="2666"/>
      <c r="E146" s="2666"/>
      <c r="F146" s="2666"/>
      <c r="G146" s="2667"/>
      <c r="H146" s="2666"/>
      <c r="I146" s="2667"/>
      <c r="J146" s="2666"/>
      <c r="K146" s="2666"/>
      <c r="L146" s="2667"/>
      <c r="M146" s="2666"/>
      <c r="N146" s="2666"/>
      <c r="O146" s="2667"/>
      <c r="P146" s="2666"/>
      <c r="Q146" s="2666"/>
      <c r="R146" s="2668"/>
    </row>
    <row r="147" spans="2:18" s="2251" customFormat="1">
      <c r="B147" s="2666"/>
      <c r="C147" s="2666"/>
      <c r="D147" s="2666"/>
      <c r="E147" s="2666"/>
      <c r="F147" s="2666"/>
      <c r="G147" s="2667"/>
      <c r="H147" s="2666"/>
      <c r="I147" s="2667"/>
      <c r="J147" s="2666"/>
      <c r="K147" s="2666"/>
      <c r="L147" s="2667"/>
      <c r="M147" s="2666"/>
      <c r="N147" s="2666"/>
      <c r="O147" s="2667"/>
      <c r="P147" s="2666"/>
      <c r="Q147" s="2666"/>
      <c r="R147" s="2668"/>
    </row>
    <row r="148" spans="2:18" s="2251" customFormat="1">
      <c r="B148" s="2666"/>
      <c r="C148" s="2666"/>
      <c r="D148" s="2666"/>
      <c r="E148" s="2666"/>
      <c r="F148" s="2666"/>
      <c r="G148" s="2667"/>
      <c r="H148" s="2666"/>
      <c r="I148" s="2667"/>
      <c r="J148" s="2666"/>
      <c r="K148" s="2666"/>
      <c r="L148" s="2667"/>
      <c r="M148" s="2666"/>
      <c r="N148" s="2666"/>
      <c r="O148" s="2667"/>
      <c r="P148" s="2666"/>
      <c r="Q148" s="2666"/>
      <c r="R148" s="2668"/>
    </row>
    <row r="149" spans="2:18" s="2251" customFormat="1">
      <c r="B149" s="2666"/>
      <c r="C149" s="2666"/>
      <c r="D149" s="2666"/>
      <c r="E149" s="2666"/>
      <c r="F149" s="2666"/>
      <c r="G149" s="2667"/>
      <c r="H149" s="2666"/>
      <c r="I149" s="2667"/>
      <c r="J149" s="2666"/>
      <c r="K149" s="2666"/>
      <c r="L149" s="2667"/>
      <c r="M149" s="2666"/>
      <c r="N149" s="2666"/>
      <c r="O149" s="2667"/>
      <c r="P149" s="2666"/>
      <c r="Q149" s="2666"/>
      <c r="R149" s="2668"/>
    </row>
    <row r="150" spans="2:18" s="2251" customFormat="1">
      <c r="B150" s="2666"/>
      <c r="C150" s="2666"/>
      <c r="D150" s="2666"/>
      <c r="E150" s="2666"/>
      <c r="F150" s="2666"/>
      <c r="G150" s="2667"/>
      <c r="H150" s="2666"/>
      <c r="I150" s="2667"/>
      <c r="J150" s="2666"/>
      <c r="K150" s="2666"/>
      <c r="L150" s="2667"/>
      <c r="M150" s="2666"/>
      <c r="N150" s="2666"/>
      <c r="O150" s="2667"/>
      <c r="P150" s="2666"/>
      <c r="Q150" s="2666"/>
      <c r="R150" s="2668"/>
    </row>
    <row r="151" spans="2:18" s="2251" customFormat="1">
      <c r="B151" s="2666"/>
      <c r="C151" s="2666"/>
      <c r="D151" s="2666"/>
      <c r="E151" s="2666"/>
      <c r="F151" s="2666"/>
      <c r="G151" s="2667"/>
      <c r="H151" s="2666"/>
      <c r="I151" s="2667"/>
      <c r="J151" s="2666"/>
      <c r="K151" s="2666"/>
      <c r="L151" s="2667"/>
      <c r="M151" s="2666"/>
      <c r="N151" s="2666"/>
      <c r="O151" s="2667"/>
      <c r="P151" s="2666"/>
      <c r="Q151" s="2666"/>
      <c r="R151" s="2668"/>
    </row>
    <row r="152" spans="2:18" s="2251" customFormat="1">
      <c r="B152" s="2666"/>
      <c r="C152" s="2666"/>
      <c r="D152" s="2666"/>
      <c r="E152" s="2666"/>
      <c r="F152" s="2666"/>
      <c r="G152" s="2667"/>
      <c r="H152" s="2666"/>
      <c r="I152" s="2667"/>
      <c r="J152" s="2666"/>
      <c r="K152" s="2666"/>
      <c r="L152" s="2667"/>
      <c r="M152" s="2666"/>
      <c r="N152" s="2666"/>
      <c r="O152" s="2667"/>
      <c r="P152" s="2666"/>
      <c r="Q152" s="2666"/>
      <c r="R152" s="2668"/>
    </row>
    <row r="153" spans="2:18" s="2251" customFormat="1">
      <c r="B153" s="2666"/>
      <c r="C153" s="2666"/>
      <c r="D153" s="2666"/>
      <c r="E153" s="2666"/>
      <c r="F153" s="2666"/>
      <c r="G153" s="2667"/>
      <c r="H153" s="2666"/>
      <c r="I153" s="2667"/>
      <c r="J153" s="2666"/>
      <c r="K153" s="2666"/>
      <c r="L153" s="2667"/>
      <c r="M153" s="2666"/>
      <c r="N153" s="2666"/>
      <c r="O153" s="2667"/>
      <c r="P153" s="2666"/>
      <c r="Q153" s="2666"/>
      <c r="R153" s="2668"/>
    </row>
    <row r="154" spans="2:18" s="2251" customFormat="1">
      <c r="B154" s="2666"/>
      <c r="C154" s="2666"/>
      <c r="D154" s="2666"/>
      <c r="E154" s="2666"/>
      <c r="F154" s="2666"/>
      <c r="G154" s="2667"/>
      <c r="H154" s="2666"/>
      <c r="I154" s="2667"/>
      <c r="J154" s="2666"/>
      <c r="K154" s="2666"/>
      <c r="L154" s="2667"/>
      <c r="M154" s="2666"/>
      <c r="N154" s="2666"/>
      <c r="O154" s="2667"/>
      <c r="P154" s="2666"/>
      <c r="Q154" s="2666"/>
      <c r="R154" s="2668"/>
    </row>
    <row r="155" spans="2:18" s="2251" customFormat="1">
      <c r="B155" s="2666"/>
      <c r="C155" s="2666"/>
      <c r="D155" s="2666"/>
      <c r="E155" s="2666"/>
      <c r="F155" s="2666"/>
      <c r="G155" s="2667"/>
      <c r="H155" s="2666"/>
      <c r="I155" s="2667"/>
      <c r="J155" s="2666"/>
      <c r="K155" s="2666"/>
      <c r="L155" s="2667"/>
      <c r="M155" s="2666"/>
      <c r="N155" s="2666"/>
      <c r="O155" s="2667"/>
      <c r="P155" s="2666"/>
      <c r="Q155" s="2666"/>
      <c r="R155" s="2668"/>
    </row>
    <row r="156" spans="2:18" s="2251" customFormat="1">
      <c r="B156" s="2666"/>
      <c r="C156" s="2666"/>
      <c r="D156" s="2666"/>
      <c r="E156" s="2666"/>
      <c r="F156" s="2666"/>
      <c r="G156" s="2667"/>
      <c r="H156" s="2666"/>
      <c r="I156" s="2667"/>
      <c r="J156" s="2666"/>
      <c r="K156" s="2666"/>
      <c r="L156" s="2667"/>
      <c r="M156" s="2666"/>
      <c r="N156" s="2666"/>
      <c r="O156" s="2667"/>
      <c r="P156" s="2666"/>
      <c r="Q156" s="2666"/>
      <c r="R156" s="2668"/>
    </row>
    <row r="157" spans="2:18" s="2251" customFormat="1">
      <c r="B157" s="2666"/>
      <c r="C157" s="2666"/>
      <c r="D157" s="2666"/>
      <c r="E157" s="2666"/>
      <c r="F157" s="2666"/>
      <c r="G157" s="2667"/>
      <c r="H157" s="2666"/>
      <c r="I157" s="2667"/>
      <c r="J157" s="2666"/>
      <c r="K157" s="2666"/>
      <c r="L157" s="2667"/>
      <c r="M157" s="2666"/>
      <c r="N157" s="2666"/>
      <c r="O157" s="2667"/>
      <c r="P157" s="2666"/>
      <c r="Q157" s="2666"/>
      <c r="R157" s="2668"/>
    </row>
    <row r="158" spans="2:18" s="2251" customFormat="1">
      <c r="B158" s="2666"/>
      <c r="C158" s="2666"/>
      <c r="D158" s="2666"/>
      <c r="E158" s="2666"/>
      <c r="F158" s="2666"/>
      <c r="G158" s="2667"/>
      <c r="H158" s="2666"/>
      <c r="I158" s="2667"/>
      <c r="J158" s="2666"/>
      <c r="K158" s="2666"/>
      <c r="L158" s="2667"/>
      <c r="M158" s="2666"/>
      <c r="N158" s="2666"/>
      <c r="O158" s="2667"/>
      <c r="P158" s="2666"/>
      <c r="Q158" s="2666"/>
      <c r="R158" s="2668"/>
    </row>
    <row r="159" spans="2:18" s="2251" customFormat="1">
      <c r="B159" s="2666"/>
      <c r="C159" s="2666"/>
      <c r="D159" s="2666"/>
      <c r="E159" s="2666"/>
      <c r="F159" s="2666"/>
      <c r="G159" s="2667"/>
      <c r="H159" s="2666"/>
      <c r="I159" s="2667"/>
      <c r="J159" s="2666"/>
      <c r="K159" s="2666"/>
      <c r="L159" s="2667"/>
      <c r="M159" s="2666"/>
      <c r="N159" s="2666"/>
      <c r="O159" s="2667"/>
      <c r="P159" s="2666"/>
      <c r="Q159" s="2666"/>
      <c r="R159" s="2668"/>
    </row>
    <row r="160" spans="2:18" s="2251" customFormat="1">
      <c r="B160" s="2666"/>
      <c r="C160" s="2666"/>
      <c r="D160" s="2666"/>
      <c r="E160" s="2666"/>
      <c r="F160" s="2666"/>
      <c r="G160" s="2667"/>
      <c r="H160" s="2666"/>
      <c r="I160" s="2667"/>
      <c r="J160" s="2666"/>
      <c r="K160" s="2666"/>
      <c r="L160" s="2667"/>
      <c r="M160" s="2666"/>
      <c r="N160" s="2666"/>
      <c r="O160" s="2667"/>
      <c r="P160" s="2666"/>
      <c r="Q160" s="2666"/>
      <c r="R160" s="2668"/>
    </row>
    <row r="161" spans="2:18" s="2251" customFormat="1">
      <c r="B161" s="2666"/>
      <c r="C161" s="2666"/>
      <c r="D161" s="2666"/>
      <c r="E161" s="2666"/>
      <c r="F161" s="2666"/>
      <c r="G161" s="2667"/>
      <c r="H161" s="2666"/>
      <c r="I161" s="2667"/>
      <c r="J161" s="2666"/>
      <c r="K161" s="2666"/>
      <c r="L161" s="2667"/>
      <c r="M161" s="2666"/>
      <c r="N161" s="2666"/>
      <c r="O161" s="2667"/>
      <c r="P161" s="2666"/>
      <c r="Q161" s="2666"/>
      <c r="R161" s="2668"/>
    </row>
    <row r="162" spans="2:18" s="2251" customFormat="1">
      <c r="B162" s="2666"/>
      <c r="C162" s="2666"/>
      <c r="D162" s="2666"/>
      <c r="E162" s="2666"/>
      <c r="F162" s="2666"/>
      <c r="G162" s="2667"/>
      <c r="H162" s="2666"/>
      <c r="I162" s="2667"/>
      <c r="J162" s="2666"/>
      <c r="K162" s="2666"/>
      <c r="L162" s="2667"/>
      <c r="M162" s="2666"/>
      <c r="N162" s="2666"/>
      <c r="O162" s="2667"/>
      <c r="P162" s="2666"/>
      <c r="Q162" s="2666"/>
      <c r="R162" s="2668"/>
    </row>
    <row r="163" spans="2:18" s="2251" customFormat="1">
      <c r="B163" s="2666"/>
      <c r="C163" s="2666"/>
      <c r="D163" s="2666"/>
      <c r="E163" s="2666"/>
      <c r="F163" s="2666"/>
      <c r="G163" s="2667"/>
      <c r="H163" s="2666"/>
      <c r="I163" s="2667"/>
      <c r="J163" s="2666"/>
      <c r="K163" s="2666"/>
      <c r="L163" s="2667"/>
      <c r="M163" s="2666"/>
      <c r="N163" s="2666"/>
      <c r="O163" s="2667"/>
      <c r="P163" s="2666"/>
      <c r="Q163" s="2666"/>
      <c r="R163" s="2668"/>
    </row>
    <row r="164" spans="2:18" s="2251" customFormat="1">
      <c r="B164" s="2666"/>
      <c r="C164" s="2666"/>
      <c r="D164" s="2666"/>
      <c r="E164" s="2666"/>
      <c r="F164" s="2666"/>
      <c r="G164" s="2667"/>
      <c r="H164" s="2666"/>
      <c r="I164" s="2667"/>
      <c r="J164" s="2666"/>
      <c r="K164" s="2666"/>
      <c r="L164" s="2667"/>
      <c r="M164" s="2666"/>
      <c r="N164" s="2666"/>
      <c r="O164" s="2667"/>
      <c r="P164" s="2666"/>
      <c r="Q164" s="2666"/>
      <c r="R164" s="2668"/>
    </row>
    <row r="165" spans="2:18" s="2251" customFormat="1">
      <c r="B165" s="2666"/>
      <c r="C165" s="2666"/>
      <c r="D165" s="2666"/>
      <c r="E165" s="2666"/>
      <c r="F165" s="2666"/>
      <c r="G165" s="2667"/>
      <c r="H165" s="2666"/>
      <c r="I165" s="2667"/>
      <c r="J165" s="2666"/>
      <c r="K165" s="2666"/>
      <c r="L165" s="2667"/>
      <c r="M165" s="2666"/>
      <c r="N165" s="2666"/>
      <c r="O165" s="2667"/>
      <c r="P165" s="2666"/>
      <c r="Q165" s="2666"/>
      <c r="R165" s="2668"/>
    </row>
    <row r="166" spans="2:18" s="2251" customFormat="1">
      <c r="B166" s="2666"/>
      <c r="C166" s="2666"/>
      <c r="D166" s="2666"/>
      <c r="E166" s="2666"/>
      <c r="F166" s="2666"/>
      <c r="G166" s="2667"/>
      <c r="H166" s="2666"/>
      <c r="I166" s="2667"/>
      <c r="J166" s="2666"/>
      <c r="K166" s="2666"/>
      <c r="L166" s="2667"/>
      <c r="M166" s="2666"/>
      <c r="N166" s="2666"/>
      <c r="O166" s="2667"/>
      <c r="P166" s="2666"/>
      <c r="Q166" s="2666"/>
      <c r="R166" s="2668"/>
    </row>
    <row r="167" spans="2:18" s="2251" customFormat="1">
      <c r="B167" s="2666"/>
      <c r="C167" s="2666"/>
      <c r="D167" s="2666"/>
      <c r="E167" s="2666"/>
      <c r="F167" s="2666"/>
      <c r="G167" s="2667"/>
      <c r="H167" s="2666"/>
      <c r="I167" s="2667"/>
      <c r="J167" s="2666"/>
      <c r="K167" s="2666"/>
      <c r="L167" s="2667"/>
      <c r="M167" s="2666"/>
      <c r="N167" s="2666"/>
      <c r="O167" s="2667"/>
      <c r="P167" s="2666"/>
      <c r="Q167" s="2666"/>
      <c r="R167" s="2668"/>
    </row>
    <row r="168" spans="2:18" s="2251" customFormat="1">
      <c r="B168" s="2666"/>
      <c r="C168" s="2666"/>
      <c r="D168" s="2666"/>
      <c r="E168" s="2666"/>
      <c r="F168" s="2666"/>
      <c r="G168" s="2667"/>
      <c r="H168" s="2666"/>
      <c r="I168" s="2667"/>
      <c r="J168" s="2666"/>
      <c r="K168" s="2666"/>
      <c r="L168" s="2667"/>
      <c r="M168" s="2666"/>
      <c r="N168" s="2666"/>
      <c r="O168" s="2667"/>
      <c r="P168" s="2666"/>
      <c r="Q168" s="2666"/>
      <c r="R168" s="2668"/>
    </row>
    <row r="169" spans="2:18" s="2251" customFormat="1">
      <c r="B169" s="2666"/>
      <c r="C169" s="2666"/>
      <c r="D169" s="2666"/>
      <c r="E169" s="2666"/>
      <c r="F169" s="2666"/>
      <c r="G169" s="2667"/>
      <c r="H169" s="2666"/>
      <c r="I169" s="2667"/>
      <c r="J169" s="2666"/>
      <c r="K169" s="2666"/>
      <c r="L169" s="2667"/>
      <c r="M169" s="2666"/>
      <c r="N169" s="2666"/>
      <c r="O169" s="2667"/>
      <c r="P169" s="2666"/>
      <c r="Q169" s="2666"/>
      <c r="R169" s="2668"/>
    </row>
    <row r="170" spans="2:18" s="2251" customFormat="1">
      <c r="B170" s="2666"/>
      <c r="C170" s="2666"/>
      <c r="D170" s="2666"/>
      <c r="E170" s="2666"/>
      <c r="F170" s="2666"/>
      <c r="G170" s="2667"/>
      <c r="H170" s="2666"/>
      <c r="I170" s="2667"/>
      <c r="J170" s="2666"/>
      <c r="K170" s="2666"/>
      <c r="L170" s="2667"/>
      <c r="M170" s="2666"/>
      <c r="N170" s="2666"/>
      <c r="O170" s="2667"/>
      <c r="P170" s="2666"/>
      <c r="Q170" s="2666"/>
      <c r="R170" s="2668"/>
    </row>
    <row r="171" spans="2:18" s="2251" customFormat="1">
      <c r="B171" s="2666"/>
      <c r="C171" s="2666"/>
      <c r="D171" s="2666"/>
      <c r="E171" s="2666"/>
      <c r="F171" s="2666"/>
      <c r="G171" s="2667"/>
      <c r="H171" s="2666"/>
      <c r="I171" s="2667"/>
      <c r="J171" s="2666"/>
      <c r="K171" s="2666"/>
      <c r="L171" s="2667"/>
      <c r="M171" s="2666"/>
      <c r="N171" s="2666"/>
      <c r="O171" s="2667"/>
      <c r="P171" s="2666"/>
      <c r="Q171" s="2666"/>
      <c r="R171" s="2668"/>
    </row>
    <row r="172" spans="2:18" s="2251" customFormat="1">
      <c r="B172" s="2666"/>
      <c r="C172" s="2666"/>
      <c r="D172" s="2666"/>
      <c r="E172" s="2666"/>
      <c r="F172" s="2666"/>
      <c r="G172" s="2667"/>
      <c r="H172" s="2666"/>
      <c r="I172" s="2667"/>
      <c r="J172" s="2666"/>
      <c r="K172" s="2666"/>
      <c r="L172" s="2667"/>
      <c r="M172" s="2666"/>
      <c r="N172" s="2666"/>
      <c r="O172" s="2667"/>
      <c r="P172" s="2666"/>
      <c r="Q172" s="2666"/>
      <c r="R172" s="2668"/>
    </row>
    <row r="173" spans="2:18" s="2251" customFormat="1">
      <c r="B173" s="2666"/>
      <c r="C173" s="2666"/>
      <c r="D173" s="2666"/>
      <c r="E173" s="2666"/>
      <c r="F173" s="2666"/>
      <c r="G173" s="2667"/>
      <c r="H173" s="2666"/>
      <c r="I173" s="2667"/>
      <c r="J173" s="2666"/>
      <c r="K173" s="2666"/>
      <c r="L173" s="2667"/>
      <c r="M173" s="2666"/>
      <c r="N173" s="2666"/>
      <c r="O173" s="2667"/>
      <c r="P173" s="2666"/>
      <c r="Q173" s="2666"/>
      <c r="R173" s="2668"/>
    </row>
    <row r="174" spans="2:18" s="2251" customFormat="1">
      <c r="B174" s="2666"/>
      <c r="C174" s="2666"/>
      <c r="D174" s="2666"/>
      <c r="E174" s="2666"/>
      <c r="F174" s="2666"/>
      <c r="G174" s="2667"/>
      <c r="H174" s="2666"/>
      <c r="I174" s="2667"/>
      <c r="J174" s="2666"/>
      <c r="K174" s="2666"/>
      <c r="L174" s="2667"/>
      <c r="M174" s="2666"/>
      <c r="N174" s="2666"/>
      <c r="O174" s="2667"/>
      <c r="P174" s="2666"/>
      <c r="Q174" s="2666"/>
      <c r="R174" s="2668"/>
    </row>
    <row r="175" spans="2:18" s="2251" customFormat="1">
      <c r="B175" s="2666"/>
      <c r="C175" s="2666"/>
      <c r="D175" s="2666"/>
      <c r="E175" s="2666"/>
      <c r="F175" s="2666"/>
      <c r="G175" s="2667"/>
      <c r="H175" s="2666"/>
      <c r="I175" s="2667"/>
      <c r="J175" s="2666"/>
      <c r="K175" s="2666"/>
      <c r="L175" s="2667"/>
      <c r="M175" s="2666"/>
      <c r="N175" s="2666"/>
      <c r="O175" s="2667"/>
      <c r="P175" s="2666"/>
      <c r="Q175" s="2666"/>
      <c r="R175" s="2668"/>
    </row>
    <row r="176" spans="2:18" s="2251" customFormat="1">
      <c r="B176" s="2666"/>
      <c r="C176" s="2666"/>
      <c r="D176" s="2666"/>
      <c r="E176" s="2666"/>
      <c r="F176" s="2666"/>
      <c r="G176" s="2667"/>
      <c r="H176" s="2666"/>
      <c r="I176" s="2667"/>
      <c r="J176" s="2666"/>
      <c r="K176" s="2666"/>
      <c r="L176" s="2667"/>
      <c r="M176" s="2666"/>
      <c r="N176" s="2666"/>
      <c r="O176" s="2667"/>
      <c r="P176" s="2666"/>
      <c r="Q176" s="2666"/>
      <c r="R176" s="2668"/>
    </row>
    <row r="177" spans="1:18" s="2251" customFormat="1">
      <c r="B177" s="2666"/>
      <c r="C177" s="2666"/>
      <c r="D177" s="2666"/>
      <c r="E177" s="2666"/>
      <c r="F177" s="2666"/>
      <c r="G177" s="2667"/>
      <c r="H177" s="2666"/>
      <c r="I177" s="2667"/>
      <c r="J177" s="2666"/>
      <c r="K177" s="2666"/>
      <c r="L177" s="2667"/>
      <c r="M177" s="2666"/>
      <c r="N177" s="2666"/>
      <c r="O177" s="2667"/>
      <c r="P177" s="2666"/>
      <c r="Q177" s="2666"/>
      <c r="R177" s="2668"/>
    </row>
    <row r="178" spans="1:18" s="2251" customFormat="1">
      <c r="B178" s="2666"/>
      <c r="C178" s="2666"/>
      <c r="D178" s="2666"/>
      <c r="E178" s="2666"/>
      <c r="F178" s="2666"/>
      <c r="G178" s="2667"/>
      <c r="H178" s="2666"/>
      <c r="I178" s="2667"/>
      <c r="J178" s="2666"/>
      <c r="K178" s="2666"/>
      <c r="L178" s="2667"/>
      <c r="M178" s="2666"/>
      <c r="N178" s="2666"/>
      <c r="O178" s="2667"/>
      <c r="P178" s="2666"/>
      <c r="Q178" s="2666"/>
      <c r="R178" s="2668"/>
    </row>
    <row r="179" spans="1:18" s="2251" customFormat="1">
      <c r="B179" s="2666"/>
      <c r="C179" s="2666"/>
      <c r="D179" s="2666"/>
      <c r="E179" s="2666"/>
      <c r="F179" s="2666"/>
      <c r="G179" s="2667"/>
      <c r="H179" s="2666"/>
      <c r="I179" s="2667"/>
      <c r="J179" s="2666"/>
      <c r="K179" s="2666"/>
      <c r="L179" s="2667"/>
      <c r="M179" s="2666"/>
      <c r="N179" s="2666"/>
      <c r="O179" s="2667"/>
      <c r="P179" s="2666"/>
      <c r="Q179" s="2666"/>
      <c r="R179" s="2668"/>
    </row>
    <row r="180" spans="1:18" s="2251" customFormat="1">
      <c r="B180" s="2666"/>
      <c r="C180" s="2666"/>
      <c r="D180" s="2666"/>
      <c r="E180" s="2666"/>
      <c r="F180" s="2666"/>
      <c r="G180" s="2667"/>
      <c r="H180" s="2666"/>
      <c r="I180" s="2667"/>
      <c r="J180" s="2666"/>
      <c r="K180" s="2666"/>
      <c r="L180" s="2667"/>
      <c r="M180" s="2666"/>
      <c r="N180" s="2666"/>
      <c r="O180" s="2667"/>
      <c r="P180" s="2666"/>
      <c r="Q180" s="2666"/>
      <c r="R180" s="2668"/>
    </row>
    <row r="181" spans="1:18" s="2251" customFormat="1">
      <c r="B181" s="2666"/>
      <c r="C181" s="2666"/>
      <c r="D181" s="2666"/>
      <c r="E181" s="2666"/>
      <c r="F181" s="2666"/>
      <c r="G181" s="2667"/>
      <c r="H181" s="2666"/>
      <c r="I181" s="2667"/>
      <c r="J181" s="2666"/>
      <c r="K181" s="2666"/>
      <c r="L181" s="2667"/>
      <c r="M181" s="2666"/>
      <c r="N181" s="2666"/>
      <c r="O181" s="2667"/>
      <c r="P181" s="2666"/>
      <c r="Q181" s="2666"/>
      <c r="R181" s="2668"/>
    </row>
    <row r="182" spans="1:18" s="2251" customFormat="1">
      <c r="B182" s="2666"/>
      <c r="C182" s="2666"/>
      <c r="D182" s="2666"/>
      <c r="E182" s="2666"/>
      <c r="F182" s="2666"/>
      <c r="G182" s="2667"/>
      <c r="H182" s="2666"/>
      <c r="I182" s="2667"/>
      <c r="J182" s="2666"/>
      <c r="K182" s="2666"/>
      <c r="L182" s="2667"/>
      <c r="M182" s="2666"/>
      <c r="N182" s="2666"/>
      <c r="O182" s="2667"/>
      <c r="P182" s="2666"/>
      <c r="Q182" s="2666"/>
      <c r="R182" s="2668"/>
    </row>
    <row r="183" spans="1:18" s="2251" customFormat="1">
      <c r="B183" s="2666"/>
      <c r="C183" s="2666"/>
      <c r="D183" s="2666"/>
      <c r="E183" s="2666"/>
      <c r="F183" s="2666"/>
      <c r="G183" s="2667"/>
      <c r="H183" s="2666"/>
      <c r="I183" s="2667"/>
      <c r="J183" s="2666"/>
      <c r="K183" s="2666"/>
      <c r="L183" s="2667"/>
      <c r="M183" s="2666"/>
      <c r="N183" s="2666"/>
      <c r="O183" s="2667"/>
      <c r="P183" s="2666"/>
      <c r="Q183" s="2666"/>
      <c r="R183" s="2668"/>
    </row>
    <row r="184" spans="1:18" s="2251" customFormat="1">
      <c r="B184" s="2666"/>
      <c r="C184" s="2666"/>
      <c r="D184" s="2666"/>
      <c r="E184" s="2666"/>
      <c r="F184" s="2666"/>
      <c r="G184" s="2667"/>
      <c r="H184" s="2666"/>
      <c r="I184" s="2667"/>
      <c r="J184" s="2666"/>
      <c r="K184" s="2666"/>
      <c r="L184" s="2667"/>
      <c r="M184" s="2666"/>
      <c r="N184" s="2666"/>
      <c r="O184" s="2667"/>
      <c r="P184" s="2666"/>
      <c r="Q184" s="2666"/>
      <c r="R184" s="2668"/>
    </row>
    <row r="185" spans="1:18" s="2251"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1"/>
      <c r="B186" s="2666"/>
      <c r="C186" s="2666"/>
      <c r="E186" s="2666"/>
      <c r="F186" s="2666"/>
      <c r="G186" s="2667"/>
    </row>
    <row r="187" spans="1:18">
      <c r="A187" s="2251"/>
      <c r="B187" s="2666"/>
      <c r="C187" s="2666"/>
      <c r="E187" s="2666"/>
      <c r="F187" s="2666"/>
      <c r="G187" s="2667"/>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4" customWidth="1"/>
    <col min="2" max="9" width="10" style="3504" customWidth="1"/>
    <col min="10" max="16384" width="9" style="3504"/>
  </cols>
  <sheetData>
    <row r="36" spans="1:9">
      <c r="A36" s="3503" t="s">
        <v>75</v>
      </c>
      <c r="B36" s="3503" t="s">
        <v>76</v>
      </c>
    </row>
    <row r="37" spans="1:9" ht="27.75" customHeight="1">
      <c r="A37" s="3503"/>
      <c r="B37" s="3581" t="str">
        <f>项目基本情况!B1</f>
        <v>北京市兴盛国际房地产抵押价值预评估</v>
      </c>
      <c r="C37" s="3581"/>
      <c r="D37" s="3581"/>
      <c r="E37" s="3581"/>
      <c r="F37" s="3581"/>
      <c r="G37" s="3581"/>
      <c r="H37" s="3581"/>
      <c r="I37" s="3581"/>
    </row>
    <row r="38" spans="1:9">
      <c r="A38" s="3505"/>
      <c r="B38" s="3505"/>
    </row>
    <row r="39" spans="1:9">
      <c r="A39" s="3503" t="s">
        <v>75</v>
      </c>
      <c r="B39" s="3503" t="s">
        <v>77</v>
      </c>
    </row>
    <row r="40" spans="1:9">
      <c r="A40" s="3503"/>
      <c r="B40" s="3506">
        <f>项目基本情况!B5</f>
        <v>0</v>
      </c>
    </row>
    <row r="41" spans="1:9">
      <c r="A41" s="3503"/>
      <c r="B41" s="3503"/>
    </row>
    <row r="42" spans="1:9">
      <c r="A42" s="3503" t="s">
        <v>75</v>
      </c>
      <c r="B42" s="3503" t="s">
        <v>78</v>
      </c>
    </row>
    <row r="43" spans="1:9">
      <c r="A43" s="3503"/>
      <c r="B43" s="3506" t="s">
        <v>79</v>
      </c>
    </row>
    <row r="44" spans="1:9">
      <c r="A44" s="3503"/>
      <c r="B44" s="3503"/>
    </row>
    <row r="45" spans="1:9">
      <c r="A45" s="3503" t="s">
        <v>75</v>
      </c>
      <c r="B45" s="3503" t="s">
        <v>80</v>
      </c>
    </row>
    <row r="46" spans="1:9" s="3503" customFormat="1" ht="12.75">
      <c r="B46" s="3506" t="str">
        <f>项目基本情况!K4</f>
        <v>（注册号：0)、（注册号：0)</v>
      </c>
    </row>
    <row r="47" spans="1:9">
      <c r="A47" s="3503"/>
      <c r="B47" s="3503" t="str">
        <f>项目基本情况!K5</f>
        <v>（注册号：0)、（注册号：0)</v>
      </c>
    </row>
    <row r="48" spans="1:9">
      <c r="A48" s="3503" t="s">
        <v>75</v>
      </c>
      <c r="B48" s="3503" t="s">
        <v>81</v>
      </c>
    </row>
    <row r="49" spans="2:2">
      <c r="B49" s="3506"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O40" sqref="O40"/>
    </sheetView>
  </sheetViews>
  <sheetFormatPr defaultColWidth="9" defaultRowHeight="13.5"/>
  <cols>
    <col min="1" max="1" width="25" style="2643" customWidth="1"/>
    <col min="2" max="9" width="15.75" style="2643" customWidth="1"/>
    <col min="10" max="16384" width="9" style="2643"/>
  </cols>
  <sheetData>
    <row r="1" spans="1:11" ht="16.5">
      <c r="A1" s="2644" t="s">
        <v>1312</v>
      </c>
      <c r="B1" s="2644">
        <f>SUM(B14:B23)</f>
        <v>38.93</v>
      </c>
      <c r="C1" s="2645"/>
      <c r="D1" s="2645"/>
      <c r="E1" s="2645"/>
      <c r="F1" s="2645"/>
      <c r="G1" s="2646"/>
      <c r="H1" s="2647"/>
      <c r="I1" s="2647"/>
      <c r="J1" s="2647"/>
      <c r="K1" s="2647"/>
    </row>
    <row r="2" spans="1:11" ht="16.5">
      <c r="A2" s="2644" t="s">
        <v>1313</v>
      </c>
      <c r="B2" s="2644">
        <f>SUM(C14:C23)</f>
        <v>0</v>
      </c>
      <c r="C2" s="2645"/>
      <c r="D2" s="2645"/>
      <c r="E2" s="2645"/>
      <c r="F2" s="2645"/>
      <c r="G2" s="2646"/>
      <c r="H2" s="2647"/>
      <c r="I2" s="2647"/>
      <c r="J2" s="2647"/>
      <c r="K2" s="2647"/>
    </row>
    <row r="3" spans="1:11" ht="16.5">
      <c r="A3" s="2644" t="s">
        <v>1314</v>
      </c>
      <c r="B3" s="2648">
        <f>项目基本情况!D3</f>
        <v>45300</v>
      </c>
      <c r="C3" s="2645"/>
      <c r="D3" s="2645"/>
      <c r="E3" s="2645"/>
      <c r="F3" s="2645"/>
      <c r="G3" s="2646"/>
      <c r="H3" s="2647"/>
      <c r="I3" s="2647"/>
      <c r="J3" s="2647"/>
      <c r="K3" s="2647"/>
    </row>
    <row r="4" spans="1:11" ht="33">
      <c r="A4" s="2644" t="s">
        <v>1315</v>
      </c>
      <c r="B4" s="2644" t="s">
        <v>1316</v>
      </c>
      <c r="C4" s="2644" t="s">
        <v>1317</v>
      </c>
      <c r="D4" s="2644" t="s">
        <v>1318</v>
      </c>
      <c r="E4" s="2645"/>
      <c r="F4" s="2646"/>
      <c r="G4" s="2646"/>
      <c r="H4" s="2647"/>
      <c r="I4" s="2647"/>
      <c r="J4" s="2647"/>
      <c r="K4" s="2647"/>
    </row>
    <row r="5" spans="1:11" ht="16.5">
      <c r="A5" s="2644" t="s">
        <v>1319</v>
      </c>
      <c r="B5" s="2644">
        <f ca="1">SUM(D14:D23)</f>
        <v>54</v>
      </c>
      <c r="C5" s="2644">
        <f ca="1">IF(B5=D14,结果表!H102,ROUND(B5*10000/$B$1,0))</f>
        <v>13946</v>
      </c>
      <c r="D5" s="2644" t="e">
        <f ca="1">ROUND(B5*10000/$B$2,0)</f>
        <v>#DIV/0!</v>
      </c>
      <c r="E5" s="2645"/>
      <c r="F5" s="2646"/>
      <c r="G5" s="2646"/>
      <c r="H5" s="2647"/>
      <c r="I5" s="2647"/>
      <c r="J5" s="2647"/>
      <c r="K5" s="2647"/>
    </row>
    <row r="6" spans="1:11" ht="16.5">
      <c r="A6" s="2644" t="s">
        <v>1320</v>
      </c>
      <c r="B6" s="2644">
        <f ca="1">SUM(G14:G23)</f>
        <v>6665</v>
      </c>
      <c r="C6" s="2644">
        <f ca="1">IF(B6=G14,结果表!H108,ROUND(B6*10000/$B$1,0))</f>
        <v>13946</v>
      </c>
      <c r="D6" s="2644" t="e">
        <f ca="1">ROUND(B6*10000/$B$2,0)</f>
        <v>#DIV/0!</v>
      </c>
      <c r="E6" s="2645"/>
      <c r="F6" s="2646"/>
      <c r="G6" s="2646"/>
      <c r="H6" s="2647"/>
      <c r="I6" s="2647"/>
      <c r="J6" s="2647"/>
      <c r="K6" s="2647"/>
    </row>
    <row r="7" spans="1:11" ht="16.5">
      <c r="A7" s="2644" t="s">
        <v>1321</v>
      </c>
      <c r="B7" s="2644">
        <f>SUM(H14:H23)</f>
        <v>0</v>
      </c>
      <c r="C7" s="2644" t="str">
        <f>IF(B7=H14,结果表!H110,ROUND(B7*10000/$B$1,0))</f>
        <v>——</v>
      </c>
      <c r="D7" s="2644" t="e">
        <f>ROUND(B7*10000/$B$2,0)</f>
        <v>#DIV/0!</v>
      </c>
      <c r="E7" s="2645"/>
      <c r="F7" s="2646"/>
      <c r="G7" s="2646"/>
      <c r="H7" s="2647"/>
      <c r="I7" s="2647"/>
      <c r="J7" s="2647"/>
      <c r="K7" s="2647"/>
    </row>
    <row r="8" spans="1:11" ht="16.5">
      <c r="A8" s="2644" t="s">
        <v>337</v>
      </c>
      <c r="B8" s="2644">
        <f ca="1">SUM(I14:I23)</f>
        <v>6464</v>
      </c>
      <c r="C8" s="2644">
        <f ca="1">IF(B8=I14,结果表!H112,ROUND(B8*10000/$B$1,0))</f>
        <v>1660416</v>
      </c>
      <c r="D8" s="2644" t="e">
        <f ca="1">ROUND(B8*10000/$B$2,0)</f>
        <v>#DIV/0!</v>
      </c>
      <c r="E8" s="2645"/>
      <c r="F8" s="2646"/>
      <c r="G8" s="2646"/>
      <c r="H8" s="2647"/>
      <c r="I8" s="2647"/>
      <c r="J8" s="2647"/>
      <c r="K8" s="2647"/>
    </row>
    <row r="9" spans="1:11" ht="16.5">
      <c r="A9" s="2644" t="s">
        <v>1322</v>
      </c>
      <c r="B9" s="2649"/>
      <c r="C9" s="2645"/>
      <c r="D9" s="2645"/>
      <c r="E9" s="2645"/>
      <c r="F9" s="2646"/>
      <c r="G9" s="2646"/>
      <c r="H9" s="2647"/>
      <c r="I9" s="2647"/>
      <c r="J9" s="2647"/>
      <c r="K9" s="2647"/>
    </row>
    <row r="10" spans="1:11" ht="16.5">
      <c r="A10" s="2644" t="s">
        <v>665</v>
      </c>
      <c r="B10" s="2644">
        <f>IF(E10="",0,ROUND(B1*(E10*365/G10)/10000,0))</f>
        <v>0</v>
      </c>
      <c r="C10" s="2644" t="s">
        <v>1323</v>
      </c>
      <c r="D10" s="2644" t="s">
        <v>665</v>
      </c>
      <c r="E10" s="2650"/>
      <c r="F10" s="2651" t="s">
        <v>1324</v>
      </c>
      <c r="G10" s="2652"/>
      <c r="H10" s="2647"/>
      <c r="I10" s="2647"/>
      <c r="J10" s="2647"/>
      <c r="K10" s="2647"/>
    </row>
    <row r="11" spans="1:11" ht="16.5">
      <c r="A11" s="2644" t="s">
        <v>1325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776</v>
      </c>
      <c r="B13" s="2654" t="s">
        <v>1312</v>
      </c>
      <c r="C13" s="2654" t="s">
        <v>1313</v>
      </c>
      <c r="D13" s="2654" t="s">
        <v>1326</v>
      </c>
      <c r="E13" s="2644" t="s">
        <v>1317</v>
      </c>
      <c r="F13" s="2644" t="s">
        <v>1318</v>
      </c>
      <c r="G13" s="2654" t="s">
        <v>1327</v>
      </c>
      <c r="H13" s="2654" t="s">
        <v>1328</v>
      </c>
      <c r="I13" s="2654" t="s">
        <v>1329</v>
      </c>
      <c r="J13" s="2646"/>
      <c r="K13" s="2647"/>
    </row>
    <row r="14" spans="1:11" ht="16.5">
      <c r="A14" s="2655" t="s">
        <v>1330</v>
      </c>
      <c r="B14" s="2656">
        <f>结果表!B118</f>
        <v>38.93</v>
      </c>
      <c r="C14" s="2656"/>
      <c r="D14" s="2656">
        <f ca="1">结果表!H118</f>
        <v>54</v>
      </c>
      <c r="E14" s="2656">
        <f ca="1">ROUND(D14*10000/B14,0)</f>
        <v>13871</v>
      </c>
      <c r="F14" s="2656" t="e">
        <f ca="1">ROUND(D14*10000/C14,0)</f>
        <v>#DIV/0!</v>
      </c>
      <c r="G14" s="2656">
        <f ca="1">结果表!D122</f>
        <v>6665</v>
      </c>
      <c r="H14" s="2656"/>
      <c r="I14" s="2656">
        <f ca="1">结果表!D126</f>
        <v>6464</v>
      </c>
      <c r="J14" s="2659" t="str">
        <f>项目基本情况!F10</f>
        <v>兴盛国际</v>
      </c>
      <c r="K14" s="2647"/>
    </row>
    <row r="15" spans="1:11" ht="16.5">
      <c r="A15" s="2655" t="s">
        <v>1331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1332</v>
      </c>
      <c r="B16" s="2657"/>
      <c r="C16" s="2657"/>
      <c r="D16" s="2657"/>
      <c r="E16" s="2656" t="e">
        <f t="shared" si="0"/>
        <v>#DIV/0!</v>
      </c>
      <c r="F16" s="2656" t="e">
        <f t="shared" si="1"/>
        <v>#DIV/0!</v>
      </c>
      <c r="G16" s="2658"/>
      <c r="H16" s="2658"/>
      <c r="I16" s="2657"/>
      <c r="J16" s="2647"/>
      <c r="K16" s="2647"/>
    </row>
    <row r="17" spans="1:11" ht="16.5">
      <c r="A17" s="2655" t="s">
        <v>1333</v>
      </c>
      <c r="B17" s="2657"/>
      <c r="C17" s="2657"/>
      <c r="D17" s="2657"/>
      <c r="E17" s="2656" t="e">
        <f t="shared" si="0"/>
        <v>#DIV/0!</v>
      </c>
      <c r="F17" s="2656" t="e">
        <f t="shared" si="1"/>
        <v>#DIV/0!</v>
      </c>
      <c r="G17" s="2658"/>
      <c r="H17" s="2658"/>
      <c r="I17" s="2657"/>
      <c r="J17" s="2647"/>
      <c r="K17" s="2647"/>
    </row>
    <row r="18" spans="1:11" ht="16.5">
      <c r="A18" s="2655" t="s">
        <v>1334</v>
      </c>
      <c r="B18" s="2657"/>
      <c r="C18" s="2657"/>
      <c r="D18" s="2657"/>
      <c r="E18" s="2656" t="e">
        <f t="shared" si="0"/>
        <v>#DIV/0!</v>
      </c>
      <c r="F18" s="2656" t="e">
        <f t="shared" si="1"/>
        <v>#DIV/0!</v>
      </c>
      <c r="G18" s="2657"/>
      <c r="H18" s="2657"/>
      <c r="I18" s="2657"/>
      <c r="J18" s="2647"/>
      <c r="K18" s="2647"/>
    </row>
    <row r="19" spans="1:11" ht="16.5">
      <c r="A19" s="2655" t="s">
        <v>1335</v>
      </c>
      <c r="B19" s="2657"/>
      <c r="C19" s="2657"/>
      <c r="D19" s="2657"/>
      <c r="E19" s="2656" t="e">
        <f t="shared" si="0"/>
        <v>#DIV/0!</v>
      </c>
      <c r="F19" s="2656" t="e">
        <f t="shared" si="1"/>
        <v>#DIV/0!</v>
      </c>
      <c r="G19" s="2657"/>
      <c r="H19" s="2657"/>
      <c r="I19" s="2657"/>
      <c r="J19" s="2647"/>
      <c r="K19" s="2647"/>
    </row>
    <row r="20" spans="1:11" ht="16.5">
      <c r="A20" s="2655" t="s">
        <v>1336</v>
      </c>
      <c r="B20" s="2657"/>
      <c r="C20" s="2657"/>
      <c r="D20" s="2657"/>
      <c r="E20" s="2656" t="e">
        <f t="shared" si="0"/>
        <v>#DIV/0!</v>
      </c>
      <c r="F20" s="2656" t="e">
        <f t="shared" si="1"/>
        <v>#DIV/0!</v>
      </c>
      <c r="G20" s="2657"/>
      <c r="H20" s="2657"/>
      <c r="I20" s="2657"/>
      <c r="J20" s="2647"/>
      <c r="K20" s="2647"/>
    </row>
    <row r="21" spans="1:11" ht="16.5">
      <c r="A21" s="2655" t="s">
        <v>1337</v>
      </c>
      <c r="B21" s="2657"/>
      <c r="C21" s="2657"/>
      <c r="D21" s="2657"/>
      <c r="E21" s="2656" t="e">
        <f t="shared" si="0"/>
        <v>#DIV/0!</v>
      </c>
      <c r="F21" s="2656" t="e">
        <f t="shared" si="1"/>
        <v>#DIV/0!</v>
      </c>
      <c r="G21" s="2657"/>
      <c r="H21" s="2657"/>
      <c r="I21" s="2657"/>
      <c r="J21" s="2647"/>
      <c r="K21" s="2647"/>
    </row>
    <row r="22" spans="1:11" ht="16.5">
      <c r="A22" s="2655" t="s">
        <v>1338</v>
      </c>
      <c r="B22" s="2657"/>
      <c r="C22" s="2657"/>
      <c r="D22" s="2657"/>
      <c r="E22" s="2656" t="e">
        <f t="shared" si="0"/>
        <v>#DIV/0!</v>
      </c>
      <c r="F22" s="2656" t="e">
        <f t="shared" si="1"/>
        <v>#DIV/0!</v>
      </c>
      <c r="G22" s="2657"/>
      <c r="H22" s="2657"/>
      <c r="I22" s="2657"/>
      <c r="J22" s="2647"/>
      <c r="K22" s="2647"/>
    </row>
    <row r="23" spans="1:11" ht="16.5">
      <c r="A23" s="2655" t="s">
        <v>1339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W19" sqref="W19"/>
    </sheetView>
  </sheetViews>
  <sheetFormatPr defaultColWidth="12.625" defaultRowHeight="21.75" customHeight="1"/>
  <cols>
    <col min="1" max="2" width="12.625" style="2362"/>
    <col min="3" max="4" width="12.625" style="2362" customWidth="1"/>
    <col min="5" max="9" width="12.625" style="2362"/>
    <col min="10" max="11" width="12.625" style="951" customWidth="1"/>
    <col min="12" max="12" width="12.625" style="951"/>
    <col min="13" max="13" width="14.125" style="951" customWidth="1"/>
    <col min="14" max="26" width="12.625" style="951"/>
    <col min="27" max="35" width="12.625" style="2361"/>
    <col min="36" max="16384" width="12.625" style="2362"/>
  </cols>
  <sheetData>
    <row r="1" spans="1:12" ht="21.75" customHeight="1" thickBot="1">
      <c r="A1" s="2363" t="s">
        <v>1340</v>
      </c>
      <c r="B1" s="2364"/>
      <c r="C1" s="2365" t="s">
        <v>3343</v>
      </c>
      <c r="D1" s="2364"/>
      <c r="E1" s="2364"/>
      <c r="F1" s="2366" t="s">
        <v>1341</v>
      </c>
      <c r="G1" s="2367"/>
      <c r="H1" s="2368" t="str">
        <f>IF(G1="现房","——","估价对象范围")</f>
        <v>估价对象范围</v>
      </c>
      <c r="I1" s="2500"/>
    </row>
    <row r="2" spans="1:12" ht="21.75" customHeight="1" thickBot="1">
      <c r="A2" s="3694" t="str">
        <f>项目基本情况!S2</f>
        <v>北京市兴盛国际房地产</v>
      </c>
      <c r="B2" s="3695"/>
      <c r="C2" s="3695"/>
      <c r="D2" s="3695"/>
      <c r="E2" s="3695"/>
      <c r="F2" s="3695"/>
      <c r="G2" s="3695"/>
      <c r="H2" s="3695"/>
      <c r="I2" s="3696"/>
    </row>
    <row r="3" spans="1:12" ht="12.75">
      <c r="A3" s="3697" t="s">
        <v>1342</v>
      </c>
      <c r="B3" s="3698"/>
      <c r="C3" s="3698"/>
      <c r="D3" s="3698"/>
      <c r="E3" s="3698"/>
      <c r="F3" s="3698"/>
      <c r="G3" s="3698"/>
      <c r="H3" s="3698"/>
      <c r="I3" s="3698"/>
    </row>
    <row r="4" spans="1:12" ht="14.25">
      <c r="A4" s="2369" t="s">
        <v>1343</v>
      </c>
      <c r="B4" s="2370" t="s">
        <v>1344</v>
      </c>
      <c r="C4" s="2371" t="s">
        <v>1345</v>
      </c>
      <c r="D4" s="2371" t="s">
        <v>316</v>
      </c>
      <c r="E4" s="3699" t="s">
        <v>1346</v>
      </c>
      <c r="F4" s="3700"/>
      <c r="G4" s="3700"/>
      <c r="H4" s="3700"/>
      <c r="I4" s="3701"/>
      <c r="K4" s="952" t="str">
        <f>IF(ISNUMBER(FIND("比较法",'结果表-车库'!C4)),"比较法",IF(ISNUMBER(FIND("成本法",'结果表-车库'!C4)),"成本法",IF(ISNUMBER(FIND("假设开发法",'结果表-车库'!C4)),"假设开发法",IF(ISNUMBER(FIND("收益法",'结果表-车库'!C4)),"收益法","基准地价系数修正法"))))</f>
        <v>成本法</v>
      </c>
      <c r="L4" s="95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89" t="s">
        <v>1347</v>
      </c>
      <c r="B5" s="3690">
        <v>25</v>
      </c>
      <c r="C5" s="3691"/>
      <c r="D5" s="3693"/>
      <c r="E5" s="2031" t="s">
        <v>1348</v>
      </c>
      <c r="F5" s="2376"/>
      <c r="G5" s="2376"/>
      <c r="H5" s="2376"/>
      <c r="I5" s="2244"/>
    </row>
    <row r="6" spans="1:12" ht="12.75">
      <c r="A6" s="3689"/>
      <c r="B6" s="3690"/>
      <c r="C6" s="3702"/>
      <c r="D6" s="3693"/>
      <c r="E6" s="2031" t="s">
        <v>1349</v>
      </c>
      <c r="F6" s="2376"/>
      <c r="G6" s="2376"/>
      <c r="H6" s="2376"/>
      <c r="I6" s="2244"/>
    </row>
    <row r="7" spans="1:12" ht="12.75">
      <c r="A7" s="3689"/>
      <c r="B7" s="3690"/>
      <c r="C7" s="3692"/>
      <c r="D7" s="3693"/>
      <c r="E7" s="2031" t="s">
        <v>1350</v>
      </c>
      <c r="F7" s="2376"/>
      <c r="G7" s="2376"/>
      <c r="H7" s="2376"/>
      <c r="I7" s="2244"/>
    </row>
    <row r="8" spans="1:12" ht="12.75">
      <c r="A8" s="3689" t="s">
        <v>1351</v>
      </c>
      <c r="B8" s="3690">
        <v>15</v>
      </c>
      <c r="C8" s="3691"/>
      <c r="D8" s="3693"/>
      <c r="E8" s="2031" t="s">
        <v>1352</v>
      </c>
      <c r="F8" s="2376"/>
      <c r="G8" s="2376"/>
      <c r="H8" s="2376"/>
      <c r="I8" s="2244"/>
    </row>
    <row r="9" spans="1:12" ht="12.75">
      <c r="A9" s="3689"/>
      <c r="B9" s="3690"/>
      <c r="C9" s="3692"/>
      <c r="D9" s="3693"/>
      <c r="E9" s="2031" t="s">
        <v>1353</v>
      </c>
      <c r="F9" s="2376"/>
      <c r="G9" s="2376"/>
      <c r="H9" s="2376"/>
      <c r="I9" s="2244"/>
    </row>
    <row r="10" spans="1:12" ht="12.75">
      <c r="A10" s="3689" t="s">
        <v>1354</v>
      </c>
      <c r="B10" s="3690">
        <v>15</v>
      </c>
      <c r="C10" s="3691"/>
      <c r="D10" s="3693"/>
      <c r="E10" s="2031" t="s">
        <v>1355</v>
      </c>
      <c r="F10" s="2376"/>
      <c r="G10" s="2376"/>
      <c r="H10" s="2376"/>
      <c r="I10" s="2244"/>
    </row>
    <row r="11" spans="1:12" ht="12.75">
      <c r="A11" s="3689"/>
      <c r="B11" s="3690"/>
      <c r="C11" s="3692"/>
      <c r="D11" s="3693"/>
      <c r="E11" s="2031" t="s">
        <v>1356</v>
      </c>
      <c r="F11" s="2376"/>
      <c r="G11" s="2376"/>
      <c r="H11" s="2376"/>
      <c r="I11" s="2244"/>
    </row>
    <row r="12" spans="1:12" ht="12.75">
      <c r="A12" s="3689" t="s">
        <v>1357</v>
      </c>
      <c r="B12" s="3690">
        <v>15</v>
      </c>
      <c r="C12" s="3691"/>
      <c r="D12" s="3693"/>
      <c r="E12" s="2031" t="s">
        <v>1358</v>
      </c>
      <c r="F12" s="2376"/>
      <c r="G12" s="2376"/>
      <c r="H12" s="2376"/>
      <c r="I12" s="2244"/>
    </row>
    <row r="13" spans="1:12" ht="12.75">
      <c r="A13" s="3689"/>
      <c r="B13" s="3690"/>
      <c r="C13" s="3692"/>
      <c r="D13" s="3693"/>
      <c r="E13" s="2031" t="s">
        <v>1359</v>
      </c>
      <c r="F13" s="2376"/>
      <c r="G13" s="2376"/>
      <c r="H13" s="2376"/>
      <c r="I13" s="2244"/>
    </row>
    <row r="14" spans="1:12" ht="12.75">
      <c r="A14" s="3689" t="s">
        <v>1360</v>
      </c>
      <c r="B14" s="3690">
        <v>30</v>
      </c>
      <c r="C14" s="3691">
        <v>7</v>
      </c>
      <c r="D14" s="3693">
        <v>3</v>
      </c>
      <c r="E14" s="2031" t="s">
        <v>1361</v>
      </c>
      <c r="F14" s="2376"/>
      <c r="G14" s="2376"/>
      <c r="H14" s="2376"/>
      <c r="I14" s="2244"/>
    </row>
    <row r="15" spans="1:12" ht="12.75">
      <c r="A15" s="3689"/>
      <c r="B15" s="3690"/>
      <c r="C15" s="3702"/>
      <c r="D15" s="3693"/>
      <c r="E15" s="2031" t="s">
        <v>1362</v>
      </c>
      <c r="F15" s="2376"/>
      <c r="G15" s="2376"/>
      <c r="H15" s="2376"/>
      <c r="I15" s="2244"/>
    </row>
    <row r="16" spans="1:12" ht="12.75">
      <c r="A16" s="3689"/>
      <c r="B16" s="3690"/>
      <c r="C16" s="3692"/>
      <c r="D16" s="3693"/>
      <c r="E16" s="2031" t="s">
        <v>1363</v>
      </c>
      <c r="F16" s="2376"/>
      <c r="G16" s="2376"/>
      <c r="H16" s="2376"/>
      <c r="I16" s="2244"/>
    </row>
    <row r="17" spans="1:36" ht="15">
      <c r="A17" s="2377" t="s">
        <v>1364</v>
      </c>
      <c r="B17" s="2378"/>
      <c r="C17" s="2379">
        <f>SUM(C5:C16)</f>
        <v>7</v>
      </c>
      <c r="D17" s="2379">
        <f>SUM(D5:D16)</f>
        <v>3</v>
      </c>
      <c r="E17" s="992"/>
      <c r="F17" s="992"/>
      <c r="G17" s="992"/>
      <c r="H17" s="992"/>
      <c r="I17" s="992"/>
      <c r="K17" s="1991"/>
      <c r="L17" s="1991" t="s">
        <v>1365</v>
      </c>
      <c r="M17" s="1991" t="s">
        <v>1366</v>
      </c>
    </row>
    <row r="18" spans="1:36" ht="31.9" customHeight="1" thickBot="1">
      <c r="A18" s="2380" t="s">
        <v>1367</v>
      </c>
      <c r="B18" s="2381"/>
      <c r="C18" s="2382">
        <f>ROUND(C17/SUM(C17:D17),2)</f>
        <v>0.7</v>
      </c>
      <c r="D18" s="2382">
        <f>1-C18</f>
        <v>0.30000000000000004</v>
      </c>
      <c r="E18" s="3703" t="s">
        <v>1368</v>
      </c>
      <c r="F18" s="3704"/>
      <c r="G18" s="3704"/>
      <c r="H18" s="3704"/>
      <c r="I18" s="3704"/>
      <c r="K18" s="1991" t="s">
        <v>458</v>
      </c>
      <c r="L18" s="1991">
        <f>IF(C1="",'数据-汇总表'!E3,SUMIF(项目类型,C1,'数据-汇总表'!E17:E26)+SUMIF(项目类型,C1,'数据-汇总表'!I17:I26))</f>
        <v>0</v>
      </c>
      <c r="M18" s="1991">
        <f>IF(C1="",'数据-汇总表'!E3,SUMIF(项目类型,C1,'数据-汇总表'!E17:E26))</f>
        <v>0</v>
      </c>
    </row>
    <row r="19" spans="1:36" ht="15">
      <c r="A19" s="2383" t="s">
        <v>1369</v>
      </c>
      <c r="B19" s="2384" t="s">
        <v>1370</v>
      </c>
      <c r="C19" s="2385" t="e">
        <f ca="1">SUMIF(INDIRECT("'"&amp;C4&amp;"'"&amp;"!A:A"),'结果表-车库'!B19,INDIRECT("'"&amp;C4&amp;"'"&amp;"!B:B"))</f>
        <v>#N/A</v>
      </c>
      <c r="D19" s="1432" t="e">
        <f ca="1">SUMIF(INDIRECT("'"&amp;D4&amp;"'"&amp;"!A:A"),'结果表-车库'!B19,INDIRECT("'"&amp;D4&amp;"'"&amp;"!B:B"))</f>
        <v>#N/A</v>
      </c>
      <c r="E19" s="2383" t="s">
        <v>1371</v>
      </c>
      <c r="F19" s="2384" t="s">
        <v>1370</v>
      </c>
      <c r="G19" s="2386" t="e">
        <f ca="1">ROUND(C19*$C$18+D19*$D$18,0)</f>
        <v>#N/A</v>
      </c>
      <c r="H19" s="2387" t="s">
        <v>1372</v>
      </c>
      <c r="I19" s="992"/>
      <c r="K19" s="1991" t="s">
        <v>462</v>
      </c>
      <c r="L19" s="1991">
        <f>IF(C1="",'数据-汇总表'!D3,SUMIF(项目类型,C1,'数据-汇总表'!D17:D26)+SUMIF(项目类型,C1,'数据-汇总表'!H17:H27))</f>
        <v>0</v>
      </c>
      <c r="M19" s="1991">
        <f>IF(C1="",'数据-汇总表'!D3,SUMIF(项目类型,C1,'数据-汇总表'!D17:D26))</f>
        <v>0</v>
      </c>
    </row>
    <row r="20" spans="1:36" ht="15">
      <c r="A20" s="2388"/>
      <c r="B20" s="2389" t="s">
        <v>1373</v>
      </c>
      <c r="C20" s="1725" t="e">
        <f ca="1">SUMIF(INDIRECT("'"&amp;C4&amp;"'"&amp;"!A:A"),'结果表-车库'!B20,INDIRECT("'"&amp;C4&amp;"'"&amp;"!B:B"))</f>
        <v>#N/A</v>
      </c>
      <c r="D20" s="1728">
        <f ca="1">SUMIF(INDIRECT("'"&amp;D4&amp;"'"&amp;"!A:A"),'结果表-车库'!B20,INDIRECT("'"&amp;D4&amp;"'"&amp;"!B:B"))</f>
        <v>0</v>
      </c>
      <c r="E20" s="2388"/>
      <c r="F20" s="2389" t="s">
        <v>1373</v>
      </c>
      <c r="G20" s="2390" t="e">
        <f ca="1">ROUND(C20*$C$18+D20*$D$18,0)</f>
        <v>#N/A</v>
      </c>
      <c r="H20" s="2147" t="s">
        <v>1374</v>
      </c>
      <c r="I20" s="992"/>
    </row>
    <row r="21" spans="1:36" ht="15" customHeight="1" thickBot="1">
      <c r="A21" s="2326"/>
      <c r="B21" s="2391" t="s">
        <v>1375</v>
      </c>
      <c r="C21" s="2392" t="e">
        <f ca="1">ROUND(C19*10000/L19,0)</f>
        <v>#N/A</v>
      </c>
      <c r="D21" s="2393" t="e">
        <f ca="1">ROUND(D19*10000/L19,0)</f>
        <v>#N/A</v>
      </c>
      <c r="E21" s="2326"/>
      <c r="F21" s="2391" t="s">
        <v>1375</v>
      </c>
      <c r="G21" s="2394" t="e">
        <f ca="1">ROUND(G19*10000/L19,0)</f>
        <v>#N/A</v>
      </c>
      <c r="H21" s="2395" t="s">
        <v>1374</v>
      </c>
      <c r="I21" s="992"/>
    </row>
    <row r="22" spans="1:36" ht="15" thickBot="1">
      <c r="A22" s="2396" t="s">
        <v>1376</v>
      </c>
      <c r="B22" s="2397"/>
      <c r="C22" s="2398"/>
      <c r="D22" s="2399" t="e">
        <f ca="1">IF(C19&lt;D19,D19/C19-1,C19/D19-1)</f>
        <v>#N/A</v>
      </c>
      <c r="E22" s="992"/>
      <c r="F22" s="992"/>
      <c r="G22" s="992"/>
      <c r="H22" s="992"/>
      <c r="I22" s="992"/>
    </row>
    <row r="23" spans="1:36" ht="13.5" thickBot="1">
      <c r="A23" s="2364"/>
      <c r="B23" s="2364"/>
      <c r="C23" s="2364"/>
      <c r="D23" s="2364"/>
      <c r="E23" s="992"/>
      <c r="F23" s="992"/>
      <c r="G23" s="992"/>
      <c r="H23" s="992"/>
      <c r="I23" s="992"/>
    </row>
    <row r="24" spans="1:36" ht="14.25">
      <c r="A24" s="3705" t="s">
        <v>1377</v>
      </c>
      <c r="B24" s="2384" t="s">
        <v>1370</v>
      </c>
      <c r="C24" s="2386">
        <f>IF(B30=0,0,D30)</f>
        <v>0</v>
      </c>
      <c r="D24" s="2400"/>
      <c r="E24" s="992"/>
      <c r="F24" s="992"/>
      <c r="G24" s="992"/>
      <c r="H24" s="992"/>
      <c r="I24" s="992"/>
    </row>
    <row r="25" spans="1:36" ht="14.25">
      <c r="A25" s="3706"/>
      <c r="B25" s="2389" t="s">
        <v>1373</v>
      </c>
      <c r="C25" s="2401">
        <f>IF(B30=0,0,C30)</f>
        <v>0</v>
      </c>
      <c r="D25" s="2402"/>
      <c r="E25" s="992"/>
      <c r="F25" s="992"/>
      <c r="G25" s="992"/>
      <c r="H25" s="992"/>
      <c r="I25" s="992"/>
    </row>
    <row r="26" spans="1:36" ht="13.5" customHeight="1">
      <c r="A26" s="2403" t="s">
        <v>1378</v>
      </c>
      <c r="B26" s="2404" t="s">
        <v>1379</v>
      </c>
      <c r="C26" s="2404" t="s">
        <v>1380</v>
      </c>
      <c r="D26" s="2405" t="s">
        <v>1381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5" thickBot="1">
      <c r="A30" s="2404" t="s">
        <v>1382</v>
      </c>
      <c r="B30" s="2404"/>
      <c r="C30" s="2404"/>
      <c r="D30" s="2404"/>
      <c r="E30" s="2406" t="s">
        <v>1383</v>
      </c>
      <c r="F30" s="992"/>
      <c r="G30" s="992"/>
      <c r="H30" s="992"/>
      <c r="I30" s="992"/>
    </row>
    <row r="31" spans="1:36" s="2358" customFormat="1" ht="26.45" customHeight="1" thickTop="1" thickBot="1">
      <c r="A31" s="2407"/>
      <c r="B31" s="2408"/>
      <c r="C31" s="2408"/>
      <c r="D31" s="2408"/>
      <c r="E31" s="2408"/>
      <c r="F31" s="2408"/>
      <c r="G31" s="2408"/>
      <c r="H31" s="2408"/>
      <c r="I31" s="2502" t="s">
        <v>1384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6.5" thickTop="1" thickBot="1">
      <c r="A32" s="2409" t="s">
        <v>1385</v>
      </c>
      <c r="B32" s="2410"/>
      <c r="C32" s="2411" t="e">
        <f ca="1">IF(D32="总价",G19-C24,G20-C25)</f>
        <v>#N/A</v>
      </c>
      <c r="D32" s="2412" t="s">
        <v>1386</v>
      </c>
      <c r="E32" s="992"/>
      <c r="F32" s="992"/>
      <c r="G32" s="992"/>
      <c r="H32" s="992"/>
      <c r="I32" s="992"/>
    </row>
    <row r="33" spans="1:15" ht="15">
      <c r="A33" s="2267" t="s">
        <v>1387</v>
      </c>
      <c r="B33" s="2413"/>
      <c r="C33" s="2414" t="s">
        <v>1388</v>
      </c>
      <c r="D33" s="2415" t="s">
        <v>1345</v>
      </c>
      <c r="E33" s="2416" t="s">
        <v>1389</v>
      </c>
      <c r="F33" s="2417" t="str">
        <f>IF(D32="楼面单价","取值（单价）","取值（总价）")</f>
        <v>取值（总价）</v>
      </c>
      <c r="G33" s="992"/>
      <c r="H33" s="992"/>
      <c r="I33" s="992"/>
    </row>
    <row r="34" spans="1:15" ht="15">
      <c r="A34" s="2418"/>
      <c r="B34" s="2419" t="s">
        <v>1390</v>
      </c>
      <c r="C34" s="2420" t="e">
        <f ca="1">IF(C33="自定义",F34,C32-C35)</f>
        <v>#N/A</v>
      </c>
      <c r="D34" s="2421" t="e">
        <f ca="1">IF(C33="自定义",ROUND(C34/C32,3),IF(C33="收益比率",SUMIF(INDIRECT("'"&amp;D33&amp;"'"&amp;"!b:b"),"土地收益比率",INDIRECT("'"&amp;D33&amp;"'"&amp;"!c:c")),SUMIF(INDIRECT("'"&amp;D33&amp;"'"&amp;"!b:b"),"土地成本比率",INDIRECT("'"&amp;D33&amp;"'"&amp;"!c:c"))))</f>
        <v>#N/A</v>
      </c>
      <c r="E34" s="2422" t="s">
        <v>1391</v>
      </c>
      <c r="F34" s="2423"/>
      <c r="G34" s="992"/>
      <c r="H34" s="992"/>
      <c r="I34" s="992"/>
    </row>
    <row r="35" spans="1:15" ht="15.75" thickBot="1">
      <c r="A35" s="2424"/>
      <c r="B35" s="2425" t="s">
        <v>1392</v>
      </c>
      <c r="C35" s="2426" t="e">
        <f ca="1">IF(C33="自定义",F35,ROUND(C32*D35,0))</f>
        <v>#N/A</v>
      </c>
      <c r="D35" s="2427" t="e">
        <f ca="1">IF(C33="自定义",ROUND(C35/C32,3),IF(C33="收益比率",SUMIF(INDIRECT("'"&amp;D33&amp;"'"&amp;"!b:b"),"建筑物收益比率",INDIRECT("'"&amp;D33&amp;"'"&amp;"!c:c")),SUMIF(INDIRECT("'"&amp;D33&amp;"'"&amp;"!b:b"),"建筑物成本比率",INDIRECT("'"&amp;D33&amp;"'"&amp;"!c:c"))))</f>
        <v>#N/A</v>
      </c>
      <c r="E35" s="2428" t="s">
        <v>1393</v>
      </c>
      <c r="F35" s="2429"/>
      <c r="G35" s="992"/>
      <c r="H35" s="992"/>
      <c r="I35" s="992"/>
    </row>
    <row r="36" spans="1:15" ht="15.75" thickBot="1">
      <c r="A36" s="3707" t="s">
        <v>1394</v>
      </c>
      <c r="B36" s="2430" t="s">
        <v>1395</v>
      </c>
      <c r="C36" s="2431"/>
      <c r="D36" s="2432"/>
      <c r="E36" s="2433"/>
      <c r="F36" s="2434"/>
      <c r="G36" s="992"/>
      <c r="H36" s="992"/>
      <c r="I36" s="992"/>
    </row>
    <row r="37" spans="1:15" ht="15.75" thickBot="1">
      <c r="A37" s="3708"/>
      <c r="B37" s="2435" t="s">
        <v>1396</v>
      </c>
      <c r="C37" s="2436"/>
      <c r="D37" s="2437"/>
      <c r="E37" s="2437"/>
      <c r="F37" s="2434"/>
      <c r="G37" s="992"/>
      <c r="H37" s="992"/>
      <c r="I37" s="992"/>
    </row>
    <row r="38" spans="1:15" ht="15.75" thickBot="1">
      <c r="A38" s="3709"/>
      <c r="B38" s="2438" t="s">
        <v>1397</v>
      </c>
      <c r="C38" s="2439"/>
      <c r="D38" s="2440" t="s">
        <v>1398</v>
      </c>
      <c r="E38" s="2437"/>
      <c r="F38" s="2434"/>
      <c r="G38" s="992"/>
      <c r="H38" s="992"/>
      <c r="I38" s="992"/>
    </row>
    <row r="39" spans="1:15" ht="15">
      <c r="A39" s="2388" t="s">
        <v>1399</v>
      </c>
      <c r="B39" s="2441" t="s">
        <v>1379</v>
      </c>
      <c r="C39" s="2442" t="s">
        <v>1380</v>
      </c>
      <c r="D39" s="2442" t="s">
        <v>1400</v>
      </c>
      <c r="E39" s="2443" t="s">
        <v>1381</v>
      </c>
      <c r="F39" s="2434"/>
      <c r="G39" s="992"/>
      <c r="H39" s="992"/>
      <c r="I39" s="992"/>
    </row>
    <row r="40" spans="1:15" ht="14.25">
      <c r="A40" s="2444" t="s">
        <v>1401</v>
      </c>
      <c r="B40" s="2445"/>
      <c r="C40" s="1010"/>
      <c r="D40" s="1010"/>
      <c r="E40" s="2446"/>
      <c r="F40" s="2434"/>
      <c r="G40" s="992"/>
      <c r="H40" s="992"/>
      <c r="I40" s="992"/>
    </row>
    <row r="41" spans="1:15" ht="14.25">
      <c r="A41" s="2444" t="s">
        <v>1402</v>
      </c>
      <c r="B41" s="2445"/>
      <c r="C41" s="1010"/>
      <c r="D41" s="1010"/>
      <c r="E41" s="2446"/>
      <c r="F41" s="2434"/>
      <c r="G41" s="992"/>
      <c r="H41" s="992"/>
      <c r="I41" s="992"/>
    </row>
    <row r="42" spans="1:15" ht="15" thickBot="1">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1403</v>
      </c>
      <c r="B44" s="2453"/>
      <c r="C44" s="2453"/>
      <c r="D44" s="2454"/>
      <c r="E44" s="2454"/>
      <c r="F44" s="2455"/>
      <c r="G44" s="2455"/>
      <c r="H44" s="2455"/>
      <c r="I44" s="2455"/>
      <c r="J44" s="2506" t="s">
        <v>1404</v>
      </c>
      <c r="K44" s="2507"/>
      <c r="L44" s="2507"/>
      <c r="M44" s="2507"/>
      <c r="N44" s="2507"/>
      <c r="O44" s="2507"/>
    </row>
    <row r="45" spans="1:15" ht="14.25" customHeight="1" thickBot="1">
      <c r="A45" s="3710" t="s">
        <v>1405</v>
      </c>
      <c r="B45" s="3711"/>
      <c r="C45" s="3712"/>
      <c r="D45" s="1990" t="e">
        <f ca="1">ROUND(H101*F45,0)</f>
        <v>#N/A</v>
      </c>
      <c r="E45" s="2456" t="s">
        <v>1406</v>
      </c>
      <c r="F45" s="2457">
        <v>0.56000000000000005</v>
      </c>
      <c r="G45" s="2458" t="s">
        <v>1407</v>
      </c>
      <c r="H45" s="992"/>
      <c r="I45" s="992"/>
      <c r="J45" s="3713" t="s">
        <v>1408</v>
      </c>
      <c r="K45" s="3713"/>
      <c r="L45" s="3713"/>
      <c r="M45" s="3713"/>
      <c r="N45" s="3713"/>
      <c r="O45" s="3713"/>
    </row>
    <row r="46" spans="1:15" ht="14.25" customHeight="1">
      <c r="A46" s="3714" t="s">
        <v>1409</v>
      </c>
      <c r="B46" s="3715"/>
      <c r="C46" s="3715"/>
      <c r="D46" s="3715"/>
      <c r="E46" s="3715"/>
      <c r="F46" s="3715"/>
      <c r="G46" s="3716"/>
      <c r="H46" s="2459"/>
      <c r="I46" s="993"/>
      <c r="J46" s="3554">
        <v>1</v>
      </c>
      <c r="K46" s="3717" t="s">
        <v>1410</v>
      </c>
      <c r="L46" s="3717"/>
      <c r="M46" s="3718"/>
      <c r="N46" s="3718"/>
      <c r="O46" s="3718"/>
    </row>
    <row r="47" spans="1:15" ht="12" customHeight="1">
      <c r="A47" s="2460" t="s">
        <v>1411</v>
      </c>
      <c r="B47" s="2461"/>
      <c r="C47" s="2462"/>
      <c r="D47" s="2041" t="s">
        <v>1412</v>
      </c>
      <c r="E47" s="1991" t="s">
        <v>1413</v>
      </c>
      <c r="F47" s="2463" t="s">
        <v>1414</v>
      </c>
      <c r="G47" s="2464" t="s">
        <v>1415</v>
      </c>
      <c r="H47" s="2465"/>
      <c r="I47" s="993"/>
      <c r="J47" s="3554">
        <v>2</v>
      </c>
      <c r="K47" s="3717" t="s">
        <v>1416</v>
      </c>
      <c r="L47" s="3717"/>
      <c r="M47" s="3723">
        <f>'数据-取费表'!B2</f>
        <v>45300</v>
      </c>
      <c r="N47" s="3723"/>
      <c r="O47" s="3723"/>
    </row>
    <row r="48" spans="1:15" ht="25.5">
      <c r="A48" s="3724" t="s">
        <v>1417</v>
      </c>
      <c r="B48" s="3725"/>
      <c r="C48" s="3725"/>
      <c r="D48" s="3557" t="e">
        <f ca="1">IF(H48="情况1",0,IF(H48="情况2",D52,IF(H48="情况3",D53,IF(H48="情况4",D54))))</f>
        <v>#N/A</v>
      </c>
      <c r="E48" s="3551" t="str">
        <f>IF(H48="情况4","(销售额-原购置价)×税（费）率","销售额×税（费）率")</f>
        <v>(销售额-原购置价)×税（费）率</v>
      </c>
      <c r="F48" s="2467">
        <f>IF(H48="情况1","免征",'数据-取费表'!B41)</f>
        <v>5.6000000000000001E-2</v>
      </c>
      <c r="G48" s="2468" t="s">
        <v>1418</v>
      </c>
      <c r="H48" s="2469" t="s">
        <v>1419</v>
      </c>
      <c r="I48" s="2459"/>
      <c r="J48" s="3554">
        <v>3</v>
      </c>
      <c r="K48" s="3717" t="s">
        <v>1420</v>
      </c>
      <c r="L48" s="3717"/>
      <c r="M48" s="3726" t="e">
        <f ca="1">H101</f>
        <v>#N/A</v>
      </c>
      <c r="N48" s="3726"/>
      <c r="O48" s="3726"/>
    </row>
    <row r="49" spans="1:35" ht="25.5" customHeight="1">
      <c r="A49" s="3550" t="s">
        <v>1421</v>
      </c>
      <c r="B49" s="3719" t="s">
        <v>1422</v>
      </c>
      <c r="C49" s="3719"/>
      <c r="D49" s="2470">
        <v>0</v>
      </c>
      <c r="E49" s="2051" t="s">
        <v>1423</v>
      </c>
      <c r="F49" s="3547" t="s">
        <v>124</v>
      </c>
      <c r="G49" s="3727"/>
      <c r="H49" s="2472" t="s">
        <v>1424</v>
      </c>
      <c r="I49" s="2509"/>
      <c r="J49" s="3554">
        <v>4</v>
      </c>
      <c r="K49" s="3717" t="str">
        <f>IF(项目基本情况!E8="房地产抵押价值","房地产抵押价值","抵押担保权已注销时的房地产抵押价值")</f>
        <v>房地产抵押价值</v>
      </c>
      <c r="L49" s="3717"/>
      <c r="M49" s="3726" t="e">
        <f ca="1">IF(项目基本情况!E8="房地产抵押价值",H107,H109)</f>
        <v>#N/A</v>
      </c>
      <c r="N49" s="3726"/>
      <c r="O49" s="3726"/>
    </row>
    <row r="50" spans="1:35" ht="25.5" customHeight="1">
      <c r="A50" s="2473"/>
      <c r="B50" s="3719" t="s">
        <v>1425</v>
      </c>
      <c r="C50" s="3719"/>
      <c r="D50" s="2474"/>
      <c r="E50" s="2066"/>
      <c r="F50" s="3547"/>
      <c r="G50" s="3728"/>
      <c r="H50" s="2475" t="s">
        <v>1426</v>
      </c>
      <c r="I50" s="2509"/>
      <c r="J50" s="3713" t="s">
        <v>1427</v>
      </c>
      <c r="K50" s="3713"/>
      <c r="L50" s="3713"/>
      <c r="M50" s="3713"/>
      <c r="N50" s="3713"/>
      <c r="O50" s="3713"/>
    </row>
    <row r="51" spans="1:35" ht="20.45" customHeight="1">
      <c r="A51" s="2476"/>
      <c r="B51" s="3719" t="s">
        <v>1428</v>
      </c>
      <c r="C51" s="3719"/>
      <c r="D51" s="2041"/>
      <c r="E51" s="2055"/>
      <c r="F51" s="3547"/>
      <c r="G51" s="3729"/>
      <c r="H51" s="2475" t="s">
        <v>1429</v>
      </c>
      <c r="I51" s="2509"/>
      <c r="J51" s="3549" t="s">
        <v>1430</v>
      </c>
      <c r="K51" s="3717" t="s">
        <v>1431</v>
      </c>
      <c r="L51" s="3717"/>
      <c r="M51" s="3549" t="s">
        <v>1432</v>
      </c>
      <c r="N51" s="3549" t="s">
        <v>1433</v>
      </c>
      <c r="O51" s="3549" t="s">
        <v>1434</v>
      </c>
    </row>
    <row r="52" spans="1:35" ht="24" customHeight="1">
      <c r="A52" s="3556" t="s">
        <v>1435</v>
      </c>
      <c r="B52" s="3719" t="s">
        <v>1436</v>
      </c>
      <c r="C52" s="3719"/>
      <c r="D52" s="2041" t="e">
        <f ca="1">ROUND(D45*'数据-取费表'!B41/(1+'数据-取费表'!C42),0)</f>
        <v>#N/A</v>
      </c>
      <c r="E52" s="3551" t="s">
        <v>1437</v>
      </c>
      <c r="F52" s="2478">
        <f>'数据-取费表'!B41</f>
        <v>5.6000000000000001E-2</v>
      </c>
      <c r="G52" s="2479"/>
      <c r="H52" s="2160"/>
      <c r="I52" s="2510"/>
      <c r="J52" s="3554">
        <v>1</v>
      </c>
      <c r="K52" s="3720" t="s">
        <v>1438</v>
      </c>
      <c r="L52" s="3720"/>
      <c r="M52" s="2511" t="e">
        <f ca="1">D48</f>
        <v>#N/A</v>
      </c>
      <c r="N52" s="3554" t="str">
        <f>E48</f>
        <v>(销售额-原购置价)×税（费）率</v>
      </c>
      <c r="O52" s="2512">
        <f>F48</f>
        <v>5.6000000000000001E-2</v>
      </c>
    </row>
    <row r="53" spans="1:35" ht="12" customHeight="1">
      <c r="A53" s="3556" t="s">
        <v>1439</v>
      </c>
      <c r="B53" s="3721" t="s">
        <v>1440</v>
      </c>
      <c r="C53" s="3722"/>
      <c r="D53" s="2041" t="e">
        <f ca="1">ROUND(D45*'数据-取费表'!B41/(1+'数据-取费表'!C42),0)</f>
        <v>#N/A</v>
      </c>
      <c r="E53" s="3551" t="s">
        <v>1437</v>
      </c>
      <c r="F53" s="2478">
        <f>'数据-取费表'!B41</f>
        <v>5.6000000000000001E-2</v>
      </c>
      <c r="G53" s="2479"/>
      <c r="H53" s="2160"/>
      <c r="I53" s="2510"/>
      <c r="J53" s="3554">
        <v>2</v>
      </c>
      <c r="K53" s="3720" t="s">
        <v>1441</v>
      </c>
      <c r="L53" s="3720"/>
      <c r="M53" s="2511" t="e">
        <f t="shared" ref="M53:O54" ca="1" si="0">D55</f>
        <v>#N/A</v>
      </c>
      <c r="N53" s="3554" t="str">
        <f t="shared" si="0"/>
        <v>销售额×税（费）率</v>
      </c>
      <c r="O53" s="2512">
        <f t="shared" si="0"/>
        <v>5.0000000000000001E-4</v>
      </c>
    </row>
    <row r="54" spans="1:35" ht="12" customHeight="1">
      <c r="A54" s="3556" t="s">
        <v>1442</v>
      </c>
      <c r="B54" s="3721" t="s">
        <v>1443</v>
      </c>
      <c r="C54" s="3722"/>
      <c r="D54" s="2041" t="e">
        <f ca="1">C68</f>
        <v>#N/A</v>
      </c>
      <c r="E54" s="2055" t="s">
        <v>1444</v>
      </c>
      <c r="F54" s="2478">
        <f>'数据-取费表'!B41</f>
        <v>5.6000000000000001E-2</v>
      </c>
      <c r="G54" s="2479"/>
      <c r="H54" s="2480"/>
      <c r="I54" s="2510"/>
      <c r="J54" s="3554">
        <v>3</v>
      </c>
      <c r="K54" s="3720" t="s">
        <v>1445</v>
      </c>
      <c r="L54" s="3720"/>
      <c r="M54" s="2511" t="e">
        <f t="shared" ca="1" si="0"/>
        <v>#N/A</v>
      </c>
      <c r="N54" s="3554" t="str">
        <f t="shared" si="0"/>
        <v>增值额×税（费）率</v>
      </c>
      <c r="O54" s="2513" t="str">
        <f t="shared" si="0"/>
        <v>——</v>
      </c>
    </row>
    <row r="55" spans="1:35" ht="24" customHeight="1">
      <c r="A55" s="3736" t="s">
        <v>1446</v>
      </c>
      <c r="B55" s="3725"/>
      <c r="C55" s="3725"/>
      <c r="D55" s="3557" t="e">
        <f ca="1">IF(H55="个人住宅",0,ROUND(D45*I55,0))</f>
        <v>#N/A</v>
      </c>
      <c r="E55" s="3551" t="s">
        <v>1447</v>
      </c>
      <c r="F55" s="2478">
        <f>IF(H55="正常",I55,"免征")</f>
        <v>5.0000000000000001E-4</v>
      </c>
      <c r="G55" s="2479"/>
      <c r="H55" s="2469" t="s">
        <v>1448</v>
      </c>
      <c r="I55" s="2514">
        <f>'数据-取费表'!B49</f>
        <v>5.0000000000000001E-4</v>
      </c>
      <c r="J55" s="3554" t="str">
        <f>IF(H59="非个人房产","",4)</f>
        <v/>
      </c>
      <c r="K55" s="3720" t="str">
        <f>IF(H59="非个人房产","——","个人所得税")</f>
        <v>——</v>
      </c>
      <c r="L55" s="3720"/>
      <c r="M55" s="2515" t="str">
        <f>D59</f>
        <v>——</v>
      </c>
      <c r="N55" s="3559" t="str">
        <f>E59</f>
        <v>——</v>
      </c>
      <c r="O55" s="2516" t="str">
        <f>F59</f>
        <v>——</v>
      </c>
    </row>
    <row r="56" spans="1:35" ht="24.75">
      <c r="A56" s="3736" t="s">
        <v>1449</v>
      </c>
      <c r="B56" s="3725"/>
      <c r="C56" s="3725"/>
      <c r="D56" s="3557" t="e">
        <f ca="1">IF(H56="个人住宅",D57,D58)</f>
        <v>#N/A</v>
      </c>
      <c r="E56" s="3551" t="s">
        <v>1450</v>
      </c>
      <c r="F56" s="2478" t="str">
        <f>IF(H56="正常",F58,"免征")</f>
        <v>——</v>
      </c>
      <c r="G56" s="2481" t="s">
        <v>1451</v>
      </c>
      <c r="H56" s="2482" t="s">
        <v>1448</v>
      </c>
      <c r="I56" s="2491"/>
      <c r="J56" s="3554" t="str">
        <f>IF(项目基本情况!K6="上海银行",IF(J55="",4,J55+1),"")</f>
        <v/>
      </c>
      <c r="K56" s="3730" t="str">
        <f>IF(项目基本情况!K6="上海银行","其他处置费用","")</f>
        <v/>
      </c>
      <c r="L56" s="3737"/>
      <c r="M56" s="2511" t="str">
        <f>IF(项目基本情况!K6="上海银行",M69,"")</f>
        <v/>
      </c>
      <c r="N56" s="3730" t="str">
        <f>IF(项目基本情况!K6="上海银行","包含处置中涉及的律师、诉讼、拍卖、评估等费用","")</f>
        <v/>
      </c>
      <c r="O56" s="3731"/>
    </row>
    <row r="57" spans="1:35" ht="12.75">
      <c r="A57" s="3556" t="s">
        <v>1421</v>
      </c>
      <c r="B57" s="3721" t="s">
        <v>1452</v>
      </c>
      <c r="C57" s="3722"/>
      <c r="D57" s="2470">
        <v>0</v>
      </c>
      <c r="E57" s="2051" t="s">
        <v>1423</v>
      </c>
      <c r="F57" s="1991"/>
      <c r="G57" s="2479"/>
      <c r="H57" s="2483"/>
      <c r="I57" s="2491"/>
      <c r="J57" s="3720">
        <f>IF(AND(J55="",J56=""),4,IF(项目基本情况!K6="上海银行",'结果表-车库'!J56+1,'结果表-车库'!J55+1))</f>
        <v>4</v>
      </c>
      <c r="K57" s="3720" t="s">
        <v>1453</v>
      </c>
      <c r="L57" s="2517" t="s">
        <v>1454</v>
      </c>
      <c r="M57" s="2518"/>
      <c r="N57" s="2519">
        <f ca="1">SUMIF(M52:M56,"&lt;9e307")</f>
        <v>0</v>
      </c>
      <c r="O57" s="2520"/>
      <c r="P57" s="2521" t="e">
        <f ca="1">N57/M49</f>
        <v>#N/A</v>
      </c>
    </row>
    <row r="58" spans="1:35" ht="24.75">
      <c r="A58" s="3556" t="s">
        <v>1435</v>
      </c>
      <c r="B58" s="3721" t="s">
        <v>1455</v>
      </c>
      <c r="C58" s="3719"/>
      <c r="D58" s="3557" t="e">
        <f ca="1">IF(H58="转让取得",C81,C97)</f>
        <v>#N/A</v>
      </c>
      <c r="E58" s="3551" t="s">
        <v>1450</v>
      </c>
      <c r="F58" s="1991" t="s">
        <v>124</v>
      </c>
      <c r="G58" s="2479"/>
      <c r="H58" s="2482" t="s">
        <v>1456</v>
      </c>
      <c r="I58" s="2491"/>
      <c r="J58" s="3720"/>
      <c r="K58" s="3720"/>
      <c r="L58" s="2517" t="s">
        <v>1457</v>
      </c>
      <c r="M58" s="2522"/>
      <c r="N58" s="2523" t="str">
        <f ca="1">NUMBERSTRING(INT(N57*10000),2)&amp;"元整"</f>
        <v>零元整</v>
      </c>
      <c r="O58" s="2524"/>
    </row>
    <row r="59" spans="1:35" ht="24.75" thickBot="1">
      <c r="A59" s="3732" t="s">
        <v>1458</v>
      </c>
      <c r="B59" s="3733"/>
      <c r="C59" s="3733"/>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1451</v>
      </c>
      <c r="H59" s="2488" t="s">
        <v>1459</v>
      </c>
      <c r="I59" s="2525" t="s">
        <v>1460</v>
      </c>
      <c r="J59" s="3734">
        <f>J57+1</f>
        <v>5</v>
      </c>
      <c r="K59" s="3720" t="s">
        <v>1461</v>
      </c>
      <c r="L59" s="3554" t="s">
        <v>1454</v>
      </c>
      <c r="M59" s="2526"/>
      <c r="N59" s="2527" t="e">
        <f ca="1">M49-N57</f>
        <v>#N/A</v>
      </c>
      <c r="O59" s="2528"/>
    </row>
    <row r="60" spans="1:35" ht="12" customHeight="1">
      <c r="A60" s="2489"/>
      <c r="B60" s="2364"/>
      <c r="C60" s="2364"/>
      <c r="D60" s="2364"/>
      <c r="E60" s="2490"/>
      <c r="F60" s="2491"/>
      <c r="G60" s="2491"/>
      <c r="H60" s="2492"/>
      <c r="I60" s="992"/>
      <c r="J60" s="3735"/>
      <c r="K60" s="3720"/>
      <c r="L60" s="2517" t="s">
        <v>1457</v>
      </c>
      <c r="M60" s="2522"/>
      <c r="N60" s="2523" t="e">
        <f ca="1">NUMBERSTRING(INT(N59*10000),2)&amp;"元整"</f>
        <v>#N/A</v>
      </c>
      <c r="O60" s="2524"/>
    </row>
    <row r="61" spans="1:35" ht="13.5" thickBot="1">
      <c r="A61" s="3748" t="s">
        <v>1462</v>
      </c>
      <c r="B61" s="3748"/>
      <c r="C61" s="3748"/>
      <c r="D61" s="3748"/>
      <c r="E61" s="3748"/>
      <c r="F61" s="2491"/>
      <c r="G61" s="2491"/>
      <c r="H61" s="2492"/>
      <c r="I61" s="992"/>
      <c r="J61" s="3554">
        <f>J59+1</f>
        <v>6</v>
      </c>
      <c r="K61" s="3720" t="s">
        <v>1463</v>
      </c>
      <c r="L61" s="3720"/>
      <c r="M61" s="2529"/>
      <c r="N61" s="2530" t="e">
        <f ca="1">ROUND(N59*10000/'数据-汇总表'!E3,0)</f>
        <v>#N/A</v>
      </c>
      <c r="O61" s="2531"/>
    </row>
    <row r="62" spans="1:35" ht="12.75">
      <c r="A62" s="3744" t="s">
        <v>1464</v>
      </c>
      <c r="B62" s="3745"/>
      <c r="C62" s="3558"/>
      <c r="D62" s="3558" t="s">
        <v>1465</v>
      </c>
      <c r="E62" s="2493" t="s">
        <v>1415</v>
      </c>
      <c r="F62" s="2491"/>
      <c r="G62" s="2491"/>
      <c r="H62" s="2492"/>
      <c r="I62" s="992"/>
    </row>
    <row r="63" spans="1:35" ht="12.75">
      <c r="A63" s="2494" t="s">
        <v>1466</v>
      </c>
      <c r="B63" s="628" t="s">
        <v>1467</v>
      </c>
      <c r="C63" s="2495" t="e">
        <f ca="1">ROUND((C64+C65)/(1+'数据-取费表'!C42),0)</f>
        <v>#N/A</v>
      </c>
      <c r="D63" s="628"/>
      <c r="E63" s="2496"/>
      <c r="F63" s="2491"/>
      <c r="G63" s="2491"/>
      <c r="H63" s="2492"/>
      <c r="I63" s="992"/>
      <c r="J63" s="3749" t="s">
        <v>1468</v>
      </c>
      <c r="K63" s="3553" t="s">
        <v>1469</v>
      </c>
      <c r="L63" s="3553" t="e">
        <f ca="1">IF(M49&gt;10000,M49*0.5%,IF(AND(M49&gt;1000,M49&lt;=10000),M49*1%,IF(AND(M49&gt;100,M49&lt;=1000),M49*3%,IF(AND(M49&gt;10,M49&lt;=100),M49*5%,M49*8%))))</f>
        <v>#N/A</v>
      </c>
      <c r="M63" s="1991" t="e">
        <f ca="1">ROUND(L63,1)</f>
        <v>#N/A</v>
      </c>
      <c r="N63" s="2533"/>
      <c r="Z63" s="2361"/>
      <c r="AI63" s="2362"/>
    </row>
    <row r="64" spans="1:35" ht="14.25" customHeight="1">
      <c r="A64" s="2497" t="s">
        <v>1470</v>
      </c>
      <c r="B64" s="555" t="s">
        <v>1471</v>
      </c>
      <c r="C64" s="2498" t="e">
        <f ca="1">D45</f>
        <v>#N/A</v>
      </c>
      <c r="D64" s="555" t="s">
        <v>124</v>
      </c>
      <c r="E64" s="2499"/>
      <c r="F64" s="2491"/>
      <c r="G64" s="2491"/>
      <c r="H64" s="2492"/>
      <c r="I64" s="992"/>
      <c r="J64" s="3749"/>
      <c r="K64" s="3553" t="s">
        <v>1472</v>
      </c>
      <c r="L64" s="3553" t="e">
        <f ca="1">IF(M49&gt;2000,M49*0.5%,IF(AND(M49&gt;1000,M49&lt;=2000),M49*0.6%,IF(AND(M49&gt;500,M49&lt;=1000),M49*0.7%,IF(AND(M49&gt;200,M49&lt;=500),M49*0.8%,IF(AND(M49&gt;100,M49&lt;=200),M49*0.9%,IF(AND(M49&gt;50,M49&lt;=100),M49*1%,IF(AND(M49&gt;20,M49&lt;=50),M49*1.5%,IF(AND(M49&gt;10,M49&lt;=20),M49*2%,IF(AND(M49&gt;1,M49&lt;=10),M49*2.5%)))))))))</f>
        <v>#N/A</v>
      </c>
      <c r="M64" s="1991" t="e">
        <f t="shared" ref="M64:M65" ca="1" si="1">ROUND(L64,1)</f>
        <v>#N/A</v>
      </c>
      <c r="N64" s="2160" t="s">
        <v>1473</v>
      </c>
      <c r="Z64" s="2361"/>
      <c r="AI64" s="2362"/>
    </row>
    <row r="65" spans="1:35" ht="14.25" customHeight="1">
      <c r="A65" s="2497" t="s">
        <v>1474</v>
      </c>
      <c r="B65" s="555" t="s">
        <v>1475</v>
      </c>
      <c r="C65" s="2535"/>
      <c r="D65" s="555"/>
      <c r="E65" s="2499"/>
      <c r="F65" s="2491"/>
      <c r="G65" s="2491"/>
      <c r="H65" s="2492"/>
      <c r="I65" s="992"/>
      <c r="J65" s="3749"/>
      <c r="K65" s="3553" t="s">
        <v>1476</v>
      </c>
      <c r="L65" s="3553" t="e">
        <f ca="1">IF(M49&gt;1000,M49*0.1%,IF(AND(M49&gt;500,M49&lt;=1000),M49*0.5%,IF(AND(M49&gt;50,M49&lt;=500),M49*1%,IF(AND(M49&gt;1,M49&lt;=50),M49*1.5%))))</f>
        <v>#N/A</v>
      </c>
      <c r="M65" s="1991" t="e">
        <f t="shared" ca="1" si="1"/>
        <v>#N/A</v>
      </c>
      <c r="N65" s="2160" t="s">
        <v>1473</v>
      </c>
      <c r="Z65" s="2361"/>
      <c r="AI65" s="2362"/>
    </row>
    <row r="66" spans="1:35" ht="14.25" customHeight="1">
      <c r="A66" s="2494" t="s">
        <v>1477</v>
      </c>
      <c r="B66" s="2536" t="s">
        <v>1478</v>
      </c>
      <c r="C66" s="2537"/>
      <c r="D66" s="2536" t="s">
        <v>124</v>
      </c>
      <c r="E66" s="2538" t="s">
        <v>1479</v>
      </c>
      <c r="F66" s="2491"/>
      <c r="G66" s="2491"/>
      <c r="H66" s="2492"/>
      <c r="I66" s="992"/>
      <c r="J66" s="3749"/>
      <c r="K66" s="3553" t="s">
        <v>1480</v>
      </c>
      <c r="L66" s="3553" t="e">
        <f ca="1">M49*0.5%</f>
        <v>#N/A</v>
      </c>
      <c r="M66" s="1991" t="e">
        <f ca="1">IF(L66&gt;0.5,0.5,ROUND(L66,0))</f>
        <v>#N/A</v>
      </c>
      <c r="N66" s="2160" t="s">
        <v>1481</v>
      </c>
      <c r="Z66" s="2361"/>
      <c r="AI66" s="2362"/>
    </row>
    <row r="67" spans="1:35" ht="14.25" customHeight="1">
      <c r="A67" s="2494" t="s">
        <v>1482</v>
      </c>
      <c r="B67" s="2536" t="s">
        <v>1483</v>
      </c>
      <c r="C67" s="2539" t="e">
        <f ca="1">C63-C66</f>
        <v>#N/A</v>
      </c>
      <c r="D67" s="555" t="s">
        <v>124</v>
      </c>
      <c r="E67" s="2499"/>
      <c r="F67" s="2491"/>
      <c r="G67" s="2491"/>
      <c r="H67" s="2492"/>
      <c r="I67" s="992"/>
      <c r="J67" s="3749"/>
      <c r="K67" s="3553" t="s">
        <v>1484</v>
      </c>
      <c r="L67" s="3553" t="e">
        <f ca="1">IF(M49&gt;=10000,(8.25+(M49-10000)*0.01%),IF(AND(M49&gt;=8000,M49&lt;10000),(7.85+(M49-8000)*0.02%),IF(AND(M49&gt;=5000,M49&lt;8000),(6.65+(M49-5000)*0.04%),IF(AND(M49&gt;=2000,M49&lt;5000),(4.25+(PM49-2000)*0.08%),IF(AND(M49&gt;=1000,M49&lt;2000),(2.75+(M49-1000)*0.15%),IF(AND(M49&gt;=100,M49&lt;1000),(0.5+(M49-100)*0.25%),IF(AND(M49&gt;0,M49&lt;100),M49*0.5%)))))))</f>
        <v>#N/A</v>
      </c>
      <c r="M67" s="1991" t="e">
        <f ca="1">ROUND(L67*0.9,1)</f>
        <v>#N/A</v>
      </c>
      <c r="N67" s="2533"/>
      <c r="Z67" s="2361"/>
      <c r="AI67" s="2362"/>
    </row>
    <row r="68" spans="1:35" ht="14.25" customHeight="1" thickBot="1">
      <c r="A68" s="2540" t="s">
        <v>1485</v>
      </c>
      <c r="B68" s="2541" t="s">
        <v>1486</v>
      </c>
      <c r="C68" s="2542" t="e">
        <f ca="1">IF(C67&lt;=0,0,ROUND(C67*D68,0))</f>
        <v>#N/A</v>
      </c>
      <c r="D68" s="822">
        <f>'数据-取费表'!B41</f>
        <v>5.6000000000000001E-2</v>
      </c>
      <c r="E68" s="2543"/>
      <c r="F68" s="2491"/>
      <c r="G68" s="2491"/>
      <c r="H68" s="2492"/>
      <c r="I68" s="992"/>
      <c r="J68" s="3749"/>
      <c r="K68" s="3553" t="s">
        <v>1487</v>
      </c>
      <c r="L68" s="3553" t="e">
        <f ca="1">IF(M49&gt;10000,M49*0.5%,IF(AND(M49&gt;5000,M49&lt;=10000),M49*1%,IF(AND(M49&gt;1000,M49&lt;=5000),M49*2%,IF(AND(M49&gt;200,M49&lt;=1000),M49*3%,M49*5%))))</f>
        <v>#N/A</v>
      </c>
      <c r="M68" s="1991" t="e">
        <f ca="1">ROUND(L68,1)</f>
        <v>#N/A</v>
      </c>
      <c r="N68" s="2533"/>
      <c r="Z68" s="2361"/>
      <c r="AI68" s="2362"/>
    </row>
    <row r="69" spans="1:35" s="2359" customFormat="1" ht="16.5" customHeight="1">
      <c r="A69" s="2544"/>
      <c r="B69" s="2545"/>
      <c r="C69" s="2546"/>
      <c r="D69" s="739"/>
      <c r="E69" s="2547"/>
      <c r="F69" s="2490"/>
      <c r="G69" s="2490"/>
      <c r="H69" s="2450"/>
      <c r="I69" s="2364"/>
      <c r="J69" s="3749"/>
      <c r="K69" s="3553" t="s">
        <v>1488</v>
      </c>
      <c r="L69" s="3553"/>
      <c r="M69" s="1991" t="e">
        <f ca="1">ROUND(SUM(M63:M68),0)</f>
        <v>#N/A</v>
      </c>
      <c r="N69" s="2610" t="e">
        <f ca="1">M69/M49</f>
        <v>#N/A</v>
      </c>
      <c r="O69" s="951"/>
      <c r="P69" s="951"/>
      <c r="Q69" s="951"/>
      <c r="R69" s="951"/>
      <c r="S69" s="951"/>
      <c r="T69" s="951"/>
      <c r="U69" s="951"/>
      <c r="V69" s="951"/>
      <c r="W69" s="951"/>
      <c r="X69" s="951"/>
      <c r="Y69" s="951"/>
      <c r="Z69" s="2361"/>
      <c r="AA69" s="2361"/>
      <c r="AB69" s="2361"/>
      <c r="AC69" s="2361"/>
      <c r="AD69" s="2361"/>
      <c r="AE69" s="2361"/>
      <c r="AF69" s="2361"/>
      <c r="AG69" s="2361"/>
      <c r="AH69" s="2361"/>
    </row>
    <row r="70" spans="1:35" s="2360" customFormat="1" ht="15" thickBot="1">
      <c r="A70" s="3742" t="s">
        <v>1489</v>
      </c>
      <c r="B70" s="3743"/>
      <c r="C70" s="3743"/>
      <c r="D70" s="3743"/>
      <c r="E70" s="3743"/>
      <c r="F70" s="3743"/>
      <c r="G70" s="3743"/>
      <c r="H70" s="3743"/>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744" t="s">
        <v>1464</v>
      </c>
      <c r="B71" s="3745"/>
      <c r="C71" s="3558"/>
      <c r="D71" s="3558" t="s">
        <v>1465</v>
      </c>
      <c r="E71" s="2548" t="s">
        <v>1415</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1466</v>
      </c>
      <c r="B72" s="2536" t="s">
        <v>1490</v>
      </c>
      <c r="C72" s="2539" t="e">
        <f ca="1">ROUND(D45/(1+'数据-取费表'!C42),0)</f>
        <v>#N/A</v>
      </c>
      <c r="D72" s="555" t="s">
        <v>124</v>
      </c>
      <c r="E72" s="3555"/>
      <c r="F72" s="3552"/>
      <c r="G72" s="3552"/>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1477</v>
      </c>
      <c r="B73" s="2463" t="s">
        <v>1491</v>
      </c>
      <c r="C73" s="2539" t="e">
        <f ca="1">C74+C78</f>
        <v>#N/A</v>
      </c>
      <c r="D73" s="555" t="s">
        <v>124</v>
      </c>
      <c r="E73" s="3555"/>
      <c r="F73" s="3552"/>
      <c r="G73" s="3552"/>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1470</v>
      </c>
      <c r="B74" s="555" t="s">
        <v>1492</v>
      </c>
      <c r="C74" s="555">
        <f>ROUND(IF(G77="2016年5月1日后购买",C75/(1+'数据-取费表'!C42)+C76+C77,C75+C76+C77),0)</f>
        <v>0</v>
      </c>
      <c r="D74" s="555" t="s">
        <v>124</v>
      </c>
      <c r="E74" s="3555"/>
      <c r="F74" s="3552"/>
      <c r="G74" s="3552"/>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1493</v>
      </c>
      <c r="B75" s="555" t="s">
        <v>1494</v>
      </c>
      <c r="C75" s="2552"/>
      <c r="D75" s="555" t="s">
        <v>124</v>
      </c>
      <c r="E75" s="2553" t="s">
        <v>1495</v>
      </c>
      <c r="F75" s="2554"/>
      <c r="G75" s="2553" t="s">
        <v>1496</v>
      </c>
      <c r="H75" s="2555"/>
      <c r="I75" s="841"/>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1497</v>
      </c>
      <c r="B76" s="2556" t="s">
        <v>1498</v>
      </c>
      <c r="C76" s="555">
        <f>IF(F75="购房发票",ROUND(C75*H75*D76,0),0)</f>
        <v>0</v>
      </c>
      <c r="D76" s="2557">
        <v>0.05</v>
      </c>
      <c r="E76" s="3721" t="s">
        <v>1499</v>
      </c>
      <c r="F76" s="3719"/>
      <c r="G76" s="3719"/>
      <c r="H76" s="3738"/>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1500</v>
      </c>
      <c r="B77" s="555" t="s">
        <v>1501</v>
      </c>
      <c r="C77" s="555">
        <f>ROUND(IF(G77="个人住宅",0,IF(G77="2016年5月1日前购买",C75*D77,C75*D77/(1+'数据-取费表'!C42))),0)</f>
        <v>0</v>
      </c>
      <c r="D77" s="2559">
        <f>'数据-取费表'!B48+'数据-取费表'!B49</f>
        <v>3.0499999999999999E-2</v>
      </c>
      <c r="E77" s="3557" t="s">
        <v>1502</v>
      </c>
      <c r="F77" s="2560"/>
      <c r="G77" s="2561"/>
      <c r="H77" s="3561"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1474</v>
      </c>
      <c r="B78" s="555" t="s">
        <v>1503</v>
      </c>
      <c r="C78" s="2562" t="e">
        <f ca="1">ROUND(D45*D78/(1+'数据-取费表'!C42),0)</f>
        <v>#N/A</v>
      </c>
      <c r="D78" s="2563">
        <f>'数据-取费表'!B43</f>
        <v>6.0000000000000001E-3</v>
      </c>
      <c r="E78" s="3739" t="s">
        <v>1504</v>
      </c>
      <c r="F78" s="3740"/>
      <c r="G78" s="3740"/>
      <c r="H78" s="3741"/>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1482</v>
      </c>
      <c r="B79" s="2536" t="s">
        <v>1505</v>
      </c>
      <c r="C79" s="2539" t="e">
        <f ca="1">C72-C73</f>
        <v>#N/A</v>
      </c>
      <c r="D79" s="555" t="s">
        <v>124</v>
      </c>
      <c r="E79" s="3555"/>
      <c r="F79" s="3552"/>
      <c r="G79" s="3552"/>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1485</v>
      </c>
      <c r="B80" s="2536" t="s">
        <v>1506</v>
      </c>
      <c r="C80" s="2567" t="e">
        <f ca="1">IF(C79&lt;=0,0,C79/C73)</f>
        <v>#N/A</v>
      </c>
      <c r="D80" s="555" t="s">
        <v>124</v>
      </c>
      <c r="E80" s="3557" t="e">
        <f ca="1">IF(C80&gt;=200%,"增值额超过扣除项目金额200%",IF(C80&gt;=100%,"增值额超过扣除项目金额100%，未超过200%",IF(C80&gt;=50%,"增值额超过扣除项目金额50%，未超过100%",IF(C80&lt;50%,"增值额未超过扣除项目金额50%"))))</f>
        <v>#N/A</v>
      </c>
      <c r="F80" s="3552"/>
      <c r="G80" s="3552"/>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75" thickBot="1">
      <c r="A81" s="2540" t="s">
        <v>1507</v>
      </c>
      <c r="B81" s="2541" t="s">
        <v>1508</v>
      </c>
      <c r="C81" s="2568" t="e">
        <f ca="1">ROUND(IF(C79&lt;=0,0,IF(C80&gt;=200%,C79*60%-C73*35%,IF(C80&gt;=100%,C79*50%-C73*15%,IF(C80&gt;=50%,C79*40%-C73*5%,IF(C80&lt;50%,C79*30%,0))))),0)</f>
        <v>#N/A</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3"/>
      <c r="D82" s="723"/>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5" thickBot="1">
      <c r="A83" s="3742" t="s">
        <v>1509</v>
      </c>
      <c r="B83" s="3743"/>
      <c r="C83" s="3743"/>
      <c r="D83" s="3743"/>
      <c r="E83" s="3743"/>
      <c r="F83" s="3743"/>
      <c r="G83" s="3743"/>
      <c r="H83" s="3743"/>
      <c r="I83" s="841"/>
      <c r="J83" s="3545" t="s">
        <v>3338</v>
      </c>
      <c r="K83" s="3545" t="s">
        <v>3339</v>
      </c>
      <c r="L83" s="3545" t="s">
        <v>3340</v>
      </c>
      <c r="M83" s="3545" t="s">
        <v>3337</v>
      </c>
      <c r="N83" s="3545" t="s">
        <v>3341</v>
      </c>
      <c r="O83" s="3545" t="s">
        <v>3342</v>
      </c>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744" t="s">
        <v>1464</v>
      </c>
      <c r="B84" s="3745"/>
      <c r="C84" s="3558"/>
      <c r="D84" s="3558" t="s">
        <v>1465</v>
      </c>
      <c r="E84" s="2548" t="s">
        <v>1415</v>
      </c>
      <c r="F84" s="2549"/>
      <c r="G84" s="2549"/>
      <c r="H84" s="2576"/>
      <c r="I84" s="841"/>
      <c r="J84" s="3546"/>
      <c r="K84" s="3546">
        <f>'数据-汇总表'!G27</f>
        <v>0</v>
      </c>
      <c r="L84" s="3546">
        <f>抵押物清单!T2</f>
        <v>330</v>
      </c>
      <c r="M84" s="3546">
        <f>抵押物清单!AB2</f>
        <v>1.5</v>
      </c>
      <c r="N84" s="3546"/>
      <c r="O84" s="3546">
        <f>抵押物清单!AA2</f>
        <v>150</v>
      </c>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1466</v>
      </c>
      <c r="B85" s="2536" t="s">
        <v>1490</v>
      </c>
      <c r="C85" s="2539" t="e">
        <f ca="1">ROUND(D45/(1+'数据-取费表'!C42),0)</f>
        <v>#N/A</v>
      </c>
      <c r="D85" s="555" t="s">
        <v>124</v>
      </c>
      <c r="E85" s="3555"/>
      <c r="F85" s="3552"/>
      <c r="G85" s="3552"/>
      <c r="H85" s="2577"/>
      <c r="I85" s="841"/>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1477</v>
      </c>
      <c r="B86" s="2463" t="s">
        <v>1491</v>
      </c>
      <c r="C86" s="2539" t="e">
        <f ca="1">IF(H88="仅含出让金",C87+C90+C91+C92+C93+C94,C87+C91+C92+C93+C94)</f>
        <v>#N/A</v>
      </c>
      <c r="D86" s="2578"/>
      <c r="E86" s="3555"/>
      <c r="F86" s="3552"/>
      <c r="G86" s="3552"/>
      <c r="H86" s="2577"/>
      <c r="I86" s="841"/>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1470</v>
      </c>
      <c r="B87" s="555" t="s">
        <v>1510</v>
      </c>
      <c r="C87" s="2562">
        <f>C88+C89</f>
        <v>0</v>
      </c>
      <c r="D87" s="2563"/>
      <c r="E87" s="3562"/>
      <c r="F87" s="3563"/>
      <c r="G87" s="3563"/>
      <c r="H87" s="3564"/>
      <c r="I87" s="841"/>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1493</v>
      </c>
      <c r="B88" s="555" t="s">
        <v>1511</v>
      </c>
      <c r="C88" s="2579">
        <f>ROUND(K84*O84/10000,0)</f>
        <v>0</v>
      </c>
      <c r="D88" s="2563"/>
      <c r="E88" s="2580" t="s">
        <v>1512</v>
      </c>
      <c r="F88" s="3563"/>
      <c r="G88" s="2581" t="s">
        <v>1513</v>
      </c>
      <c r="H88" s="2582" t="s">
        <v>1514</v>
      </c>
      <c r="I88" s="841"/>
      <c r="J88" s="2616" t="s">
        <v>1515</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1497</v>
      </c>
      <c r="B89" s="555" t="s">
        <v>1501</v>
      </c>
      <c r="C89" s="2562">
        <f>ROUND(C88*D89,0)</f>
        <v>0</v>
      </c>
      <c r="D89" s="2563">
        <f>'数据-取费表'!B48+'数据-取费表'!B49</f>
        <v>3.0499999999999999E-2</v>
      </c>
      <c r="E89" s="2580" t="s">
        <v>1516</v>
      </c>
      <c r="F89" s="3563"/>
      <c r="G89" s="3563"/>
      <c r="H89" s="3564"/>
      <c r="I89" s="841"/>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1474</v>
      </c>
      <c r="B90" s="555" t="s">
        <v>1517</v>
      </c>
      <c r="C90" s="2579"/>
      <c r="D90" s="2563"/>
      <c r="E90" s="2580" t="str">
        <f>IF(H88="-","土地取得成本中已包含该笔费用"," ")</f>
        <v xml:space="preserve"> </v>
      </c>
      <c r="F90" s="3563"/>
      <c r="G90" s="3746" t="s">
        <v>1518</v>
      </c>
      <c r="H90" s="3747"/>
      <c r="I90" s="841"/>
      <c r="J90" s="2616" t="s">
        <v>1519</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1520</v>
      </c>
      <c r="B91" s="555" t="s">
        <v>1521</v>
      </c>
      <c r="C91" s="2562" t="e">
        <f ca="1">IF(H91="——",成本法!C33,I91)</f>
        <v>#N/A</v>
      </c>
      <c r="D91" s="2563"/>
      <c r="E91" s="3739" t="s">
        <v>1522</v>
      </c>
      <c r="F91" s="3740"/>
      <c r="G91" s="3740"/>
      <c r="H91" s="2583" t="s">
        <v>124</v>
      </c>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1523</v>
      </c>
      <c r="B92" s="555" t="s">
        <v>1524</v>
      </c>
      <c r="C92" s="2562" t="e">
        <f ca="1">ROUND((C87+C90+C91)*D92,0)</f>
        <v>#N/A</v>
      </c>
      <c r="D92" s="2584">
        <v>0.1</v>
      </c>
      <c r="E92" s="3739" t="s">
        <v>1525</v>
      </c>
      <c r="F92" s="3740"/>
      <c r="G92" s="3740"/>
      <c r="H92" s="3741"/>
      <c r="I92" s="841"/>
      <c r="J92" s="2618" t="s">
        <v>1526</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1527</v>
      </c>
      <c r="B93" s="555" t="s">
        <v>1503</v>
      </c>
      <c r="C93" s="2562" t="e">
        <f ca="1">ROUND(D45*D93/(1+'数据-取费表'!C42),0)</f>
        <v>#N/A</v>
      </c>
      <c r="D93" s="2563">
        <f>'数据-取费表'!B43</f>
        <v>6.0000000000000001E-3</v>
      </c>
      <c r="E93" s="3739" t="s">
        <v>1504</v>
      </c>
      <c r="F93" s="3740"/>
      <c r="G93" s="3740"/>
      <c r="H93" s="3741"/>
      <c r="I93" s="841"/>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1528</v>
      </c>
      <c r="B94" s="555" t="s">
        <v>1529</v>
      </c>
      <c r="C94" s="2579" t="e">
        <f ca="1">ROUND((C87+C90+C91)*D94,0)</f>
        <v>#N/A</v>
      </c>
      <c r="D94" s="2563">
        <v>0.2</v>
      </c>
      <c r="E94" s="3750" t="s">
        <v>1530</v>
      </c>
      <c r="F94" s="3751"/>
      <c r="G94" s="3751"/>
      <c r="H94" s="3752"/>
      <c r="I94" s="841"/>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1482</v>
      </c>
      <c r="B95" s="2536" t="s">
        <v>1505</v>
      </c>
      <c r="C95" s="2539" t="e">
        <f ca="1">ROUND(C85-C86,0)</f>
        <v>#N/A</v>
      </c>
      <c r="D95" s="555" t="s">
        <v>124</v>
      </c>
      <c r="E95" s="3555"/>
      <c r="F95" s="3552"/>
      <c r="G95" s="3552"/>
      <c r="H95" s="2577"/>
      <c r="I95" s="841"/>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1485</v>
      </c>
      <c r="B96" s="2536" t="s">
        <v>1506</v>
      </c>
      <c r="C96" s="2567" t="e">
        <f ca="1">IF(C95&lt;=0,0,C95/C86)</f>
        <v>#N/A</v>
      </c>
      <c r="D96" s="555" t="s">
        <v>124</v>
      </c>
      <c r="E96" s="3557" t="e">
        <f ca="1">IF(C96&gt;=200%,"增值额超过扣除项目金额200%",IF(C96&gt;=100%,"增值额超过扣除项目金额100%，未超过200%",IF(C96&gt;=50%,"增值额超过扣除项目金额50%，未超过100%",IF(C96&lt;50%,"增值额未超过扣除项目金额50%"))))</f>
        <v>#N/A</v>
      </c>
      <c r="F96" s="3552"/>
      <c r="G96" s="3552"/>
      <c r="H96" s="2577"/>
      <c r="I96" s="841"/>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75" thickBot="1">
      <c r="A97" s="2540" t="s">
        <v>1507</v>
      </c>
      <c r="B97" s="2541" t="s">
        <v>1508</v>
      </c>
      <c r="C97" s="2568" t="e">
        <f ca="1">ROUND(IF(C95&lt;=0,0,IF(C96&gt;=200%,C95*60%-C86*35%,IF(C96&gt;=100%,C95*50%-C86*15%,IF(C96&gt;=50%,C95*40%-C86*5%,IF(C96&lt;50%,C95*30%,0))))),0)</f>
        <v>#N/A</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71"/>
      <c r="G97" s="2571"/>
      <c r="H97" s="2585"/>
      <c r="I97" s="841"/>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thickBot="1">
      <c r="A99" s="2452" t="s">
        <v>1531</v>
      </c>
      <c r="B99" s="2364"/>
      <c r="C99" s="2364"/>
      <c r="D99" s="2364"/>
      <c r="E99" s="2490"/>
      <c r="F99" s="2490"/>
      <c r="G99" s="2490"/>
      <c r="H99" s="2450"/>
      <c r="I99" s="992"/>
    </row>
    <row r="100" spans="1:35" ht="18.75" customHeight="1">
      <c r="A100" s="3683" t="s">
        <v>1532</v>
      </c>
      <c r="B100" s="3684"/>
      <c r="C100" s="3684"/>
      <c r="D100" s="3753"/>
      <c r="E100" s="3684" t="s">
        <v>1533</v>
      </c>
      <c r="F100" s="3684"/>
      <c r="G100" s="3684"/>
      <c r="H100" s="3753"/>
      <c r="I100" s="992"/>
    </row>
    <row r="101" spans="1:35" ht="18.75" customHeight="1">
      <c r="A101" s="3754" t="s">
        <v>1534</v>
      </c>
      <c r="B101" s="3755"/>
      <c r="C101" s="2587" t="str">
        <f>C4</f>
        <v>成本法</v>
      </c>
      <c r="D101" s="2588" t="str">
        <f>D4</f>
        <v>收益法-车库</v>
      </c>
      <c r="E101" s="3756" t="s">
        <v>1535</v>
      </c>
      <c r="F101" s="3757"/>
      <c r="G101" s="2590" t="s">
        <v>1536</v>
      </c>
      <c r="H101" s="2591" t="e">
        <f ca="1">H118</f>
        <v>#N/A</v>
      </c>
      <c r="I101" s="992"/>
    </row>
    <row r="102" spans="1:35" ht="18.75" customHeight="1">
      <c r="A102" s="3758" t="s">
        <v>1537</v>
      </c>
      <c r="B102" s="2592" t="s">
        <v>1536</v>
      </c>
      <c r="C102" s="2587" t="e">
        <f ca="1">IF(D32="楼面单价",ROUND(C19,0),C19)</f>
        <v>#N/A</v>
      </c>
      <c r="D102" s="2588" t="e">
        <f ca="1">IF(D32="楼面单价",ROUND(D19,0),D19)</f>
        <v>#N/A</v>
      </c>
      <c r="E102" s="3756"/>
      <c r="F102" s="3757"/>
      <c r="G102" s="2590" t="s">
        <v>99</v>
      </c>
      <c r="H102" s="2479" t="e">
        <f ca="1">I118</f>
        <v>#N/A</v>
      </c>
      <c r="I102" s="992"/>
    </row>
    <row r="103" spans="1:35" ht="42.75" customHeight="1">
      <c r="A103" s="3758"/>
      <c r="B103" s="2592" t="s">
        <v>99</v>
      </c>
      <c r="C103" s="2593" t="e">
        <f ca="1">C20</f>
        <v>#N/A</v>
      </c>
      <c r="D103" s="2594">
        <f ca="1">D20</f>
        <v>0</v>
      </c>
      <c r="E103" s="3759" t="s">
        <v>1538</v>
      </c>
      <c r="F103" s="3760"/>
      <c r="G103" s="2595" t="s">
        <v>102</v>
      </c>
      <c r="H103" s="2591">
        <f>IF(D36="正常操作",H104+H105+H106,H105+H106)</f>
        <v>0</v>
      </c>
      <c r="I103" s="992"/>
    </row>
    <row r="104" spans="1:35" ht="18.75" customHeight="1">
      <c r="A104" s="3758" t="s">
        <v>1539</v>
      </c>
      <c r="B104" s="2596" t="s">
        <v>1536</v>
      </c>
      <c r="C104" s="2597" t="e">
        <f ca="1">H118</f>
        <v>#N/A</v>
      </c>
      <c r="D104" s="2598"/>
      <c r="E104" s="2435" t="s">
        <v>1540</v>
      </c>
      <c r="F104" s="2599"/>
      <c r="G104" s="2595" t="s">
        <v>102</v>
      </c>
      <c r="H104" s="2600">
        <f>IF(D36="同一抵押权人同一抵押物续贷",C36&amp;"（续贷，未扣减，详见特别提示）",C36)</f>
        <v>0</v>
      </c>
      <c r="I104" s="992"/>
    </row>
    <row r="105" spans="1:35" ht="18.75" customHeight="1" thickBot="1">
      <c r="A105" s="3766"/>
      <c r="B105" s="2601" t="s">
        <v>99</v>
      </c>
      <c r="C105" s="2602" t="e">
        <f ca="1">I118</f>
        <v>#N/A</v>
      </c>
      <c r="D105" s="2603"/>
      <c r="E105" s="2435" t="s">
        <v>1541</v>
      </c>
      <c r="F105" s="2599"/>
      <c r="G105" s="2595" t="s">
        <v>102</v>
      </c>
      <c r="H105" s="2604">
        <f>C37</f>
        <v>0</v>
      </c>
      <c r="I105" s="992"/>
    </row>
    <row r="106" spans="1:35" ht="18.75" customHeight="1">
      <c r="A106" s="2364" t="s">
        <v>1542</v>
      </c>
      <c r="B106" s="2364"/>
      <c r="C106" s="2364"/>
      <c r="D106" s="2364"/>
      <c r="E106" s="2605" t="s">
        <v>1543</v>
      </c>
      <c r="F106" s="2599"/>
      <c r="G106" s="2595" t="s">
        <v>102</v>
      </c>
      <c r="H106" s="2604">
        <f>C38</f>
        <v>0</v>
      </c>
      <c r="I106" s="992"/>
    </row>
    <row r="107" spans="1:35" ht="18.75" customHeight="1">
      <c r="A107" s="992"/>
      <c r="B107" s="992"/>
      <c r="C107" s="992"/>
      <c r="D107" s="992"/>
      <c r="E107" s="3767" t="str">
        <f>IF(项目基本情况!E8="已注销","——","3.房地产抵押价值")</f>
        <v>3.房地产抵押价值</v>
      </c>
      <c r="F107" s="3757"/>
      <c r="G107" s="2590" t="s">
        <v>1536</v>
      </c>
      <c r="H107" s="2591" t="e">
        <f ca="1">IF(E107="——","——",H101-H103)</f>
        <v>#N/A</v>
      </c>
      <c r="I107" s="992"/>
    </row>
    <row r="108" spans="1:35" ht="18.75" customHeight="1">
      <c r="A108" s="992"/>
      <c r="B108" s="992"/>
      <c r="C108" s="992"/>
      <c r="D108" s="992"/>
      <c r="E108" s="3767"/>
      <c r="F108" s="3757"/>
      <c r="G108" s="2590" t="s">
        <v>99</v>
      </c>
      <c r="H108" s="2479" t="e">
        <f ca="1">IF(H107=H101,H102,ROUND(H107*10000/'数据-汇总表'!E3,0))</f>
        <v>#N/A</v>
      </c>
      <c r="I108" s="992"/>
    </row>
    <row r="109" spans="1:35" ht="18.75" customHeight="1">
      <c r="A109" s="992"/>
      <c r="B109" s="992"/>
      <c r="C109" s="992"/>
      <c r="D109" s="992"/>
      <c r="E109" s="3767" t="str">
        <f>IF(项目基本情况!E8="已注销及未注销","4.抵押担保权已注销时的房地产抵押价值",IF(项目基本情况!E8="已注销","3.抵押担保权已注销时的房地产抵押价值","——"))</f>
        <v>——</v>
      </c>
      <c r="F109" s="3757"/>
      <c r="G109" s="2590" t="s">
        <v>1536</v>
      </c>
      <c r="H109" s="2606" t="str">
        <f>IF(E109="——","——",H101-H105-H106)</f>
        <v>——</v>
      </c>
      <c r="I109" s="992"/>
    </row>
    <row r="110" spans="1:35" ht="18.75" customHeight="1">
      <c r="A110" s="992"/>
      <c r="B110" s="992"/>
      <c r="C110" s="992"/>
      <c r="D110" s="992"/>
      <c r="E110" s="3767"/>
      <c r="F110" s="3757"/>
      <c r="G110" s="2590" t="s">
        <v>99</v>
      </c>
      <c r="H110" s="2479" t="str">
        <f>IF(H109="——","——",ROUND(H109*10000/'数据-汇总表'!E3,0))</f>
        <v>——</v>
      </c>
      <c r="I110" s="992"/>
    </row>
    <row r="111" spans="1:35" ht="18.75" customHeight="1">
      <c r="A111" s="992"/>
      <c r="B111" s="992"/>
      <c r="C111" s="992"/>
      <c r="D111" s="992"/>
      <c r="E111" s="3768" t="str">
        <f>IF(项目基本情况!E9="抵押净值",IF(OR(项目基本情况!E8="已注销",项目基本情况!E8="房地产抵押价值"),"4.抵押净值","5.抵押净值"),"——")</f>
        <v>4.抵押净值</v>
      </c>
      <c r="F111" s="3769"/>
      <c r="G111" s="2590" t="s">
        <v>1536</v>
      </c>
      <c r="H111" s="2591" t="e">
        <f ca="1">IF(E111="——","——",N59)</f>
        <v>#N/A</v>
      </c>
      <c r="I111" s="992"/>
    </row>
    <row r="112" spans="1:35" ht="18.75" customHeight="1" thickBot="1">
      <c r="A112" s="992"/>
      <c r="B112" s="992"/>
      <c r="C112" s="992"/>
      <c r="D112" s="992"/>
      <c r="E112" s="3770"/>
      <c r="F112" s="3771"/>
      <c r="G112" s="2607" t="s">
        <v>99</v>
      </c>
      <c r="H112" s="2608" t="e">
        <f ca="1">IF(E111="——","——",N61)</f>
        <v>#N/A</v>
      </c>
      <c r="I112" s="992"/>
    </row>
    <row r="113" spans="1:27" ht="18.75" customHeight="1">
      <c r="A113" s="992"/>
      <c r="B113" s="992"/>
      <c r="C113" s="992"/>
      <c r="D113" s="992"/>
      <c r="E113" s="3772" t="s">
        <v>1542</v>
      </c>
      <c r="F113" s="3772"/>
      <c r="G113" s="3772"/>
      <c r="H113" s="3772"/>
      <c r="I113" s="992"/>
    </row>
    <row r="114" spans="1:27" ht="3.75" customHeight="1">
      <c r="A114" s="2364"/>
      <c r="B114" s="2364"/>
      <c r="C114" s="2364"/>
      <c r="D114" s="2364"/>
      <c r="E114" s="2489"/>
      <c r="F114" s="2489"/>
      <c r="G114" s="2489"/>
      <c r="H114" s="2489"/>
      <c r="I114" s="2364"/>
    </row>
    <row r="115" spans="1:27" ht="18.75" customHeight="1">
      <c r="A115" s="3773" t="s">
        <v>1544</v>
      </c>
      <c r="B115" s="3774"/>
      <c r="C115" s="3774"/>
      <c r="D115" s="3774"/>
      <c r="E115" s="3774"/>
      <c r="F115" s="3774"/>
      <c r="G115" s="3774"/>
      <c r="H115" s="3774"/>
      <c r="I115" s="3775"/>
    </row>
    <row r="116" spans="1:27" ht="27" customHeight="1">
      <c r="A116" s="3689" t="s">
        <v>1545</v>
      </c>
      <c r="B116" s="3761" t="s">
        <v>1546</v>
      </c>
      <c r="C116" s="3761" t="s">
        <v>1547</v>
      </c>
      <c r="D116" s="3763" t="s">
        <v>1548</v>
      </c>
      <c r="E116" s="3764"/>
      <c r="F116" s="3765" t="s">
        <v>1549</v>
      </c>
      <c r="G116" s="3765"/>
      <c r="H116" s="3689" t="s">
        <v>1550</v>
      </c>
      <c r="I116" s="3689"/>
    </row>
    <row r="117" spans="1:27" ht="18.75" customHeight="1">
      <c r="A117" s="3689"/>
      <c r="B117" s="3762"/>
      <c r="C117" s="3762"/>
      <c r="D117" s="3560" t="s">
        <v>1551</v>
      </c>
      <c r="E117" s="3560" t="s">
        <v>1373</v>
      </c>
      <c r="F117" s="3560" t="s">
        <v>1551</v>
      </c>
      <c r="G117" s="3560" t="s">
        <v>1373</v>
      </c>
      <c r="H117" s="3560" t="s">
        <v>1551</v>
      </c>
      <c r="I117" s="3560" t="s">
        <v>1373</v>
      </c>
    </row>
    <row r="118" spans="1:27" ht="24.75" customHeight="1">
      <c r="A118" s="2609" t="str">
        <f>项目基本情况!S2</f>
        <v>北京市兴盛国际房地产</v>
      </c>
      <c r="B118" s="3560">
        <f>M18</f>
        <v>0</v>
      </c>
      <c r="C118" s="3560">
        <f>M19</f>
        <v>0</v>
      </c>
      <c r="D118" s="3560" t="e">
        <f ca="1">ROUND(IF(D32="总价",C34,E118*B118/10000),0)</f>
        <v>#N/A</v>
      </c>
      <c r="E118" s="3560" t="e">
        <f ca="1">ROUND(IF(C33="自定义",IF(D32="楼面单价",C34,D118*10000/B118),I118-G118),0)</f>
        <v>#N/A</v>
      </c>
      <c r="F118" s="3560" t="e">
        <f ca="1">ROUND(IF(D32="总价",C35,G118*B118/10000),0)</f>
        <v>#N/A</v>
      </c>
      <c r="G118" s="3560" t="e">
        <f ca="1">ROUND(IF(D32="楼面单价",C35,F118*10000/B118),0)</f>
        <v>#N/A</v>
      </c>
      <c r="H118" s="3560" t="e">
        <f ca="1">ROUND(IF(D32="总价",C32,I118*B118/10000),0)</f>
        <v>#N/A</v>
      </c>
      <c r="I118" s="3560" t="e">
        <f ca="1">ROUND(IF(D32="楼面单价",C32,H118*10000/B118),0)</f>
        <v>#N/A</v>
      </c>
    </row>
    <row r="119" spans="1:27" ht="18.75" customHeight="1">
      <c r="A119" s="3689" t="s">
        <v>1552</v>
      </c>
      <c r="B119" s="3689"/>
      <c r="C119" s="3689"/>
      <c r="D119" s="3776" t="e">
        <f ca="1">NUMBERSTRING(INT(D118*10000),2)&amp;"元整"</f>
        <v>#N/A</v>
      </c>
      <c r="E119" s="3778"/>
      <c r="F119" s="3776" t="e">
        <f ca="1">NUMBERSTRING(INT(F118*10000),2)&amp;"元整"</f>
        <v>#N/A</v>
      </c>
      <c r="G119" s="3778"/>
      <c r="H119" s="3776" t="e">
        <f ca="1">NUMBERSTRING(INT(H118*10000),2)&amp;"元整"</f>
        <v>#N/A</v>
      </c>
      <c r="I119" s="3778"/>
    </row>
    <row r="120" spans="1:27" ht="18.75" customHeight="1">
      <c r="A120" s="3779" t="str">
        <f>IF(项目基本情况!B9="房地产市场价值","",MID(E103,3,LEN(E103)-2))</f>
        <v>估价师知悉的法定优先受偿款</v>
      </c>
      <c r="B120" s="3780"/>
      <c r="C120" s="3781"/>
      <c r="D120" s="3779">
        <f>H103</f>
        <v>0</v>
      </c>
      <c r="E120" s="3780"/>
      <c r="F120" s="3780"/>
      <c r="G120" s="3780"/>
      <c r="H120" s="3780"/>
      <c r="I120" s="3781"/>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776" t="s">
        <v>1552</v>
      </c>
      <c r="B121" s="3777"/>
      <c r="C121" s="3778"/>
      <c r="D121" s="3776" t="str">
        <f>IF(D120=0,"零元整",NUMBERSTRING(INT(D120*10000),2)&amp;"元整")</f>
        <v>零元整</v>
      </c>
      <c r="E121" s="3777"/>
      <c r="F121" s="3777"/>
      <c r="G121" s="3777"/>
      <c r="H121" s="3777"/>
      <c r="I121" s="3778"/>
      <c r="AA121" s="951"/>
    </row>
    <row r="122" spans="1:27" ht="18.75" customHeight="1">
      <c r="A122" s="3769" t="str">
        <f>IF(项目基本情况!B9="房地产市场价值","",MID(E107,3,LEN(E107)-2))</f>
        <v>房地产抵押价值</v>
      </c>
      <c r="B122" s="3769"/>
      <c r="C122" s="3769"/>
      <c r="D122" s="3779" t="e">
        <f ca="1">H107</f>
        <v>#N/A</v>
      </c>
      <c r="E122" s="3780"/>
      <c r="F122" s="3780"/>
      <c r="G122" s="3780"/>
      <c r="H122" s="3780"/>
      <c r="I122" s="3781"/>
      <c r="AA122" s="951"/>
    </row>
    <row r="123" spans="1:27" ht="18.75" customHeight="1">
      <c r="A123" s="3689" t="s">
        <v>1552</v>
      </c>
      <c r="B123" s="3689"/>
      <c r="C123" s="3689"/>
      <c r="D123" s="3776" t="e">
        <f ca="1">NUMBERSTRING(INT(D122*10000),2)&amp;"元整"</f>
        <v>#N/A</v>
      </c>
      <c r="E123" s="3777"/>
      <c r="F123" s="3777"/>
      <c r="G123" s="3777"/>
      <c r="H123" s="3777"/>
      <c r="I123" s="3778"/>
      <c r="AA123" s="951"/>
    </row>
    <row r="124" spans="1:27" ht="18.75" customHeight="1">
      <c r="A124" s="3769" t="str">
        <f>IF(项目基本情况!B9="房地产市场价值","",MID(E109,3,LEN(E109)-2))</f>
        <v/>
      </c>
      <c r="B124" s="3769"/>
      <c r="C124" s="3769"/>
      <c r="D124" s="3779" t="str">
        <f>H109</f>
        <v>——</v>
      </c>
      <c r="E124" s="3780"/>
      <c r="F124" s="3780"/>
      <c r="G124" s="3780"/>
      <c r="H124" s="3780"/>
      <c r="I124" s="3781"/>
      <c r="AA124" s="951"/>
    </row>
    <row r="125" spans="1:27" ht="18.75" customHeight="1">
      <c r="A125" s="3689" t="s">
        <v>1552</v>
      </c>
      <c r="B125" s="3689"/>
      <c r="C125" s="3689"/>
      <c r="D125" s="3776" t="e">
        <f>NUMBERSTRING(INT(D124*10000),2)&amp;"元整"</f>
        <v>#VALUE!</v>
      </c>
      <c r="E125" s="3777"/>
      <c r="F125" s="3777"/>
      <c r="G125" s="3777"/>
      <c r="H125" s="3777"/>
      <c r="I125" s="3778"/>
      <c r="AA125" s="951"/>
    </row>
    <row r="126" spans="1:27" ht="18.75" customHeight="1">
      <c r="A126" s="3769" t="str">
        <f>IF(项目基本情况!B9="房地产市场价值","",MID(E111,3,LEN(E111)-2))</f>
        <v>抵押净值</v>
      </c>
      <c r="B126" s="3769"/>
      <c r="C126" s="3769"/>
      <c r="D126" s="3779" t="e">
        <f ca="1">H111</f>
        <v>#N/A</v>
      </c>
      <c r="E126" s="3780"/>
      <c r="F126" s="3780"/>
      <c r="G126" s="3780"/>
      <c r="H126" s="3780"/>
      <c r="I126" s="3781"/>
      <c r="AA126" s="951"/>
    </row>
    <row r="127" spans="1:27" ht="18.75" customHeight="1">
      <c r="A127" s="3689" t="s">
        <v>1552</v>
      </c>
      <c r="B127" s="3689"/>
      <c r="C127" s="3689"/>
      <c r="D127" s="3776" t="e">
        <f ca="1">NUMBERSTRING(INT(D126*10000),2)&amp;"元整"</f>
        <v>#N/A</v>
      </c>
      <c r="E127" s="3777"/>
      <c r="F127" s="3777"/>
      <c r="G127" s="3777"/>
      <c r="H127" s="3777"/>
      <c r="I127" s="3778"/>
      <c r="AA127" s="951"/>
    </row>
    <row r="128" spans="1:27" ht="21.75" customHeight="1">
      <c r="A128" s="3782" t="s">
        <v>113</v>
      </c>
      <c r="B128" s="3782"/>
      <c r="C128" s="3782"/>
      <c r="D128" s="3782"/>
      <c r="E128" s="3782"/>
      <c r="F128" s="3782"/>
      <c r="G128" s="3782"/>
      <c r="H128" s="3782"/>
      <c r="I128" s="3782"/>
      <c r="AA128" s="951"/>
    </row>
    <row r="129" spans="1:35" ht="21.75" customHeight="1">
      <c r="A129" s="2620" t="s">
        <v>1553</v>
      </c>
      <c r="B129" s="2621"/>
      <c r="C129" s="2622" t="s">
        <v>1554</v>
      </c>
      <c r="D129" s="2623"/>
      <c r="E129" s="2623"/>
      <c r="F129" s="2623"/>
      <c r="G129" s="2623"/>
      <c r="H129" s="2624"/>
      <c r="I129" s="2639"/>
      <c r="AA129" s="951"/>
    </row>
    <row r="130" spans="1:35" ht="21.75" customHeight="1">
      <c r="A130" s="2625">
        <v>1</v>
      </c>
      <c r="B130" s="2626"/>
      <c r="C130" s="2626"/>
      <c r="D130" s="2627"/>
      <c r="E130" s="2627"/>
      <c r="F130" s="2627"/>
      <c r="G130" s="2627"/>
      <c r="H130" s="2628"/>
      <c r="I130" s="2640"/>
      <c r="AA130" s="951"/>
    </row>
    <row r="131" spans="1:35" ht="21.75" customHeight="1">
      <c r="A131" s="2625">
        <v>2</v>
      </c>
      <c r="B131" s="2626"/>
      <c r="C131" s="2626"/>
      <c r="D131" s="2627"/>
      <c r="E131" s="2627"/>
      <c r="F131" s="2627"/>
      <c r="G131" s="2627"/>
      <c r="H131" s="2628"/>
      <c r="I131" s="2640"/>
      <c r="AA131" s="951"/>
    </row>
    <row r="132" spans="1:35" ht="21.75" customHeight="1">
      <c r="A132" s="2625">
        <v>3</v>
      </c>
      <c r="B132" s="2626"/>
      <c r="C132" s="2626"/>
      <c r="D132" s="2627"/>
      <c r="E132" s="2627"/>
      <c r="F132" s="2627"/>
      <c r="G132" s="2627"/>
      <c r="H132" s="2628"/>
      <c r="I132" s="2640"/>
      <c r="AA132" s="951"/>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1"/>
    </row>
    <row r="135" spans="1:35" ht="21.75" customHeight="1">
      <c r="A135" s="951"/>
      <c r="B135" s="951"/>
      <c r="C135" s="951"/>
      <c r="D135" s="951"/>
      <c r="E135" s="951"/>
      <c r="F135" s="2633" t="s">
        <v>1555</v>
      </c>
      <c r="G135" s="2634"/>
      <c r="H135" s="2634"/>
      <c r="I135" s="2642" t="s">
        <v>1556</v>
      </c>
    </row>
    <row r="136" spans="1:35" ht="21.75" customHeight="1">
      <c r="A136" s="951"/>
      <c r="B136" s="2635" t="s">
        <v>1557</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4"/>
      <c r="C138" s="2634"/>
      <c r="D138" s="2634"/>
      <c r="E138" s="2634"/>
      <c r="F138" s="2634"/>
      <c r="G138" s="2634"/>
      <c r="H138" s="2634"/>
      <c r="I138" s="2642" t="s">
        <v>1558</v>
      </c>
    </row>
    <row r="139" spans="1:35" ht="21.75" customHeight="1">
      <c r="A139" s="951"/>
      <c r="B139" s="2635" t="s">
        <v>1559</v>
      </c>
      <c r="C139" s="951"/>
      <c r="D139" s="951"/>
      <c r="E139" s="951"/>
      <c r="F139" s="951"/>
      <c r="G139" s="951"/>
      <c r="H139" s="951"/>
      <c r="I139" s="951"/>
    </row>
    <row r="140" spans="1:35" ht="21.75" customHeight="1">
      <c r="A140" s="951"/>
      <c r="B140" s="2635"/>
      <c r="C140" s="951"/>
      <c r="D140" s="951"/>
      <c r="E140" s="951"/>
      <c r="F140" s="951"/>
      <c r="G140" s="951"/>
      <c r="H140" s="951"/>
      <c r="I140" s="951"/>
    </row>
    <row r="141" spans="1:35" ht="21.75" customHeight="1">
      <c r="A141" s="951"/>
      <c r="B141" s="2634"/>
      <c r="C141" s="2634"/>
      <c r="D141" s="2634"/>
      <c r="E141" s="2634"/>
      <c r="F141" s="2634"/>
      <c r="G141" s="2634"/>
      <c r="H141" s="2634"/>
      <c r="I141" s="2642" t="s">
        <v>1558</v>
      </c>
    </row>
    <row r="142" spans="1:35" ht="21.75" customHeight="1">
      <c r="A142" s="951"/>
      <c r="B142" s="2635"/>
      <c r="C142" s="2636"/>
      <c r="D142" s="2637"/>
      <c r="E142" s="2637"/>
      <c r="F142" s="2638"/>
      <c r="G142" s="951"/>
      <c r="H142" s="951"/>
      <c r="I142" s="951"/>
    </row>
    <row r="143" spans="1:35" s="948" customFormat="1" ht="21.75" customHeight="1">
      <c r="A143" s="951"/>
      <c r="B143" s="2635"/>
      <c r="C143" s="2636"/>
      <c r="D143" s="2637"/>
      <c r="E143" s="2637"/>
      <c r="F143" s="2638"/>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1"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1"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1"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1"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1"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1"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1"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1"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1"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1"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1"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1"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1"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1"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1"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1"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1"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1"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1"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1"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1"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1"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1"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1"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1"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1"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1"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1"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1"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1"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1"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1"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1"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1"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1"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1"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1"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1"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1"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1"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1"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1"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1"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1"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1"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1"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1"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1"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1"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1"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1"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1"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1"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1"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1"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1"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1"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1"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1"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1"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1"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1"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1"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1"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1"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1"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1"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1"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1"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1"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1"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1"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1"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1"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1"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1"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1"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1"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1"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1"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1"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1"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1"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1"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1"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1"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1"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1"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1"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1"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1"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1"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1"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1"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1"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1"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1"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1"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1"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1"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1"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1"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1"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1"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4"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10" stopIfTrue="1" operator="equal">
      <formula>25</formula>
    </cfRule>
  </conditionalFormatting>
  <conditionalFormatting sqref="C8:C9">
    <cfRule type="cellIs" dxfId="213" priority="9" stopIfTrue="1" operator="equal">
      <formula>15</formula>
    </cfRule>
  </conditionalFormatting>
  <conditionalFormatting sqref="C14:C16">
    <cfRule type="cellIs" dxfId="212" priority="8" stopIfTrue="1" operator="equal">
      <formula>30</formula>
    </cfRule>
  </conditionalFormatting>
  <conditionalFormatting sqref="D5:D7">
    <cfRule type="cellIs" dxfId="211" priority="7" stopIfTrue="1" operator="equal">
      <formula>25</formula>
    </cfRule>
  </conditionalFormatting>
  <conditionalFormatting sqref="D8:D9">
    <cfRule type="cellIs" dxfId="210" priority="6" stopIfTrue="1" operator="equal">
      <formula>15</formula>
    </cfRule>
  </conditionalFormatting>
  <conditionalFormatting sqref="D14:D16">
    <cfRule type="cellIs" dxfId="209" priority="4" stopIfTrue="1" operator="equal">
      <formula>30</formula>
    </cfRule>
  </conditionalFormatting>
  <conditionalFormatting sqref="C10:D13">
    <cfRule type="cellIs" dxfId="208"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W19" sqref="W19"/>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1560</v>
      </c>
      <c r="B1" s="2343" t="s">
        <v>3343</v>
      </c>
      <c r="C1" s="376"/>
      <c r="D1" s="376"/>
      <c r="E1" s="376"/>
      <c r="F1" s="376"/>
      <c r="G1" s="2345" t="e">
        <f>MATCH(B1,'数据-取费表'!A6:A16,0)+5</f>
        <v>#N/A</v>
      </c>
    </row>
    <row r="2" spans="1:9" s="366" customFormat="1" ht="18" customHeight="1">
      <c r="A2" s="378" t="s">
        <v>1561</v>
      </c>
      <c r="B2" s="379" t="e">
        <f ca="1">IF(D2="——",C52,C52-E2)</f>
        <v>#N/A</v>
      </c>
      <c r="C2" s="377" t="s">
        <v>1562</v>
      </c>
      <c r="D2" s="2347" t="s">
        <v>124</v>
      </c>
      <c r="E2" s="2348" t="e">
        <f ca="1">SUMIF(INDIRECT("'"&amp;G2&amp;"'"&amp;"!A:A"),"承租人权益价值",INDIRECT("'"&amp;G2&amp;"'"&amp;"!c:c"))</f>
        <v>#REF!</v>
      </c>
      <c r="F2" s="2349" t="s">
        <v>1562</v>
      </c>
      <c r="G2" s="2350"/>
    </row>
    <row r="3" spans="1:9" s="366" customFormat="1" ht="18" customHeight="1">
      <c r="A3" s="381" t="s">
        <v>1563</v>
      </c>
      <c r="B3" s="382" t="e">
        <f ca="1">ROUND(B2*10000/(IF(B1="",'数据-汇总表'!E3,INDIRECT("'数据-取费表'!k"&amp;$G$1))),0)</f>
        <v>#N/A</v>
      </c>
      <c r="C3" s="377" t="s">
        <v>1564</v>
      </c>
      <c r="D3" s="377"/>
      <c r="E3" s="377"/>
      <c r="F3" s="377"/>
      <c r="G3" s="377"/>
    </row>
    <row r="4" spans="1:9" s="367" customFormat="1" ht="15.75">
      <c r="A4" s="383" t="s">
        <v>1565</v>
      </c>
      <c r="B4" s="384"/>
      <c r="C4" s="384"/>
      <c r="D4" s="384"/>
      <c r="E4" s="384"/>
      <c r="F4" s="384"/>
      <c r="G4" s="385"/>
    </row>
    <row r="5" spans="1:9" s="368" customFormat="1" ht="13.5" customHeight="1">
      <c r="A5" s="386" t="s">
        <v>1566</v>
      </c>
      <c r="B5" s="387" t="s">
        <v>1567</v>
      </c>
      <c r="C5" s="388" t="e">
        <f ca="1">C6+C7+C8</f>
        <v>#N/A</v>
      </c>
      <c r="D5" s="388" t="s">
        <v>1568</v>
      </c>
      <c r="E5" s="389" t="s">
        <v>1569</v>
      </c>
      <c r="F5" s="389" t="s">
        <v>1465</v>
      </c>
      <c r="G5" s="390"/>
    </row>
    <row r="6" spans="1:9" s="368" customFormat="1" ht="13.5" customHeight="1">
      <c r="A6" s="391" t="s">
        <v>1570</v>
      </c>
      <c r="B6" s="392" t="s">
        <v>1571</v>
      </c>
      <c r="C6" s="393">
        <f>'基准地价修正-工业'!E42</f>
        <v>0</v>
      </c>
      <c r="D6" s="394"/>
      <c r="E6" s="395"/>
      <c r="F6" s="395"/>
      <c r="G6" s="396"/>
    </row>
    <row r="7" spans="1:9" s="368" customFormat="1" ht="13.5" customHeight="1">
      <c r="A7" s="391" t="s">
        <v>1572</v>
      </c>
      <c r="B7" s="392" t="s">
        <v>1573</v>
      </c>
      <c r="C7" s="397">
        <f>ROUND(C6*F7,0)</f>
        <v>0</v>
      </c>
      <c r="D7" s="397"/>
      <c r="E7" s="395"/>
      <c r="F7" s="398">
        <f>IF(项目基本情况!B8="出让",0,'数据-取费表'!B48+'数据-取费表'!B49)</f>
        <v>3.0499999999999999E-2</v>
      </c>
      <c r="G7" s="396"/>
    </row>
    <row r="8" spans="1:9" s="369" customFormat="1">
      <c r="A8" s="391" t="s">
        <v>1574</v>
      </c>
      <c r="B8" s="392" t="s">
        <v>1575</v>
      </c>
      <c r="C8" s="397" t="e">
        <f ca="1">IF(G8="已包含在土地购买价格中","0",IF(B1="",'数据-取费表'!B29,IF(G9="全部缴纳",C9+C10,H9)))</f>
        <v>#N/A</v>
      </c>
      <c r="D8" s="399"/>
      <c r="E8" s="397"/>
      <c r="F8" s="398"/>
      <c r="G8" s="2351" t="s">
        <v>1576</v>
      </c>
    </row>
    <row r="9" spans="1:9" s="368" customFormat="1" ht="13.5" customHeight="1">
      <c r="A9" s="401" t="s">
        <v>1577</v>
      </c>
      <c r="B9" s="402" t="s">
        <v>1578</v>
      </c>
      <c r="C9" s="403" t="e">
        <f ca="1">ROUND(D9*E9/10000,0)</f>
        <v>#N/A</v>
      </c>
      <c r="D9" s="404" t="e">
        <f ca="1">IF(B1="",'数据-汇总表'!E5,IF(INDIRECT("'数据-取费表'!c"&amp;$G$1)="住宅",INDIRECT("'数据-取费表'!k"&amp;$G$1),0))</f>
        <v>#N/A</v>
      </c>
      <c r="E9" s="403">
        <f>'数据-取费表'!B27</f>
        <v>160</v>
      </c>
      <c r="F9" s="398"/>
      <c r="G9" s="2355" t="s">
        <v>1579</v>
      </c>
      <c r="H9" s="2356"/>
      <c r="I9" s="2357" t="s">
        <v>1580</v>
      </c>
    </row>
    <row r="10" spans="1:9" s="368" customFormat="1" ht="13.5" customHeight="1">
      <c r="A10" s="401" t="s">
        <v>1581</v>
      </c>
      <c r="B10" s="402" t="s">
        <v>1582</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1583</v>
      </c>
      <c r="B11" s="392" t="s">
        <v>1584</v>
      </c>
      <c r="C11" s="388"/>
      <c r="D11" s="407"/>
      <c r="E11" s="395"/>
      <c r="F11" s="395"/>
      <c r="G11" s="396"/>
    </row>
    <row r="12" spans="1:9" s="368" customFormat="1" ht="13.5" hidden="1" customHeight="1">
      <c r="A12" s="406" t="s">
        <v>1585</v>
      </c>
      <c r="B12" s="392" t="s">
        <v>1501</v>
      </c>
      <c r="C12" s="388">
        <v>0</v>
      </c>
      <c r="D12" s="407"/>
      <c r="E12" s="408"/>
      <c r="F12" s="398">
        <v>3.0499999999999999E-2</v>
      </c>
      <c r="G12" s="396"/>
    </row>
    <row r="13" spans="1:9" s="368" customFormat="1" ht="13.5" hidden="1" customHeight="1">
      <c r="A13" s="406" t="s">
        <v>1586</v>
      </c>
      <c r="B13" s="392" t="s">
        <v>1587</v>
      </c>
      <c r="C13" s="388"/>
      <c r="D13" s="407"/>
      <c r="E13" s="395"/>
      <c r="F13" s="395"/>
      <c r="G13" s="396"/>
    </row>
    <row r="14" spans="1:9" s="368" customFormat="1" ht="13.5" hidden="1" customHeight="1">
      <c r="A14" s="406" t="s">
        <v>1588</v>
      </c>
      <c r="B14" s="392" t="s">
        <v>1575</v>
      </c>
      <c r="C14" s="388"/>
      <c r="D14" s="407"/>
      <c r="E14" s="395"/>
      <c r="F14" s="395"/>
      <c r="G14" s="396" t="s">
        <v>1589</v>
      </c>
    </row>
    <row r="15" spans="1:9" s="368" customFormat="1" ht="13.5" hidden="1" customHeight="1">
      <c r="A15" s="406" t="s">
        <v>1590</v>
      </c>
      <c r="B15" s="392" t="s">
        <v>1591</v>
      </c>
      <c r="C15" s="397"/>
      <c r="D15" s="407"/>
      <c r="E15" s="395"/>
      <c r="F15" s="395"/>
      <c r="G15" s="396" t="s">
        <v>1592</v>
      </c>
    </row>
    <row r="16" spans="1:9" s="368" customFormat="1" ht="13.5" hidden="1" customHeight="1">
      <c r="A16" s="406" t="s">
        <v>1593</v>
      </c>
      <c r="B16" s="392" t="s">
        <v>1575</v>
      </c>
      <c r="C16" s="397"/>
      <c r="D16" s="407"/>
      <c r="E16" s="395"/>
      <c r="F16" s="395"/>
      <c r="G16" s="396"/>
    </row>
    <row r="17" spans="1:7" s="368" customFormat="1" ht="13.5" hidden="1" customHeight="1">
      <c r="A17" s="406" t="s">
        <v>1594</v>
      </c>
      <c r="B17" s="392" t="s">
        <v>1595</v>
      </c>
      <c r="C17" s="409"/>
      <c r="D17" s="410"/>
      <c r="E17" s="409"/>
      <c r="F17" s="409"/>
      <c r="G17" s="396" t="s">
        <v>1592</v>
      </c>
    </row>
    <row r="18" spans="1:7" s="368" customFormat="1" ht="13.5" hidden="1" customHeight="1">
      <c r="A18" s="406" t="s">
        <v>1596</v>
      </c>
      <c r="B18" s="392" t="s">
        <v>1597</v>
      </c>
      <c r="C18" s="397">
        <v>0</v>
      </c>
      <c r="D18" s="407"/>
      <c r="E18" s="395"/>
      <c r="F18" s="398">
        <v>3.0499999999999999E-2</v>
      </c>
      <c r="G18" s="396" t="s">
        <v>1598</v>
      </c>
    </row>
    <row r="19" spans="1:7" s="369" customFormat="1" ht="13.5" customHeight="1">
      <c r="A19" s="386" t="s">
        <v>1599</v>
      </c>
      <c r="B19" s="387" t="s">
        <v>1600</v>
      </c>
      <c r="C19" s="388" t="str">
        <f>IF(G19="已包含在土地取得成本中","0",ROUND(D19*E19/10000,0))</f>
        <v>0</v>
      </c>
      <c r="D19" s="412" t="e">
        <f ca="1">D9+D10</f>
        <v>#N/A</v>
      </c>
      <c r="E19" s="388">
        <f>'数据-取费表'!B31</f>
        <v>200</v>
      </c>
      <c r="F19" s="413"/>
      <c r="G19" s="2351" t="s">
        <v>1601</v>
      </c>
    </row>
    <row r="20" spans="1:7" s="368" customFormat="1" ht="13.5" customHeight="1">
      <c r="A20" s="386" t="s">
        <v>1602</v>
      </c>
      <c r="B20" s="387" t="s">
        <v>1603</v>
      </c>
      <c r="C20" s="414" t="e">
        <f ca="1">ROUND((C5+C19)*F20,0)</f>
        <v>#N/A</v>
      </c>
      <c r="D20" s="414"/>
      <c r="E20" s="414"/>
      <c r="F20" s="415">
        <f>'数据-取费表'!B37</f>
        <v>0.02</v>
      </c>
      <c r="G20" s="419" t="s">
        <v>1604</v>
      </c>
    </row>
    <row r="21" spans="1:7" s="368" customFormat="1" ht="13.5" customHeight="1">
      <c r="A21" s="386" t="s">
        <v>1605</v>
      </c>
      <c r="B21" s="387" t="s">
        <v>1606</v>
      </c>
      <c r="C21" s="417">
        <f>F21</f>
        <v>0.02</v>
      </c>
      <c r="D21" s="418" t="s">
        <v>1607</v>
      </c>
      <c r="E21" s="414"/>
      <c r="F21" s="415">
        <f>'数据-取费表'!B38</f>
        <v>0.02</v>
      </c>
      <c r="G21" s="419" t="s">
        <v>1608</v>
      </c>
    </row>
    <row r="22" spans="1:7" s="368" customFormat="1" ht="13.5" customHeight="1">
      <c r="A22" s="386" t="s">
        <v>1609</v>
      </c>
      <c r="B22" s="387" t="s">
        <v>1610</v>
      </c>
      <c r="C22" s="420" t="e">
        <f ca="1">ROUND(SUM(C23:C25),0)</f>
        <v>#N/A</v>
      </c>
      <c r="D22" s="417">
        <f ca="1">C26</f>
        <v>6.9999999999999999E-4</v>
      </c>
      <c r="E22" s="418" t="s">
        <v>1607</v>
      </c>
      <c r="F22" s="421">
        <f ca="1">'数据-取费表'!B40</f>
        <v>3.4500000000000003E-2</v>
      </c>
      <c r="G22" s="419" t="str">
        <f>IF('数据-取费表'!B22&lt;=1,"单利计息","复利计息")</f>
        <v>复利计息</v>
      </c>
    </row>
    <row r="23" spans="1:7" s="368" customFormat="1" ht="13.5" customHeight="1">
      <c r="A23" s="422" t="s">
        <v>1570</v>
      </c>
      <c r="B23" s="392" t="s">
        <v>1611</v>
      </c>
      <c r="C23" s="423" t="e">
        <f ca="1">ROUND(IF('数据-取费表'!B22&lt;=1,C5*F22*'数据-取费表'!B23,C5*(POWER((1+F22),'数据-取费表'!B23)-1)),0)</f>
        <v>#N/A</v>
      </c>
      <c r="D23" s="424"/>
      <c r="E23" s="424"/>
      <c r="F23" s="425"/>
      <c r="G23" s="426" t="s">
        <v>1612</v>
      </c>
    </row>
    <row r="24" spans="1:7" s="368" customFormat="1" ht="13.5" customHeight="1">
      <c r="A24" s="422" t="s">
        <v>1572</v>
      </c>
      <c r="B24" s="392" t="s">
        <v>1613</v>
      </c>
      <c r="C24" s="423">
        <f ca="1">ROUND(IF('数据-取费表'!B22&lt;=1,C19*F22*('数据-取费表'!B19/2+'数据-取费表'!B21),C19*(POWER((1+F22),('数据-取费表'!B19/2+'数据-取费表'!B21))-1)),0)</f>
        <v>0</v>
      </c>
      <c r="D24" s="424"/>
      <c r="E24" s="424"/>
      <c r="F24" s="425"/>
      <c r="G24" s="426" t="s">
        <v>1614</v>
      </c>
    </row>
    <row r="25" spans="1:7" s="368" customFormat="1" ht="24">
      <c r="A25" s="422" t="s">
        <v>1574</v>
      </c>
      <c r="B25" s="392" t="s">
        <v>1615</v>
      </c>
      <c r="C25" s="423" t="e">
        <f ca="1">ROUND(IF('数据-取费表'!B22&lt;=1,C20*F22*'数据-取费表'!B23/2,C20*(POWER((1+F22),'数据-取费表'!B23/2)-1)),0)</f>
        <v>#N/A</v>
      </c>
      <c r="D25" s="424"/>
      <c r="E25" s="427"/>
      <c r="F25" s="425"/>
      <c r="G25" s="428" t="s">
        <v>1616</v>
      </c>
    </row>
    <row r="26" spans="1:7" s="368" customFormat="1">
      <c r="A26" s="422" t="s">
        <v>1617</v>
      </c>
      <c r="B26" s="392" t="s">
        <v>1618</v>
      </c>
      <c r="C26" s="424">
        <f ca="1">ROUND(IF('数据-取费表'!B22&lt;=1,F21*F22*'数据-取费表'!B23/2,F21*(POWER((1+F22),'数据-取费表'!B23/2)-1)),4)</f>
        <v>6.9999999999999999E-4</v>
      </c>
      <c r="D26" s="424"/>
      <c r="E26" s="427"/>
      <c r="F26" s="425"/>
      <c r="G26" s="429"/>
    </row>
    <row r="27" spans="1:7" s="368" customFormat="1" ht="24.75">
      <c r="A27" s="386" t="s">
        <v>1619</v>
      </c>
      <c r="B27" s="430" t="s">
        <v>1620</v>
      </c>
      <c r="C27" s="431" t="e">
        <f ca="1">C28</f>
        <v>#N/A</v>
      </c>
      <c r="D27" s="417" t="e">
        <f ca="1">C29</f>
        <v>#N/A</v>
      </c>
      <c r="E27" s="418" t="s">
        <v>1607</v>
      </c>
      <c r="F27" s="432" t="e">
        <f ca="1">IF(B1="",'数据-取费表'!Q16,INDIRECT("'数据-取费表'!q"&amp;$G$1))</f>
        <v>#N/A</v>
      </c>
      <c r="G27" s="433" t="s">
        <v>1621</v>
      </c>
    </row>
    <row r="28" spans="1:7" s="368" customFormat="1" ht="13.5" customHeight="1">
      <c r="A28" s="422" t="s">
        <v>1570</v>
      </c>
      <c r="B28" s="434" t="s">
        <v>1622</v>
      </c>
      <c r="C28" s="435" t="e">
        <f ca="1">ROUND((C5+C19+C20)*F27*'数据-取费表'!B21/'数据-取费表'!B20,0)</f>
        <v>#N/A</v>
      </c>
      <c r="D28" s="417"/>
      <c r="E28" s="418"/>
      <c r="F28" s="432"/>
      <c r="G28" s="433"/>
    </row>
    <row r="29" spans="1:7" s="368" customFormat="1" ht="13.5" customHeight="1">
      <c r="A29" s="422" t="s">
        <v>1572</v>
      </c>
      <c r="B29" s="434" t="s">
        <v>1623</v>
      </c>
      <c r="C29" s="424" t="e">
        <f ca="1">ROUND(C21*F27*'数据-取费表'!B21/'数据-取费表'!B20,4)</f>
        <v>#N/A</v>
      </c>
      <c r="D29" s="417"/>
      <c r="E29" s="418"/>
      <c r="F29" s="432"/>
      <c r="G29" s="433"/>
    </row>
    <row r="30" spans="1:7" s="368" customFormat="1" ht="13.5" customHeight="1">
      <c r="A30" s="386" t="s">
        <v>1624</v>
      </c>
      <c r="B30" s="387" t="s">
        <v>1625</v>
      </c>
      <c r="C30" s="417">
        <f>ROUND(F30/(1+'数据-取费表'!C42),4)</f>
        <v>5.33E-2</v>
      </c>
      <c r="D30" s="418" t="s">
        <v>1607</v>
      </c>
      <c r="E30" s="427"/>
      <c r="F30" s="421">
        <f>'数据-取费表'!B41</f>
        <v>5.6000000000000001E-2</v>
      </c>
      <c r="G30" s="419" t="s">
        <v>1626</v>
      </c>
    </row>
    <row r="31" spans="1:7" ht="16.5" customHeight="1">
      <c r="A31" s="436">
        <v>1</v>
      </c>
      <c r="B31" s="387" t="s">
        <v>1627</v>
      </c>
      <c r="C31" s="388" t="e">
        <f ca="1">ROUND((C5+C19+C20+C22+C27)/(1-C21-D22-D27-C30),0)</f>
        <v>#N/A</v>
      </c>
      <c r="D31" s="437"/>
      <c r="E31" s="388"/>
      <c r="F31" s="438"/>
      <c r="G31" s="419" t="s">
        <v>1628</v>
      </c>
    </row>
    <row r="32" spans="1:7" s="367" customFormat="1" ht="15.75">
      <c r="A32" s="439" t="s">
        <v>1629</v>
      </c>
      <c r="B32" s="440"/>
      <c r="C32" s="440"/>
      <c r="D32" s="440"/>
      <c r="E32" s="440"/>
      <c r="F32" s="440"/>
      <c r="G32" s="441"/>
    </row>
    <row r="33" spans="1:7" s="368" customFormat="1" ht="13.5" customHeight="1">
      <c r="A33" s="386" t="s">
        <v>1566</v>
      </c>
      <c r="B33" s="387" t="s">
        <v>1630</v>
      </c>
      <c r="C33" s="442" t="e">
        <f ca="1">SUM(C34:C38)</f>
        <v>#N/A</v>
      </c>
      <c r="D33" s="414"/>
      <c r="E33" s="389"/>
      <c r="F33" s="427"/>
      <c r="G33" s="419"/>
    </row>
    <row r="34" spans="1:7" s="370" customFormat="1" ht="13.5" customHeight="1">
      <c r="A34" s="422" t="s">
        <v>1570</v>
      </c>
      <c r="B34" s="392" t="s">
        <v>1631</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1632</v>
      </c>
    </row>
    <row r="35" spans="1:7" ht="13.5" customHeight="1">
      <c r="A35" s="422" t="s">
        <v>1572</v>
      </c>
      <c r="B35" s="392" t="s">
        <v>1633</v>
      </c>
      <c r="C35" s="397" t="e">
        <f ca="1">ROUND(C34*F35,0)</f>
        <v>#N/A</v>
      </c>
      <c r="D35" s="397"/>
      <c r="E35" s="397"/>
      <c r="F35" s="444">
        <f>'数据-取费表'!B33</f>
        <v>0.05</v>
      </c>
      <c r="G35" s="396" t="s">
        <v>1634</v>
      </c>
    </row>
    <row r="36" spans="1:7" ht="24">
      <c r="A36" s="422" t="s">
        <v>1574</v>
      </c>
      <c r="B36" s="392" t="s">
        <v>1635</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1636</v>
      </c>
    </row>
    <row r="37" spans="1:7" s="370" customFormat="1" ht="13.5" customHeight="1">
      <c r="A37" s="422" t="s">
        <v>1617</v>
      </c>
      <c r="B37" s="392" t="s">
        <v>1637</v>
      </c>
      <c r="C37" s="435" t="e">
        <f ca="1">ROUND(E37*D37*F34/10000,0)</f>
        <v>#N/A</v>
      </c>
      <c r="D37" s="394" t="e">
        <f ca="1">D19</f>
        <v>#N/A</v>
      </c>
      <c r="E37" s="435">
        <f>'数据-取费表'!B35</f>
        <v>200</v>
      </c>
      <c r="F37" s="444"/>
      <c r="G37" s="446" t="s">
        <v>1638</v>
      </c>
    </row>
    <row r="38" spans="1:7" ht="13.5" customHeight="1">
      <c r="A38" s="422" t="s">
        <v>1639</v>
      </c>
      <c r="B38" s="392" t="s">
        <v>1501</v>
      </c>
      <c r="C38" s="397" t="e">
        <f ca="1">ROUND(C34*F38,0)</f>
        <v>#N/A</v>
      </c>
      <c r="D38" s="397"/>
      <c r="E38" s="397"/>
      <c r="F38" s="444">
        <f>'数据-取费表'!B36</f>
        <v>1.4999999999999999E-2</v>
      </c>
      <c r="G38" s="396" t="s">
        <v>1634</v>
      </c>
    </row>
    <row r="39" spans="1:7" s="368" customFormat="1" ht="13.5" customHeight="1">
      <c r="A39" s="386" t="s">
        <v>1599</v>
      </c>
      <c r="B39" s="387" t="s">
        <v>1603</v>
      </c>
      <c r="C39" s="414" t="e">
        <f ca="1">ROUND(C33*F20,0)</f>
        <v>#N/A</v>
      </c>
      <c r="D39" s="414"/>
      <c r="E39" s="414"/>
      <c r="F39" s="415">
        <f>F20</f>
        <v>0.02</v>
      </c>
      <c r="G39" s="419" t="s">
        <v>1640</v>
      </c>
    </row>
    <row r="40" spans="1:7" s="368" customFormat="1" ht="13.5" customHeight="1">
      <c r="A40" s="386" t="s">
        <v>1602</v>
      </c>
      <c r="B40" s="387" t="s">
        <v>1606</v>
      </c>
      <c r="C40" s="2354">
        <f>F21</f>
        <v>0.02</v>
      </c>
      <c r="D40" s="418" t="s">
        <v>1641</v>
      </c>
      <c r="E40" s="414"/>
      <c r="F40" s="415">
        <f>F21</f>
        <v>0.02</v>
      </c>
      <c r="G40" s="419" t="s">
        <v>1642</v>
      </c>
    </row>
    <row r="41" spans="1:7" s="368" customFormat="1" ht="13.5" customHeight="1">
      <c r="A41" s="386" t="s">
        <v>1605</v>
      </c>
      <c r="B41" s="387" t="s">
        <v>1610</v>
      </c>
      <c r="C41" s="414" t="e">
        <f ca="1">ROUND(SUM(C42:C43),0)</f>
        <v>#N/A</v>
      </c>
      <c r="D41" s="417">
        <f ca="1">C44</f>
        <v>6.9999999999999999E-4</v>
      </c>
      <c r="E41" s="418" t="s">
        <v>1641</v>
      </c>
      <c r="F41" s="421">
        <f ca="1">F22</f>
        <v>3.4500000000000003E-2</v>
      </c>
      <c r="G41" s="419" t="str">
        <f>IF('数据-取费表'!B22&lt;=1,"单利计息","复利计息")</f>
        <v>复利计息</v>
      </c>
    </row>
    <row r="42" spans="1:7" ht="13.5" customHeight="1">
      <c r="A42" s="422" t="s">
        <v>1570</v>
      </c>
      <c r="B42" s="392" t="s">
        <v>1611</v>
      </c>
      <c r="C42" s="424" t="e">
        <f ca="1">ROUND(IF('数据-取费表'!B22&lt;=1,C33*F22*'数据-取费表'!B21/2,C33*(POWER((1+F22),'数据-取费表'!B21/2)-1)),0)</f>
        <v>#N/A</v>
      </c>
      <c r="D42" s="424"/>
      <c r="E42" s="424"/>
      <c r="F42" s="425"/>
      <c r="G42" s="3783" t="s">
        <v>1643</v>
      </c>
    </row>
    <row r="43" spans="1:7" ht="13.5" customHeight="1">
      <c r="A43" s="422" t="s">
        <v>1572</v>
      </c>
      <c r="B43" s="392" t="s">
        <v>1613</v>
      </c>
      <c r="C43" s="424" t="e">
        <f ca="1">ROUND(IF('数据-取费表'!B22&lt;=1,C39*F22*'数据-取费表'!B21/2,C39*(POWER((1+F22),'数据-取费表'!B21/2)-1)),0)</f>
        <v>#N/A</v>
      </c>
      <c r="D43" s="424"/>
      <c r="E43" s="424"/>
      <c r="F43" s="425"/>
      <c r="G43" s="3784"/>
    </row>
    <row r="44" spans="1:7" ht="13.5" customHeight="1">
      <c r="A44" s="422" t="s">
        <v>1574</v>
      </c>
      <c r="B44" s="392" t="s">
        <v>1615</v>
      </c>
      <c r="C44" s="424">
        <f ca="1">ROUND(IF('数据-取费表'!B22&lt;=1,C40*F22*'数据-取费表'!B21/2,C40*(POWER((1+F22),'数据-取费表'!B21/2)-1)),4)</f>
        <v>6.9999999999999999E-4</v>
      </c>
      <c r="D44" s="424"/>
      <c r="E44" s="424"/>
      <c r="F44" s="425"/>
      <c r="G44" s="3785"/>
    </row>
    <row r="45" spans="1:7" s="368" customFormat="1" ht="13.5" customHeight="1">
      <c r="A45" s="386" t="s">
        <v>1609</v>
      </c>
      <c r="B45" s="430" t="s">
        <v>1620</v>
      </c>
      <c r="C45" s="431" t="e">
        <f ca="1">C46</f>
        <v>#N/A</v>
      </c>
      <c r="D45" s="417" t="e">
        <f ca="1">C47</f>
        <v>#N/A</v>
      </c>
      <c r="E45" s="418" t="s">
        <v>1641</v>
      </c>
      <c r="F45" s="432" t="e">
        <f ca="1">F27</f>
        <v>#N/A</v>
      </c>
      <c r="G45" s="433" t="s">
        <v>1644</v>
      </c>
    </row>
    <row r="46" spans="1:7" s="368" customFormat="1" ht="13.5" customHeight="1">
      <c r="A46" s="422" t="s">
        <v>1570</v>
      </c>
      <c r="B46" s="434" t="s">
        <v>1645</v>
      </c>
      <c r="C46" s="435" t="e">
        <f ca="1">ROUND((C33+C39)*F27,0)</f>
        <v>#N/A</v>
      </c>
      <c r="D46" s="448"/>
      <c r="E46" s="418"/>
      <c r="F46" s="432"/>
      <c r="G46" s="433"/>
    </row>
    <row r="47" spans="1:7" s="368" customFormat="1" ht="13.5" customHeight="1">
      <c r="A47" s="422" t="s">
        <v>1572</v>
      </c>
      <c r="B47" s="434" t="s">
        <v>1646</v>
      </c>
      <c r="C47" s="424" t="e">
        <f ca="1">ROUND(C40*F27,4)</f>
        <v>#N/A</v>
      </c>
      <c r="D47" s="448"/>
      <c r="E47" s="418"/>
      <c r="F47" s="432"/>
      <c r="G47" s="433"/>
    </row>
    <row r="48" spans="1:7" s="368" customFormat="1" ht="13.5" customHeight="1">
      <c r="A48" s="386" t="s">
        <v>1619</v>
      </c>
      <c r="B48" s="387" t="s">
        <v>1625</v>
      </c>
      <c r="C48" s="2354">
        <f>ROUND(F30/(1+'数据-取费表'!C42),4)</f>
        <v>5.33E-2</v>
      </c>
      <c r="D48" s="418" t="s">
        <v>1641</v>
      </c>
      <c r="E48" s="414"/>
      <c r="F48" s="421">
        <f>F30</f>
        <v>5.6000000000000001E-2</v>
      </c>
      <c r="G48" s="419" t="s">
        <v>1647</v>
      </c>
    </row>
    <row r="49" spans="1:7" ht="16.5" customHeight="1">
      <c r="A49" s="386" t="s">
        <v>1624</v>
      </c>
      <c r="B49" s="387" t="s">
        <v>1648</v>
      </c>
      <c r="C49" s="414" t="e">
        <f ca="1">ROUND((C33+C39+C41+C45)/(1-C40-D41-D45-C48),0)</f>
        <v>#N/A</v>
      </c>
      <c r="D49" s="414"/>
      <c r="E49" s="414"/>
      <c r="F49" s="449"/>
      <c r="G49" s="419" t="s">
        <v>1649</v>
      </c>
    </row>
    <row r="50" spans="1:7" s="370" customFormat="1" ht="24">
      <c r="A50" s="386" t="s">
        <v>1650</v>
      </c>
      <c r="B50" s="387" t="s">
        <v>1651</v>
      </c>
      <c r="C50" s="414"/>
      <c r="D50" s="414"/>
      <c r="E50" s="414"/>
      <c r="F50" s="449">
        <f>IF('数据-取费表'!B24=0,'数据-取费表'!N16,1)</f>
        <v>0.82</v>
      </c>
      <c r="G50" s="433" t="s">
        <v>1652</v>
      </c>
    </row>
    <row r="51" spans="1:7" ht="16.5" customHeight="1">
      <c r="A51" s="386" t="s">
        <v>1653</v>
      </c>
      <c r="B51" s="387" t="s">
        <v>1654</v>
      </c>
      <c r="C51" s="414" t="e">
        <f ca="1">ROUND(C49*F50,0)</f>
        <v>#N/A</v>
      </c>
      <c r="D51" s="414"/>
      <c r="E51" s="414"/>
      <c r="F51" s="449"/>
      <c r="G51" s="419" t="s">
        <v>1655</v>
      </c>
    </row>
    <row r="52" spans="1:7" s="367" customFormat="1" ht="15.75">
      <c r="A52" s="450" t="s">
        <v>1656</v>
      </c>
      <c r="B52" s="451"/>
      <c r="C52" s="452" t="e">
        <f ca="1">C31+C51</f>
        <v>#N/A</v>
      </c>
      <c r="D52" s="451"/>
      <c r="E52" s="451"/>
      <c r="F52" s="451"/>
      <c r="G52" s="453"/>
    </row>
    <row r="55" spans="1:7" ht="15">
      <c r="B55" s="454" t="s">
        <v>1657</v>
      </c>
      <c r="C55" s="455"/>
    </row>
    <row r="56" spans="1:7">
      <c r="B56" s="456" t="s">
        <v>1658</v>
      </c>
      <c r="C56" s="458" t="e">
        <f ca="1">1-C57</f>
        <v>#N/A</v>
      </c>
    </row>
    <row r="57" spans="1:7">
      <c r="B57" s="456" t="s">
        <v>1659</v>
      </c>
      <c r="C57" s="457" t="e">
        <f ca="1">ROUND(C51/C52,3)</f>
        <v>#N/A</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1560</v>
      </c>
      <c r="B1" s="2343"/>
      <c r="C1" s="2344" t="s">
        <v>1660</v>
      </c>
      <c r="D1" s="376"/>
      <c r="E1" s="376"/>
      <c r="F1" s="376"/>
      <c r="G1" s="2345">
        <f>MATCH(B1,'数据-取费表'!A6:A16,0)+5</f>
        <v>7</v>
      </c>
      <c r="H1" s="1711" t="str">
        <f>IF(ISERROR(FIND("住宅",B1)),"非住宅","住宅")</f>
        <v>非住宅</v>
      </c>
    </row>
    <row r="2" spans="1:8" s="366" customFormat="1" ht="18" customHeight="1">
      <c r="A2" s="378" t="s">
        <v>1561</v>
      </c>
      <c r="B2" s="2346">
        <f ca="1">ROUND(IF(D2="——",C52/10000,C52/10000-E2),4)</f>
        <v>22.9603</v>
      </c>
      <c r="C2" s="377" t="s">
        <v>1562</v>
      </c>
      <c r="D2" s="2347" t="s">
        <v>124</v>
      </c>
      <c r="E2" s="2348" t="e">
        <f ca="1">SUMIF(INDIRECT("'"&amp;G2&amp;"'"&amp;"!A:A"),"承租人权益价值",INDIRECT("'"&amp;G2&amp;"'"&amp;"!c:c"))</f>
        <v>#REF!</v>
      </c>
      <c r="F2" s="2349" t="s">
        <v>1562</v>
      </c>
      <c r="G2" s="2350"/>
    </row>
    <row r="3" spans="1:8" s="366" customFormat="1" ht="18" customHeight="1">
      <c r="A3" s="381" t="s">
        <v>1563</v>
      </c>
      <c r="B3" s="382">
        <f ca="1">ROUND(B2*10000/(IF(B1="",'数据-汇总表'!E3,INDIRECT("'数据-取费表'!k"&amp;$G$1))),0)</f>
        <v>5898</v>
      </c>
      <c r="C3" s="377" t="s">
        <v>1564</v>
      </c>
      <c r="D3" s="377"/>
      <c r="E3" s="377"/>
      <c r="F3" s="377"/>
      <c r="G3" s="377"/>
    </row>
    <row r="4" spans="1:8" s="367" customFormat="1" ht="15.75">
      <c r="A4" s="383" t="s">
        <v>1565</v>
      </c>
      <c r="B4" s="384"/>
      <c r="C4" s="384"/>
      <c r="D4" s="384"/>
      <c r="E4" s="384"/>
      <c r="F4" s="384"/>
      <c r="G4" s="385"/>
    </row>
    <row r="5" spans="1:8" s="368" customFormat="1" ht="13.5" customHeight="1">
      <c r="A5" s="386" t="s">
        <v>1566</v>
      </c>
      <c r="B5" s="387" t="s">
        <v>1567</v>
      </c>
      <c r="C5" s="388">
        <f ca="1">C6+C7+C8</f>
        <v>7786</v>
      </c>
      <c r="D5" s="388" t="s">
        <v>1568</v>
      </c>
      <c r="E5" s="389" t="s">
        <v>1569</v>
      </c>
      <c r="F5" s="389" t="s">
        <v>1465</v>
      </c>
      <c r="G5" s="390"/>
    </row>
    <row r="6" spans="1:8" s="368" customFormat="1" ht="13.5" customHeight="1">
      <c r="A6" s="391" t="s">
        <v>1570</v>
      </c>
      <c r="B6" s="392" t="s">
        <v>1571</v>
      </c>
      <c r="C6" s="393"/>
      <c r="D6" s="394"/>
      <c r="E6" s="395"/>
      <c r="F6" s="395"/>
      <c r="G6" s="396"/>
    </row>
    <row r="7" spans="1:8" s="368" customFormat="1" ht="13.5" customHeight="1">
      <c r="A7" s="391" t="s">
        <v>1572</v>
      </c>
      <c r="B7" s="392" t="s">
        <v>1573</v>
      </c>
      <c r="C7" s="397">
        <f>ROUND(C6*F7,0)</f>
        <v>0</v>
      </c>
      <c r="D7" s="397"/>
      <c r="E7" s="395"/>
      <c r="F7" s="398">
        <f>IF(项目基本情况!B8="出让",0,'数据-取费表'!B48+'数据-取费表'!B49)</f>
        <v>3.0499999999999999E-2</v>
      </c>
      <c r="G7" s="396"/>
    </row>
    <row r="8" spans="1:8" s="369" customFormat="1">
      <c r="A8" s="391" t="s">
        <v>1574</v>
      </c>
      <c r="B8" s="392" t="s">
        <v>1575</v>
      </c>
      <c r="C8" s="397">
        <f ca="1">IF(G8="已包含在土地购买价格中",0,C9+C10)</f>
        <v>7786</v>
      </c>
      <c r="D8" s="399"/>
      <c r="E8" s="397"/>
      <c r="F8" s="398"/>
      <c r="G8" s="2351"/>
    </row>
    <row r="9" spans="1:8" s="368" customFormat="1" ht="13.5" customHeight="1">
      <c r="A9" s="401" t="s">
        <v>1577</v>
      </c>
      <c r="B9" s="402" t="s">
        <v>1578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1581</v>
      </c>
      <c r="B10" s="402" t="s">
        <v>1582</v>
      </c>
      <c r="C10" s="403">
        <f ca="1">ROUND(D10*E10,0)</f>
        <v>7786</v>
      </c>
      <c r="D10" s="404">
        <f ca="1">IF(B1="",'数据-汇总表'!E6,IF(INDIRECT("'数据-取费表'!c"&amp;$G$1)="住宅",INDIRECT("'数据-取费表'!s"&amp;$G$1),INDIRECT("'数据-取费表'!k"&amp;$G$1)+INDIRECT("'数据-取费表'!s"&amp;$G$1)))</f>
        <v>38.93</v>
      </c>
      <c r="E10" s="403">
        <f>'数据-取费表'!B28</f>
        <v>200</v>
      </c>
      <c r="F10" s="398"/>
      <c r="G10" s="405"/>
    </row>
    <row r="11" spans="1:8" s="368" customFormat="1" ht="13.5" hidden="1" customHeight="1">
      <c r="A11" s="406" t="s">
        <v>1583</v>
      </c>
      <c r="B11" s="392" t="s">
        <v>1584</v>
      </c>
      <c r="C11" s="388"/>
      <c r="D11" s="407"/>
      <c r="E11" s="395"/>
      <c r="F11" s="395"/>
      <c r="G11" s="396"/>
    </row>
    <row r="12" spans="1:8" s="368" customFormat="1" ht="13.5" hidden="1" customHeight="1">
      <c r="A12" s="406" t="s">
        <v>1585</v>
      </c>
      <c r="B12" s="392" t="s">
        <v>1501</v>
      </c>
      <c r="C12" s="388">
        <v>0</v>
      </c>
      <c r="D12" s="407"/>
      <c r="E12" s="408"/>
      <c r="F12" s="398">
        <v>3.0499999999999999E-2</v>
      </c>
      <c r="G12" s="396"/>
    </row>
    <row r="13" spans="1:8" s="368" customFormat="1" ht="13.5" hidden="1" customHeight="1">
      <c r="A13" s="406" t="s">
        <v>1586</v>
      </c>
      <c r="B13" s="392" t="s">
        <v>1587</v>
      </c>
      <c r="C13" s="388"/>
      <c r="D13" s="407"/>
      <c r="E13" s="395"/>
      <c r="F13" s="395"/>
      <c r="G13" s="396"/>
    </row>
    <row r="14" spans="1:8" s="368" customFormat="1" ht="13.5" hidden="1" customHeight="1">
      <c r="A14" s="406" t="s">
        <v>1588</v>
      </c>
      <c r="B14" s="392" t="s">
        <v>1575</v>
      </c>
      <c r="C14" s="388"/>
      <c r="D14" s="407"/>
      <c r="E14" s="395"/>
      <c r="F14" s="395"/>
      <c r="G14" s="396" t="s">
        <v>1589</v>
      </c>
    </row>
    <row r="15" spans="1:8" s="368" customFormat="1" ht="13.5" hidden="1" customHeight="1">
      <c r="A15" s="406" t="s">
        <v>1590</v>
      </c>
      <c r="B15" s="392" t="s">
        <v>1591</v>
      </c>
      <c r="C15" s="397"/>
      <c r="D15" s="407"/>
      <c r="E15" s="395"/>
      <c r="F15" s="395"/>
      <c r="G15" s="396" t="s">
        <v>1592</v>
      </c>
    </row>
    <row r="16" spans="1:8" s="368" customFormat="1" ht="13.5" hidden="1" customHeight="1">
      <c r="A16" s="406" t="s">
        <v>1593</v>
      </c>
      <c r="B16" s="392" t="s">
        <v>1575</v>
      </c>
      <c r="C16" s="397"/>
      <c r="D16" s="407"/>
      <c r="E16" s="395"/>
      <c r="F16" s="395"/>
      <c r="G16" s="396"/>
    </row>
    <row r="17" spans="1:7" s="368" customFormat="1" ht="13.5" hidden="1" customHeight="1">
      <c r="A17" s="406" t="s">
        <v>1594</v>
      </c>
      <c r="B17" s="392" t="s">
        <v>1595</v>
      </c>
      <c r="C17" s="409"/>
      <c r="D17" s="410"/>
      <c r="E17" s="409"/>
      <c r="F17" s="409"/>
      <c r="G17" s="396" t="s">
        <v>1592</v>
      </c>
    </row>
    <row r="18" spans="1:7" s="368" customFormat="1" ht="13.5" hidden="1" customHeight="1">
      <c r="A18" s="406" t="s">
        <v>1596</v>
      </c>
      <c r="B18" s="392" t="s">
        <v>1597</v>
      </c>
      <c r="C18" s="397">
        <v>0</v>
      </c>
      <c r="D18" s="407"/>
      <c r="E18" s="395"/>
      <c r="F18" s="398">
        <v>3.0499999999999999E-2</v>
      </c>
      <c r="G18" s="396" t="s">
        <v>1598</v>
      </c>
    </row>
    <row r="19" spans="1:7" s="369" customFormat="1" ht="13.5" customHeight="1">
      <c r="A19" s="386" t="s">
        <v>1599</v>
      </c>
      <c r="B19" s="387" t="s">
        <v>1600</v>
      </c>
      <c r="C19" s="388">
        <f ca="1">IF(G19="已包含在土地取得成本中","0",ROUND(D19*E19,0))</f>
        <v>7786</v>
      </c>
      <c r="D19" s="412">
        <f ca="1">D9+D10</f>
        <v>38.93</v>
      </c>
      <c r="E19" s="388">
        <f>'数据-取费表'!B31</f>
        <v>200</v>
      </c>
      <c r="F19" s="413"/>
      <c r="G19" s="2351"/>
    </row>
    <row r="20" spans="1:7" s="368" customFormat="1" ht="13.5" customHeight="1">
      <c r="A20" s="386" t="s">
        <v>1602</v>
      </c>
      <c r="B20" s="387" t="s">
        <v>1603</v>
      </c>
      <c r="C20" s="414">
        <f ca="1">ROUND((C5+C19)*F20,0)</f>
        <v>311</v>
      </c>
      <c r="D20" s="414"/>
      <c r="E20" s="414"/>
      <c r="F20" s="415">
        <f>'数据-取费表'!B37</f>
        <v>0.02</v>
      </c>
      <c r="G20" s="419" t="s">
        <v>1604</v>
      </c>
    </row>
    <row r="21" spans="1:7" s="368" customFormat="1" ht="13.5" customHeight="1">
      <c r="A21" s="386" t="s">
        <v>1605</v>
      </c>
      <c r="B21" s="387" t="s">
        <v>1606</v>
      </c>
      <c r="C21" s="417">
        <f>F21</f>
        <v>0.02</v>
      </c>
      <c r="D21" s="418" t="s">
        <v>1607</v>
      </c>
      <c r="E21" s="414"/>
      <c r="F21" s="415">
        <f>'数据-取费表'!B38</f>
        <v>0.02</v>
      </c>
      <c r="G21" s="419" t="s">
        <v>1608</v>
      </c>
    </row>
    <row r="22" spans="1:7" s="368" customFormat="1" ht="13.5" customHeight="1">
      <c r="A22" s="386" t="s">
        <v>1609</v>
      </c>
      <c r="B22" s="387" t="s">
        <v>1610</v>
      </c>
      <c r="C22" s="2352">
        <f ca="1">ROUND(SUM(C23:C25),0)</f>
        <v>1105</v>
      </c>
      <c r="D22" s="417">
        <f ca="1">C26</f>
        <v>6.9999999999999999E-4</v>
      </c>
      <c r="E22" s="418" t="s">
        <v>1607</v>
      </c>
      <c r="F22" s="421">
        <f ca="1">'数据-取费表'!B40</f>
        <v>3.4500000000000003E-2</v>
      </c>
      <c r="G22" s="419" t="str">
        <f>IF('数据-取费表'!B22&lt;=1,"单利计息","复利计息")</f>
        <v>复利计息</v>
      </c>
    </row>
    <row r="23" spans="1:7" s="368" customFormat="1" ht="13.5" customHeight="1">
      <c r="A23" s="422" t="s">
        <v>1570</v>
      </c>
      <c r="B23" s="392" t="s">
        <v>1611</v>
      </c>
      <c r="C23" s="2353">
        <f ca="1">ROUND(IF('数据-取费表'!B22&lt;=1,C5*F22*'数据-取费表'!B22,C5*(POWER((1+F22),'数据-取费表'!B22)-1)),0)</f>
        <v>547</v>
      </c>
      <c r="D23" s="424"/>
      <c r="E23" s="424"/>
      <c r="F23" s="425"/>
      <c r="G23" s="426" t="s">
        <v>1612</v>
      </c>
    </row>
    <row r="24" spans="1:7" s="368" customFormat="1" ht="13.5" customHeight="1">
      <c r="A24" s="422" t="s">
        <v>1572</v>
      </c>
      <c r="B24" s="392" t="s">
        <v>1613</v>
      </c>
      <c r="C24" s="2353">
        <f ca="1">ROUND(IF('数据-取费表'!B22&lt;=1,C19*F22*('数据-取费表'!B19/2+'数据-取费表'!B20),C19*(POWER((1+F22),('数据-取费表'!B19/2+'数据-取费表'!B20))-1)),0)</f>
        <v>547</v>
      </c>
      <c r="D24" s="424"/>
      <c r="E24" s="424"/>
      <c r="F24" s="425"/>
      <c r="G24" s="426" t="s">
        <v>1614</v>
      </c>
    </row>
    <row r="25" spans="1:7" s="368" customFormat="1" ht="24">
      <c r="A25" s="422" t="s">
        <v>1574</v>
      </c>
      <c r="B25" s="392" t="s">
        <v>1615</v>
      </c>
      <c r="C25" s="2353">
        <f ca="1">ROUND(IF('数据-取费表'!B22&lt;=1,C20*F22*'数据-取费表'!B22/2,C20*(POWER((1+F22),'数据-取费表'!B22/2)-1)),0)</f>
        <v>11</v>
      </c>
      <c r="D25" s="424"/>
      <c r="E25" s="427"/>
      <c r="F25" s="425"/>
      <c r="G25" s="428" t="s">
        <v>1616</v>
      </c>
    </row>
    <row r="26" spans="1:7" s="368" customFormat="1">
      <c r="A26" s="422" t="s">
        <v>1617</v>
      </c>
      <c r="B26" s="392" t="s">
        <v>1618</v>
      </c>
      <c r="C26" s="424">
        <f ca="1">ROUND(IF('数据-取费表'!B22&lt;=1,F21*F22*'数据-取费表'!B22/2,F21*(POWER((1+F22),'数据-取费表'!B22/2)-1)),4)</f>
        <v>6.9999999999999999E-4</v>
      </c>
      <c r="D26" s="424"/>
      <c r="E26" s="427"/>
      <c r="F26" s="425"/>
      <c r="G26" s="429"/>
    </row>
    <row r="27" spans="1:7" s="368" customFormat="1" ht="24.75">
      <c r="A27" s="386" t="s">
        <v>1619</v>
      </c>
      <c r="B27" s="430" t="s">
        <v>1620</v>
      </c>
      <c r="C27" s="431">
        <f ca="1">C28</f>
        <v>2382</v>
      </c>
      <c r="D27" s="417">
        <f ca="1">C29</f>
        <v>3.0000000000000001E-3</v>
      </c>
      <c r="E27" s="418" t="s">
        <v>1607</v>
      </c>
      <c r="F27" s="432">
        <f ca="1">IF(B1="",'数据-取费表'!Q16,INDIRECT("'数据-取费表'!q"&amp;$G$1))</f>
        <v>0.15</v>
      </c>
      <c r="G27" s="433" t="s">
        <v>1621</v>
      </c>
    </row>
    <row r="28" spans="1:7" s="368" customFormat="1" ht="13.5" customHeight="1">
      <c r="A28" s="422" t="s">
        <v>1570</v>
      </c>
      <c r="B28" s="434" t="s">
        <v>1622</v>
      </c>
      <c r="C28" s="435">
        <f ca="1">ROUND((C5+C19+C20)*F27,0)</f>
        <v>2382</v>
      </c>
      <c r="D28" s="417"/>
      <c r="E28" s="418"/>
      <c r="F28" s="432"/>
      <c r="G28" s="433"/>
    </row>
    <row r="29" spans="1:7" s="368" customFormat="1" ht="13.5" customHeight="1">
      <c r="A29" s="422" t="s">
        <v>1572</v>
      </c>
      <c r="B29" s="434" t="s">
        <v>1623</v>
      </c>
      <c r="C29" s="424">
        <f ca="1">ROUND(C21*F27,4)</f>
        <v>3.0000000000000001E-3</v>
      </c>
      <c r="D29" s="417"/>
      <c r="E29" s="418"/>
      <c r="F29" s="432"/>
      <c r="G29" s="433"/>
    </row>
    <row r="30" spans="1:7" s="368" customFormat="1" ht="13.5" customHeight="1">
      <c r="A30" s="386" t="s">
        <v>1624</v>
      </c>
      <c r="B30" s="387" t="s">
        <v>1625</v>
      </c>
      <c r="C30" s="417">
        <f>ROUND(F30/(1+'数据-取费表'!C42),4)</f>
        <v>5.33E-2</v>
      </c>
      <c r="D30" s="418" t="s">
        <v>1607</v>
      </c>
      <c r="E30" s="427"/>
      <c r="F30" s="421">
        <f>'数据-取费表'!B41</f>
        <v>5.6000000000000001E-2</v>
      </c>
      <c r="G30" s="419" t="s">
        <v>1626</v>
      </c>
    </row>
    <row r="31" spans="1:7" ht="16.5" customHeight="1">
      <c r="A31" s="436">
        <v>1</v>
      </c>
      <c r="B31" s="387" t="s">
        <v>1627</v>
      </c>
      <c r="C31" s="388">
        <f ca="1">ROUND((C5+C19+C20+C22+C27)/(1-C21-D22-D27-C30),0)</f>
        <v>20986</v>
      </c>
      <c r="D31" s="437"/>
      <c r="E31" s="388"/>
      <c r="F31" s="438"/>
      <c r="G31" s="419" t="s">
        <v>1628</v>
      </c>
    </row>
    <row r="32" spans="1:7" s="367" customFormat="1" ht="15.75">
      <c r="A32" s="439" t="s">
        <v>1661</v>
      </c>
      <c r="B32" s="440"/>
      <c r="C32" s="440"/>
      <c r="D32" s="440"/>
      <c r="E32" s="440"/>
      <c r="F32" s="440"/>
      <c r="G32" s="441"/>
    </row>
    <row r="33" spans="1:7" s="368" customFormat="1" ht="13.5" customHeight="1">
      <c r="A33" s="386" t="s">
        <v>1566</v>
      </c>
      <c r="B33" s="387" t="s">
        <v>1662</v>
      </c>
      <c r="C33" s="442">
        <f ca="1">SUM(C34:C38)</f>
        <v>194358</v>
      </c>
      <c r="D33" s="414"/>
      <c r="E33" s="389"/>
      <c r="F33" s="427"/>
      <c r="G33" s="419"/>
    </row>
    <row r="34" spans="1:7" s="370" customFormat="1" ht="13.5" customHeight="1">
      <c r="A34" s="422" t="s">
        <v>1570</v>
      </c>
      <c r="B34" s="392" t="s">
        <v>1631</v>
      </c>
      <c r="C34" s="397">
        <f ca="1">ROUND(IF(B1="",SUMPRODUCT('数据-取费表'!K6:K14,'数据-取费表'!L6:L14),INDIRECT("'数据-取费表'!l"&amp;$G$1)*INDIRECT("'数据-取费表'!k"&amp;$G$1)+'数据-取费表'!L14*INDIRECT("'数据-取费表'!S"&amp;$G$1)),0)</f>
        <v>175185</v>
      </c>
      <c r="D34" s="394"/>
      <c r="E34" s="397"/>
      <c r="F34" s="443"/>
      <c r="G34" s="396"/>
    </row>
    <row r="35" spans="1:7" ht="13.5" customHeight="1">
      <c r="A35" s="422" t="s">
        <v>1572</v>
      </c>
      <c r="B35" s="392" t="s">
        <v>1633</v>
      </c>
      <c r="C35" s="397">
        <f ca="1">ROUND(C34*F35,0)</f>
        <v>8759</v>
      </c>
      <c r="D35" s="397"/>
      <c r="E35" s="397"/>
      <c r="F35" s="444">
        <f>'数据-取费表'!B33</f>
        <v>0.05</v>
      </c>
      <c r="G35" s="396" t="s">
        <v>1634</v>
      </c>
    </row>
    <row r="36" spans="1:7" ht="24">
      <c r="A36" s="422" t="s">
        <v>1574</v>
      </c>
      <c r="B36" s="392" t="s">
        <v>1635</v>
      </c>
      <c r="C36" s="397">
        <f ca="1">ROUND(IF(B1="",SUM('数据-取费表'!AP6:AP13)*F36,IF(INDIRECT("'数据-取费表'!c"&amp;$G$1)="住宅",INDIRECT("'数据-取费表'!k"&amp;$G$1)*INDIRECT("'数据-取费表'!l"&amp;$G$1)*F36,0)),0)</f>
        <v>0</v>
      </c>
      <c r="D36" s="397"/>
      <c r="E36" s="397"/>
      <c r="F36" s="444">
        <f>'数据-取费表'!B34</f>
        <v>0</v>
      </c>
      <c r="G36" s="445" t="s">
        <v>1636</v>
      </c>
    </row>
    <row r="37" spans="1:7" s="370" customFormat="1" ht="13.5" customHeight="1">
      <c r="A37" s="422" t="s">
        <v>1617</v>
      </c>
      <c r="B37" s="392" t="s">
        <v>1637</v>
      </c>
      <c r="C37" s="435">
        <f ca="1">ROUND(E37*D37,0)</f>
        <v>7786</v>
      </c>
      <c r="D37" s="394">
        <f ca="1">D19</f>
        <v>38.93</v>
      </c>
      <c r="E37" s="435">
        <f>'数据-取费表'!B35</f>
        <v>200</v>
      </c>
      <c r="F37" s="444"/>
      <c r="G37" s="446"/>
    </row>
    <row r="38" spans="1:7" ht="13.5" customHeight="1">
      <c r="A38" s="422" t="s">
        <v>1639</v>
      </c>
      <c r="B38" s="392" t="s">
        <v>1501</v>
      </c>
      <c r="C38" s="397">
        <f ca="1">ROUND(C34*F38,0)</f>
        <v>2628</v>
      </c>
      <c r="D38" s="397"/>
      <c r="E38" s="397"/>
      <c r="F38" s="444">
        <f>'数据-取费表'!B36</f>
        <v>1.4999999999999999E-2</v>
      </c>
      <c r="G38" s="396" t="s">
        <v>1634</v>
      </c>
    </row>
    <row r="39" spans="1:7" s="368" customFormat="1" ht="13.5" customHeight="1">
      <c r="A39" s="386" t="s">
        <v>1599</v>
      </c>
      <c r="B39" s="387" t="s">
        <v>1603</v>
      </c>
      <c r="C39" s="414">
        <f ca="1">ROUND(C33*F20,0)</f>
        <v>3887</v>
      </c>
      <c r="D39" s="414"/>
      <c r="E39" s="414"/>
      <c r="F39" s="415">
        <f>F20</f>
        <v>0.02</v>
      </c>
      <c r="G39" s="419" t="s">
        <v>1640</v>
      </c>
    </row>
    <row r="40" spans="1:7" s="368" customFormat="1" ht="13.5" customHeight="1">
      <c r="A40" s="386" t="s">
        <v>1602</v>
      </c>
      <c r="B40" s="387" t="s">
        <v>1606</v>
      </c>
      <c r="C40" s="2354">
        <f>F21</f>
        <v>0.02</v>
      </c>
      <c r="D40" s="418" t="s">
        <v>1641</v>
      </c>
      <c r="E40" s="414"/>
      <c r="F40" s="415">
        <f>F21</f>
        <v>0.02</v>
      </c>
      <c r="G40" s="419" t="s">
        <v>1642</v>
      </c>
    </row>
    <row r="41" spans="1:7" s="368" customFormat="1" ht="13.5" customHeight="1">
      <c r="A41" s="386" t="s">
        <v>1605</v>
      </c>
      <c r="B41" s="387" t="s">
        <v>1610</v>
      </c>
      <c r="C41" s="414">
        <f ca="1">ROUND(SUM(C42:C43),0)</f>
        <v>6839</v>
      </c>
      <c r="D41" s="417">
        <f ca="1">C44</f>
        <v>6.9999999999999999E-4</v>
      </c>
      <c r="E41" s="418" t="s">
        <v>1641</v>
      </c>
      <c r="F41" s="421">
        <f ca="1">F22</f>
        <v>3.4500000000000003E-2</v>
      </c>
      <c r="G41" s="419" t="str">
        <f>IF('数据-取费表'!B22&lt;=1,"单利计息","复利计息")</f>
        <v>复利计息</v>
      </c>
    </row>
    <row r="42" spans="1:7" ht="13.5" customHeight="1">
      <c r="A42" s="422" t="s">
        <v>1570</v>
      </c>
      <c r="B42" s="392" t="s">
        <v>1611</v>
      </c>
      <c r="C42" s="424">
        <f ca="1">ROUND(IF('数据-取费表'!B22&lt;=1,C33*F22*'数据-取费表'!B20/2,C33*(POWER((1+F22),'数据-取费表'!B20/2)-1)),0)</f>
        <v>6705</v>
      </c>
      <c r="D42" s="424"/>
      <c r="E42" s="424"/>
      <c r="F42" s="425"/>
      <c r="G42" s="3783" t="s">
        <v>1663</v>
      </c>
    </row>
    <row r="43" spans="1:7" ht="13.5" customHeight="1">
      <c r="A43" s="422" t="s">
        <v>1572</v>
      </c>
      <c r="B43" s="392" t="s">
        <v>1613</v>
      </c>
      <c r="C43" s="424">
        <f ca="1">ROUND(IF('数据-取费表'!B22&lt;=1,C39*F22*'数据-取费表'!B20/2,C39*(POWER((1+F22),'数据-取费表'!B20/2)-1)),0)</f>
        <v>134</v>
      </c>
      <c r="D43" s="424"/>
      <c r="E43" s="424"/>
      <c r="F43" s="425"/>
      <c r="G43" s="3784"/>
    </row>
    <row r="44" spans="1:7" ht="13.5" customHeight="1">
      <c r="A44" s="422" t="s">
        <v>1574</v>
      </c>
      <c r="B44" s="392" t="s">
        <v>1615</v>
      </c>
      <c r="C44" s="424">
        <f ca="1">ROUND(IF('数据-取费表'!B22&lt;=1,C40*F22*'数据-取费表'!B20/2,C40*(POWER((1+F22),'数据-取费表'!B20/2)-1)),4)</f>
        <v>6.9999999999999999E-4</v>
      </c>
      <c r="D44" s="424"/>
      <c r="E44" s="424"/>
      <c r="F44" s="425"/>
      <c r="G44" s="3785"/>
    </row>
    <row r="45" spans="1:7" s="368" customFormat="1" ht="13.5" customHeight="1">
      <c r="A45" s="386" t="s">
        <v>1609</v>
      </c>
      <c r="B45" s="430" t="s">
        <v>1620</v>
      </c>
      <c r="C45" s="431">
        <f ca="1">C46</f>
        <v>29737</v>
      </c>
      <c r="D45" s="417">
        <f ca="1">C47</f>
        <v>3.0000000000000001E-3</v>
      </c>
      <c r="E45" s="418" t="s">
        <v>1641</v>
      </c>
      <c r="F45" s="432">
        <f ca="1">F27</f>
        <v>0.15</v>
      </c>
      <c r="G45" s="433" t="s">
        <v>1644</v>
      </c>
    </row>
    <row r="46" spans="1:7" s="368" customFormat="1" ht="13.5" customHeight="1">
      <c r="A46" s="422" t="s">
        <v>1570</v>
      </c>
      <c r="B46" s="434" t="s">
        <v>1645</v>
      </c>
      <c r="C46" s="435">
        <f ca="1">ROUND((C33+C39)*F27,0)</f>
        <v>29737</v>
      </c>
      <c r="D46" s="448"/>
      <c r="E46" s="418"/>
      <c r="F46" s="432"/>
      <c r="G46" s="433"/>
    </row>
    <row r="47" spans="1:7" s="368" customFormat="1" ht="13.5" customHeight="1">
      <c r="A47" s="422" t="s">
        <v>1572</v>
      </c>
      <c r="B47" s="434" t="s">
        <v>1646</v>
      </c>
      <c r="C47" s="424">
        <f ca="1">ROUND(C40*F27,4)</f>
        <v>3.0000000000000001E-3</v>
      </c>
      <c r="D47" s="448"/>
      <c r="E47" s="418"/>
      <c r="F47" s="432"/>
      <c r="G47" s="433"/>
    </row>
    <row r="48" spans="1:7" s="368" customFormat="1" ht="13.5" customHeight="1">
      <c r="A48" s="386" t="s">
        <v>1619</v>
      </c>
      <c r="B48" s="387" t="s">
        <v>1625</v>
      </c>
      <c r="C48" s="447">
        <f>ROUND(F30/(1+'数据-取费表'!C42),4)</f>
        <v>5.33E-2</v>
      </c>
      <c r="D48" s="418" t="s">
        <v>1641</v>
      </c>
      <c r="E48" s="414"/>
      <c r="F48" s="421">
        <f>F30</f>
        <v>5.6000000000000001E-2</v>
      </c>
      <c r="G48" s="419" t="s">
        <v>1647</v>
      </c>
    </row>
    <row r="49" spans="1:7" ht="16.5" customHeight="1">
      <c r="A49" s="386" t="s">
        <v>1624</v>
      </c>
      <c r="B49" s="387" t="s">
        <v>1664</v>
      </c>
      <c r="C49" s="414">
        <f ca="1">ROUND((C33+C39+C41+C45)/(1-C40-D41-D45-C48),0)</f>
        <v>254411</v>
      </c>
      <c r="D49" s="414"/>
      <c r="E49" s="414"/>
      <c r="F49" s="449"/>
      <c r="G49" s="419" t="s">
        <v>1649</v>
      </c>
    </row>
    <row r="50" spans="1:7" s="370" customFormat="1">
      <c r="A50" s="386" t="s">
        <v>1650</v>
      </c>
      <c r="B50" s="387" t="s">
        <v>1651</v>
      </c>
      <c r="C50" s="414"/>
      <c r="D50" s="414"/>
      <c r="E50" s="414"/>
      <c r="F50" s="449">
        <f>IF('数据-取费表'!B24=0,'数据-取费表'!N16,1)</f>
        <v>0.82</v>
      </c>
      <c r="G50" s="433"/>
    </row>
    <row r="51" spans="1:7" ht="16.5" customHeight="1">
      <c r="A51" s="386" t="s">
        <v>1653</v>
      </c>
      <c r="B51" s="387" t="s">
        <v>1665</v>
      </c>
      <c r="C51" s="414">
        <f ca="1">ROUND(C49*F50,0)</f>
        <v>208617</v>
      </c>
      <c r="D51" s="414"/>
      <c r="E51" s="414"/>
      <c r="F51" s="449"/>
      <c r="G51" s="419" t="s">
        <v>1655</v>
      </c>
    </row>
    <row r="52" spans="1:7" s="367" customFormat="1" ht="15.75">
      <c r="A52" s="450" t="s">
        <v>1656</v>
      </c>
      <c r="B52" s="451"/>
      <c r="C52" s="452">
        <f ca="1">C31+C51</f>
        <v>229603</v>
      </c>
      <c r="D52" s="451"/>
      <c r="E52" s="451"/>
      <c r="F52" s="451"/>
      <c r="G52" s="453"/>
    </row>
    <row r="55" spans="1:7" ht="15">
      <c r="B55" s="454" t="s">
        <v>1657</v>
      </c>
      <c r="C55" s="455"/>
    </row>
    <row r="56" spans="1:7">
      <c r="B56" s="456" t="s">
        <v>1658</v>
      </c>
      <c r="C56" s="458">
        <f ca="1">1-C57</f>
        <v>9.099999999999997E-2</v>
      </c>
    </row>
    <row r="57" spans="1:7">
      <c r="B57" s="456" t="s">
        <v>1659</v>
      </c>
      <c r="C57" s="457">
        <f ca="1">ROUND(C51/C52,3)</f>
        <v>0.90900000000000003</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7" customWidth="1"/>
    <col min="3" max="3" width="10.375" style="2258" customWidth="1"/>
    <col min="4" max="4" width="9.875" style="2257" customWidth="1"/>
    <col min="5" max="5" width="9.5" style="1044"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4" t="s">
        <v>1666</v>
      </c>
      <c r="B1" s="2068"/>
      <c r="C1" s="2259"/>
      <c r="D1" s="2260"/>
      <c r="E1" s="2261"/>
      <c r="F1" s="2261"/>
      <c r="G1" s="2262"/>
      <c r="H1" s="2261"/>
      <c r="I1" s="2261"/>
      <c r="J1" s="2261"/>
      <c r="K1" s="2330">
        <f>MATCH(C1,'数据-取费表'!A6:A16,0)+5</f>
        <v>7</v>
      </c>
    </row>
    <row r="2" spans="1:33" ht="18" customHeight="1">
      <c r="A2" s="378" t="s">
        <v>1561</v>
      </c>
      <c r="B2" s="382" t="e">
        <f ca="1">C32</f>
        <v>#N/A</v>
      </c>
      <c r="C2" s="2263" t="s">
        <v>1667</v>
      </c>
      <c r="D2" s="2263"/>
      <c r="E2" s="2261"/>
      <c r="F2" s="2261"/>
      <c r="G2" s="2261"/>
      <c r="H2" s="2261"/>
      <c r="I2" s="2261"/>
      <c r="J2" s="2261"/>
      <c r="K2" s="2261"/>
    </row>
    <row r="3" spans="1:33" ht="18" customHeight="1">
      <c r="A3" s="381" t="s">
        <v>1563</v>
      </c>
      <c r="B3" s="382" t="e">
        <f ca="1">ROUND(B2*10000/IF(C1="",'数据-汇总表'!E3,INDIRECT("'数据-取费表'!K"&amp;$K$1)),0)</f>
        <v>#N/A</v>
      </c>
      <c r="C3" s="2263" t="s">
        <v>1668</v>
      </c>
      <c r="D3" s="2263"/>
      <c r="E3" s="2261"/>
      <c r="F3" s="2261"/>
      <c r="G3" s="2261"/>
      <c r="H3" s="2261"/>
      <c r="I3" s="2261"/>
      <c r="J3" s="2261"/>
      <c r="K3" s="2261"/>
    </row>
    <row r="4" spans="1:33" s="2248" customFormat="1" ht="16.5" customHeight="1">
      <c r="A4" s="2264" t="s">
        <v>1669</v>
      </c>
      <c r="B4" s="2265"/>
      <c r="C4" s="2266">
        <f>SUM(C8:K8)</f>
        <v>0</v>
      </c>
      <c r="D4" s="2265"/>
      <c r="E4" s="2265"/>
      <c r="F4" s="2265"/>
      <c r="G4" s="2265"/>
      <c r="H4" s="2265"/>
      <c r="I4" s="2265"/>
      <c r="J4" s="2265"/>
      <c r="K4" s="2331"/>
    </row>
    <row r="5" spans="1:33" s="2249" customFormat="1" ht="15">
      <c r="A5" s="2267" t="s">
        <v>1670</v>
      </c>
      <c r="B5" s="2268" t="s">
        <v>1671</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1470</v>
      </c>
      <c r="B6" s="2031" t="s">
        <v>1672</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1474</v>
      </c>
      <c r="B7" s="2031" t="s">
        <v>458</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1520</v>
      </c>
      <c r="B8" s="2274" t="s">
        <v>1673</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1674</v>
      </c>
      <c r="B9" s="2265"/>
      <c r="C9" s="2265"/>
      <c r="D9" s="2265"/>
      <c r="E9" s="2265"/>
      <c r="F9" s="2265"/>
      <c r="G9" s="2265"/>
      <c r="H9" s="2265"/>
      <c r="I9" s="2265"/>
      <c r="J9" s="2265"/>
      <c r="K9" s="2331"/>
    </row>
    <row r="10" spans="1:33" s="2251" customFormat="1" ht="13.5" customHeight="1">
      <c r="A10" s="2267" t="s">
        <v>1670</v>
      </c>
      <c r="B10" s="2277" t="s">
        <v>1671</v>
      </c>
      <c r="C10" s="2278" t="s">
        <v>1675</v>
      </c>
      <c r="D10" s="2279" t="s">
        <v>1676</v>
      </c>
      <c r="E10" s="2279" t="s">
        <v>1677</v>
      </c>
      <c r="F10" s="2279" t="s">
        <v>1678</v>
      </c>
      <c r="G10" s="2277"/>
      <c r="H10" s="2280"/>
      <c r="I10" s="2280"/>
      <c r="J10" s="2280"/>
      <c r="K10" s="2337"/>
    </row>
    <row r="11" spans="1:33" s="2252" customFormat="1" ht="13.5" customHeight="1">
      <c r="A11" s="2281" t="s">
        <v>1577</v>
      </c>
      <c r="B11" s="2282" t="s">
        <v>1679</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1581</v>
      </c>
      <c r="B12" s="2282" t="s">
        <v>1680</v>
      </c>
      <c r="C12" s="1003">
        <f ca="1">ROUND(C11*F12,0)</f>
        <v>0</v>
      </c>
      <c r="D12" s="2284"/>
      <c r="E12" s="2034"/>
      <c r="F12" s="2285">
        <f>'数据-取费表'!B33</f>
        <v>0.05</v>
      </c>
      <c r="G12" s="2277" t="s">
        <v>1681</v>
      </c>
      <c r="H12" s="2280"/>
      <c r="I12" s="2280"/>
      <c r="J12" s="2280"/>
      <c r="K12" s="2337"/>
    </row>
    <row r="13" spans="1:33" s="2252" customFormat="1" ht="13.5" customHeight="1">
      <c r="A13" s="2281" t="s">
        <v>1682</v>
      </c>
      <c r="B13" s="2282" t="s">
        <v>1683</v>
      </c>
      <c r="C13" s="1003">
        <f ca="1">ROUND(IF(C1="",SUMIF('数据-取费表'!C:C,"住宅",'数据-取费表'!P:P)*F13,IF(INDIRECT("'数据-取费表'!c"&amp;$K$1)="住宅",INDIRECT("'数据-取费表'!P"&amp;$K$1)*F13,0)),0)</f>
        <v>0</v>
      </c>
      <c r="D13" s="2286"/>
      <c r="E13" s="2034"/>
      <c r="F13" s="2285">
        <f>'数据-取费表'!B34</f>
        <v>0</v>
      </c>
      <c r="G13" s="2277" t="s">
        <v>1684</v>
      </c>
      <c r="H13" s="2280"/>
      <c r="I13" s="2280"/>
      <c r="J13" s="2280"/>
      <c r="K13" s="2337"/>
    </row>
    <row r="14" spans="1:33" s="2253" customFormat="1" ht="13.5" customHeight="1">
      <c r="A14" s="2281" t="s">
        <v>1685</v>
      </c>
      <c r="B14" s="2282" t="s">
        <v>1686</v>
      </c>
      <c r="C14" s="1003">
        <f ca="1">ROUND(D14*E14*F11/10000,0)</f>
        <v>0</v>
      </c>
      <c r="D14" s="2286">
        <f ca="1">IF(C1="",'数据-汇总表'!E3,INDIRECT("'数据-取费表'!K"&amp;$K$1)+INDIRECT("'数据-取费表'!S"&amp;$K$1))</f>
        <v>38.93</v>
      </c>
      <c r="E14" s="1003">
        <f>'数据-取费表'!B35</f>
        <v>200</v>
      </c>
      <c r="F14" s="2287"/>
      <c r="G14" s="2277" t="s">
        <v>1687</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1688</v>
      </c>
      <c r="B15" s="2282" t="s">
        <v>1689</v>
      </c>
      <c r="C15" s="2288">
        <f ca="1">ROUND(C11*F15,0)</f>
        <v>0</v>
      </c>
      <c r="D15" s="2289"/>
      <c r="E15" s="2288"/>
      <c r="F15" s="2285">
        <f>'数据-取费表'!B36</f>
        <v>1.4999999999999999E-2</v>
      </c>
      <c r="G15" s="2031" t="s">
        <v>1690</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1493</v>
      </c>
      <c r="B16" s="2282" t="s">
        <v>1691</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1497</v>
      </c>
      <c r="B17" s="2282" t="s">
        <v>1692</v>
      </c>
      <c r="C17" s="1003">
        <f ca="1">ROUND(D17*E17/10000,0)</f>
        <v>0</v>
      </c>
      <c r="D17" s="2286">
        <f ca="1">D14</f>
        <v>38.93</v>
      </c>
      <c r="E17" s="1003">
        <f>'数据-取费表'!B32</f>
        <v>0</v>
      </c>
      <c r="F17" s="2289"/>
      <c r="G17" s="2031" t="s">
        <v>1693</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1694</v>
      </c>
      <c r="B18" s="2282" t="s">
        <v>1695</v>
      </c>
      <c r="C18" s="1003" t="e">
        <f ca="1">C19+C20-IF(C1="",'数据-取费表'!B29,IF(G18="已全部缴纳",C19+C20,H18))</f>
        <v>#N/A</v>
      </c>
      <c r="D18" s="2286"/>
      <c r="E18" s="1003"/>
      <c r="F18" s="2287"/>
      <c r="G18" s="2291"/>
      <c r="H18" s="2292"/>
      <c r="I18" s="2338" t="s">
        <v>1696</v>
      </c>
      <c r="J18" s="2146"/>
      <c r="K18" s="2147"/>
    </row>
    <row r="19" spans="1:33" s="2252" customFormat="1" ht="13.5" customHeight="1">
      <c r="A19" s="2281" t="s">
        <v>1577</v>
      </c>
      <c r="B19" s="2282" t="s">
        <v>445</v>
      </c>
      <c r="C19" s="1003">
        <f ca="1">ROUND(D19*E19/10000,0)</f>
        <v>0</v>
      </c>
      <c r="D19" s="2286">
        <f ca="1">IF(C1="",'数据-汇总表'!E5,IF(INDIRECT("'数据-取费表'!c"&amp;$K$1)="住宅",INDIRECT("'数据-取费表'!k"&amp;$K$1),0))</f>
        <v>0</v>
      </c>
      <c r="E19" s="1003">
        <f>'数据-取费表'!B27</f>
        <v>160</v>
      </c>
      <c r="F19" s="2287"/>
      <c r="G19" s="2145"/>
      <c r="H19" s="2293"/>
      <c r="I19" s="2294"/>
      <c r="J19" s="2294"/>
      <c r="K19" s="2339"/>
    </row>
    <row r="20" spans="1:33" s="2252" customFormat="1" ht="13.5" customHeight="1">
      <c r="A20" s="2281" t="s">
        <v>1581</v>
      </c>
      <c r="B20" s="2282" t="s">
        <v>1697</v>
      </c>
      <c r="C20" s="1003">
        <f ca="1">ROUND(D20*E20/10000,0)</f>
        <v>1</v>
      </c>
      <c r="D20" s="2286">
        <f ca="1">IF(C1="",'数据-汇总表'!E6,IF(INDIRECT("'数据-取费表'!c"&amp;$K$1)="住宅",INDIRECT("'数据-取费表'!s"&amp;$K$1),INDIRECT("'数据-取费表'!k"&amp;$K$1)+INDIRECT("'数据-取费表'!s"&amp;$K$1)))</f>
        <v>38.93</v>
      </c>
      <c r="E20" s="1003">
        <f>'数据-取费表'!B28</f>
        <v>200</v>
      </c>
      <c r="F20" s="2287"/>
      <c r="G20" s="2145"/>
      <c r="H20" s="2294"/>
      <c r="I20" s="2294"/>
      <c r="J20" s="2294"/>
      <c r="K20" s="2339"/>
    </row>
    <row r="21" spans="1:33" s="2252" customFormat="1" ht="13.5" customHeight="1">
      <c r="A21" s="2270" t="s">
        <v>1470</v>
      </c>
      <c r="B21" s="2295" t="s">
        <v>1698</v>
      </c>
      <c r="C21" s="2296" t="e">
        <f ca="1">C16+C17+C18</f>
        <v>#N/A</v>
      </c>
      <c r="D21" s="2297"/>
      <c r="E21" s="2298"/>
      <c r="F21" s="2298"/>
      <c r="G21" s="2031" t="s">
        <v>1699</v>
      </c>
      <c r="H21" s="2146"/>
      <c r="I21" s="2146"/>
      <c r="J21" s="2146"/>
      <c r="K21" s="2147"/>
    </row>
    <row r="22" spans="1:33" s="2252" customFormat="1" ht="13.5" customHeight="1">
      <c r="A22" s="2270" t="s">
        <v>1474</v>
      </c>
      <c r="B22" s="2295" t="s">
        <v>1700</v>
      </c>
      <c r="C22" s="2296" t="e">
        <f ca="1">ROUND(C21*F22,0)</f>
        <v>#N/A</v>
      </c>
      <c r="D22" s="2298"/>
      <c r="E22" s="2298"/>
      <c r="F22" s="2299">
        <f>'数据-取费表'!B37</f>
        <v>0.02</v>
      </c>
      <c r="G22" s="2277" t="s">
        <v>1701</v>
      </c>
      <c r="H22" s="2280"/>
      <c r="I22" s="2280"/>
      <c r="J22" s="2280"/>
      <c r="K22" s="2337"/>
    </row>
    <row r="23" spans="1:33" s="2252" customFormat="1" ht="13.5" customHeight="1">
      <c r="A23" s="2270" t="s">
        <v>1520</v>
      </c>
      <c r="B23" s="2295" t="s">
        <v>1702</v>
      </c>
      <c r="C23" s="2296">
        <f ca="1">ROUND(C4*F23*F11,0)</f>
        <v>0</v>
      </c>
      <c r="D23" s="2298"/>
      <c r="E23" s="2298"/>
      <c r="F23" s="2299">
        <f>'数据-取费表'!B38</f>
        <v>0.02</v>
      </c>
      <c r="G23" s="2277" t="s">
        <v>1703</v>
      </c>
      <c r="H23" s="2280"/>
      <c r="I23" s="2280"/>
      <c r="J23" s="2280"/>
      <c r="K23" s="2337"/>
    </row>
    <row r="24" spans="1:33" s="2252" customFormat="1" ht="13.5" customHeight="1">
      <c r="A24" s="2270" t="s">
        <v>1523</v>
      </c>
      <c r="B24" s="2295" t="s">
        <v>1704</v>
      </c>
      <c r="C24" s="2300">
        <f>ROUND(F24/(1+'数据-取费表'!C42),4)</f>
        <v>2.9000000000000001E-2</v>
      </c>
      <c r="D24" s="2298" t="s">
        <v>1705</v>
      </c>
      <c r="E24" s="2298"/>
      <c r="F24" s="2299">
        <f>IF(项目基本情况!B8="出让",0,'数据-取费表'!B48+'数据-取费表'!B49)</f>
        <v>3.0499999999999999E-2</v>
      </c>
      <c r="G24" s="2277" t="s">
        <v>1706</v>
      </c>
      <c r="H24" s="2301"/>
      <c r="I24" s="2301"/>
      <c r="J24" s="2301"/>
      <c r="K24" s="2340"/>
    </row>
    <row r="25" spans="1:33" s="2252" customFormat="1" ht="13.5" customHeight="1">
      <c r="A25" s="2270" t="s">
        <v>1527</v>
      </c>
      <c r="B25" s="2297" t="s">
        <v>1707</v>
      </c>
      <c r="C25" s="2302" t="e">
        <f ca="1">C27</f>
        <v>#N/A</v>
      </c>
      <c r="D25" s="2300">
        <f ca="1">C26</f>
        <v>0</v>
      </c>
      <c r="E25" s="2303" t="s">
        <v>1705</v>
      </c>
      <c r="F25" s="2304">
        <f ca="1">'数据-取费表'!B40</f>
        <v>3.4500000000000003E-2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1493</v>
      </c>
      <c r="B26" s="2305" t="s">
        <v>1708</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1497</v>
      </c>
      <c r="B27" s="2305" t="s">
        <v>1709</v>
      </c>
      <c r="C27" s="2311" t="e">
        <f ca="1">ROUND(IF('数据-取费表'!B22&lt;=1,(C21+C22+C23)*F25*'数据-取费表'!B24/2,(C21+C22+C23)*(POWER((1+F25),'数据-取费表'!B24/2)-1)),0)</f>
        <v>#N/A</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1528</v>
      </c>
      <c r="B28" s="2312" t="s">
        <v>1710</v>
      </c>
      <c r="C28" s="2313" t="e">
        <f ca="1">C30</f>
        <v>#N/A</v>
      </c>
      <c r="D28" s="2300">
        <f ca="1">C29</f>
        <v>0</v>
      </c>
      <c r="E28" s="2303" t="s">
        <v>1705</v>
      </c>
      <c r="F28" s="1303">
        <f ca="1">IF(C1="",'数据-取费表'!Q16,INDIRECT("'数据-取费表'!q"&amp;$K$1))</f>
        <v>0.15</v>
      </c>
      <c r="G28" s="2314"/>
      <c r="H28" s="2301"/>
      <c r="I28" s="2301"/>
      <c r="J28" s="2301"/>
      <c r="K28" s="2340"/>
    </row>
    <row r="29" spans="1:33" s="2256" customFormat="1" ht="13.5" customHeight="1">
      <c r="A29" s="2281" t="s">
        <v>1493</v>
      </c>
      <c r="B29" s="2315" t="s">
        <v>1711</v>
      </c>
      <c r="C29" s="2307">
        <f ca="1">ROUND((1+C24)*F28*'数据-取费表'!B24/'数据-取费表'!B20,4)</f>
        <v>0</v>
      </c>
      <c r="D29" s="2307"/>
      <c r="E29" s="2308"/>
      <c r="F29" s="2316"/>
      <c r="G29" s="2031" t="s">
        <v>1712</v>
      </c>
      <c r="H29" s="2146"/>
      <c r="I29" s="2146"/>
      <c r="J29" s="2146"/>
      <c r="K29" s="2147"/>
    </row>
    <row r="30" spans="1:33" s="2256" customFormat="1" ht="13.5" customHeight="1">
      <c r="A30" s="2281" t="s">
        <v>1497</v>
      </c>
      <c r="B30" s="2315" t="s">
        <v>1713</v>
      </c>
      <c r="C30" s="2317" t="e">
        <f ca="1">ROUND((C21+C22+C23)*F28,0)</f>
        <v>#N/A</v>
      </c>
      <c r="D30" s="2307"/>
      <c r="E30" s="2308"/>
      <c r="F30" s="2316"/>
      <c r="G30" s="2031"/>
      <c r="H30" s="2146"/>
      <c r="I30" s="2146"/>
      <c r="J30" s="2146"/>
      <c r="K30" s="2147"/>
    </row>
    <row r="31" spans="1:33" s="2252" customFormat="1" ht="13.5" customHeight="1">
      <c r="A31" s="2318" t="s">
        <v>1714</v>
      </c>
      <c r="B31" s="2319" t="s">
        <v>1715</v>
      </c>
      <c r="C31" s="2320">
        <f>ROUND(C4*F31/(1+'数据-取费表'!C42),0)</f>
        <v>0</v>
      </c>
      <c r="D31" s="2321"/>
      <c r="E31" s="2322"/>
      <c r="F31" s="2323">
        <f>'数据-取费表'!B41</f>
        <v>5.6000000000000001E-2</v>
      </c>
      <c r="G31" s="2324" t="s">
        <v>1716</v>
      </c>
      <c r="H31" s="2325"/>
      <c r="I31" s="2325"/>
      <c r="J31" s="2325"/>
      <c r="K31" s="2341"/>
    </row>
    <row r="32" spans="1:33" s="2251" customFormat="1" ht="13.5" customHeight="1">
      <c r="A32" s="2326" t="s">
        <v>1717</v>
      </c>
      <c r="B32" s="2327"/>
      <c r="C32" s="2328" t="e">
        <f ca="1">ROUND((C4-C21-C22-C23-C25-C28-C31)/(1+C24+D25+D28),0)</f>
        <v>#N/A</v>
      </c>
      <c r="D32" s="2327"/>
      <c r="E32" s="2327"/>
      <c r="F32" s="2327"/>
      <c r="G32" s="2329" t="s">
        <v>1718</v>
      </c>
      <c r="H32" s="2327"/>
      <c r="I32" s="2327"/>
      <c r="J32" s="2327"/>
      <c r="K32" s="2342"/>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W19" sqref="W1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0"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1958" customFormat="1" ht="21">
      <c r="A1" s="1961" t="s">
        <v>1719</v>
      </c>
      <c r="B1" s="1293"/>
      <c r="C1" s="1962" t="s">
        <v>3343</v>
      </c>
      <c r="D1" s="1963" t="s">
        <v>124</v>
      </c>
      <c r="E1" s="1964" t="s">
        <v>1720</v>
      </c>
      <c r="F1" s="1965" t="e">
        <f ca="1">J53</f>
        <v>#N/A</v>
      </c>
      <c r="G1" s="1966" t="e">
        <f>MATCH(C1,'数据-取费表'!A6:A16,0)+5</f>
        <v>#N/A</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1721</v>
      </c>
      <c r="B2" s="2239" t="e">
        <f ca="1">C40+J29+L46</f>
        <v>#N/A</v>
      </c>
      <c r="C2" s="1969" t="s">
        <v>1722</v>
      </c>
      <c r="D2" s="1969"/>
      <c r="E2" s="1971"/>
      <c r="F2" s="1972"/>
      <c r="G2" s="1973"/>
      <c r="H2" s="1974"/>
      <c r="I2" s="1974"/>
      <c r="J2" s="1974"/>
      <c r="K2" s="2133"/>
      <c r="L2" s="1974"/>
      <c r="M2" s="1974"/>
    </row>
    <row r="3" spans="1:37" ht="18" customHeight="1">
      <c r="A3" s="1975" t="s">
        <v>1723</v>
      </c>
      <c r="B3" s="1976">
        <f ca="1">IF(ISERROR(B2*10000/F43),0,ROUND(B2*10000/F43,0))</f>
        <v>0</v>
      </c>
      <c r="C3" s="1969" t="s">
        <v>1724</v>
      </c>
      <c r="D3" s="1969"/>
      <c r="E3" s="1971"/>
      <c r="F3" s="1972"/>
      <c r="G3" s="1973"/>
      <c r="H3" s="1977" t="s">
        <v>1725</v>
      </c>
      <c r="I3" s="2134"/>
      <c r="J3" s="2134"/>
      <c r="K3" s="2135"/>
      <c r="L3" s="2134"/>
      <c r="M3" s="2134"/>
    </row>
    <row r="4" spans="1:37" ht="18" customHeight="1">
      <c r="A4" s="1978" t="s">
        <v>1726</v>
      </c>
      <c r="B4" s="1979" t="s">
        <v>1727</v>
      </c>
      <c r="C4" s="1979" t="s">
        <v>1728</v>
      </c>
      <c r="D4" s="1979" t="s">
        <v>1729</v>
      </c>
      <c r="E4" s="1980" t="s">
        <v>1730</v>
      </c>
      <c r="F4" s="1981"/>
      <c r="G4" s="762"/>
      <c r="H4" s="1978" t="s">
        <v>1726</v>
      </c>
      <c r="I4" s="1979" t="s">
        <v>1727</v>
      </c>
      <c r="J4" s="1979" t="s">
        <v>1728</v>
      </c>
      <c r="K4" s="1979" t="s">
        <v>1729</v>
      </c>
      <c r="L4" s="1980" t="s">
        <v>1730</v>
      </c>
      <c r="M4" s="1981"/>
    </row>
    <row r="5" spans="1:37" ht="18" customHeight="1">
      <c r="A5" s="1982">
        <v>1</v>
      </c>
      <c r="B5" s="1983" t="s">
        <v>1731</v>
      </c>
      <c r="C5" s="1984" t="e">
        <f ca="1">C6+C10+C12</f>
        <v>#N/A</v>
      </c>
      <c r="D5" s="1985" t="s">
        <v>1732</v>
      </c>
      <c r="E5" s="1986"/>
      <c r="F5" s="1987"/>
      <c r="G5" s="762"/>
      <c r="H5" s="1982">
        <v>1</v>
      </c>
      <c r="I5" s="1983" t="s">
        <v>1731</v>
      </c>
      <c r="J5" s="1984" t="e">
        <f ca="1">J6+J10+J12</f>
        <v>#N/A</v>
      </c>
      <c r="K5" s="1985" t="s">
        <v>1732</v>
      </c>
      <c r="L5" s="1986"/>
      <c r="M5" s="1987"/>
    </row>
    <row r="6" spans="1:37" ht="18" customHeight="1">
      <c r="A6" s="1988" t="s">
        <v>1470</v>
      </c>
      <c r="B6" s="3788" t="s">
        <v>1733</v>
      </c>
      <c r="C6" s="1989" t="e">
        <f ca="1">ROUND(F6*F8*F7*(1-F9)/10000,0)</f>
        <v>#N/A</v>
      </c>
      <c r="D6" s="1990" t="s">
        <v>1734</v>
      </c>
      <c r="E6" s="1991" t="s">
        <v>1735</v>
      </c>
      <c r="F6" s="1992" t="e">
        <f ca="1">INDIRECT("'数据-取费表'!u"&amp;$G$1)</f>
        <v>#N/A</v>
      </c>
      <c r="G6" s="762"/>
      <c r="H6" s="1988" t="s">
        <v>1470</v>
      </c>
      <c r="I6" s="3788" t="s">
        <v>1733</v>
      </c>
      <c r="J6" s="2063" t="e">
        <f ca="1">ROUND(M6*M8*M7*(1-M9)/10000,0)</f>
        <v>#N/A</v>
      </c>
      <c r="K6" s="1990" t="s">
        <v>1736</v>
      </c>
      <c r="L6" s="1991" t="s">
        <v>1735</v>
      </c>
      <c r="M6" s="1992" t="e">
        <f ca="1">INDIRECT("'数据-取费表'!z"&amp;$G$1)</f>
        <v>#N/A</v>
      </c>
    </row>
    <row r="7" spans="1:37" ht="18" customHeight="1">
      <c r="A7" s="1993"/>
      <c r="B7" s="3789"/>
      <c r="C7" s="1994"/>
      <c r="D7" s="1995"/>
      <c r="E7" s="1996" t="s">
        <v>1737</v>
      </c>
      <c r="F7" s="1992" t="e">
        <f ca="1">IF(INDIRECT("'数据-取费表'!ah"&amp;$G$1)="",INDIRECT("'数据-取费表'!k"&amp;$G$1),INDIRECT("'数据-取费表'!ah"&amp;$G$1))</f>
        <v>#N/A</v>
      </c>
      <c r="G7" s="762"/>
      <c r="H7" s="1997"/>
      <c r="I7" s="3789"/>
      <c r="J7" s="1998"/>
      <c r="K7" s="1995"/>
      <c r="L7" s="1991" t="s">
        <v>1737</v>
      </c>
      <c r="M7" s="1992" t="e">
        <f ca="1">F7</f>
        <v>#N/A</v>
      </c>
    </row>
    <row r="8" spans="1:37" ht="18" customHeight="1">
      <c r="A8" s="1997"/>
      <c r="B8" s="3789"/>
      <c r="C8" s="1998"/>
      <c r="D8" s="1995"/>
      <c r="E8" s="1991" t="s">
        <v>1738</v>
      </c>
      <c r="F8" s="1992" t="e">
        <f ca="1">INDIRECT("'数据-取费表'!ai"&amp;$G$1)</f>
        <v>#N/A</v>
      </c>
      <c r="G8" s="762"/>
      <c r="H8" s="1997"/>
      <c r="I8" s="3789"/>
      <c r="J8" s="1998"/>
      <c r="K8" s="1995"/>
      <c r="L8" s="1991" t="s">
        <v>1738</v>
      </c>
      <c r="M8" s="1992" t="e">
        <f ca="1">INDIRECT("'数据-取费表'!ai"&amp;$G$1)</f>
        <v>#N/A</v>
      </c>
    </row>
    <row r="9" spans="1:37" ht="18" customHeight="1">
      <c r="A9" s="1997"/>
      <c r="B9" s="3790"/>
      <c r="C9" s="1998"/>
      <c r="D9" s="1995"/>
      <c r="E9" s="1991" t="s">
        <v>1739</v>
      </c>
      <c r="F9" s="1999" t="e">
        <f ca="1">INDIRECT("'数据-取费表'!w"&amp;$G$1)</f>
        <v>#N/A</v>
      </c>
      <c r="G9" s="762"/>
      <c r="H9" s="1997"/>
      <c r="I9" s="3790"/>
      <c r="J9" s="1998"/>
      <c r="K9" s="1995"/>
      <c r="L9" s="2002" t="s">
        <v>1739</v>
      </c>
      <c r="M9" s="2007" t="e">
        <f ca="1">INDIRECT("'数据-取费表'!ab"&amp;$G$1)</f>
        <v>#N/A</v>
      </c>
    </row>
    <row r="10" spans="1:37" ht="18" customHeight="1">
      <c r="A10" s="1988" t="s">
        <v>1474</v>
      </c>
      <c r="B10" s="2000" t="s">
        <v>1740</v>
      </c>
      <c r="C10" s="1002">
        <f ca="1">ROUND(IF(F10="押一",C6/12*F11,IF(F10="押二",C6/12*2*F11,IF(F10="押三",C6/12*3*F11,C11*F11))),0)</f>
        <v>0</v>
      </c>
      <c r="D10" s="2001" t="s">
        <v>1741</v>
      </c>
      <c r="E10" s="2002" t="s">
        <v>1742</v>
      </c>
      <c r="F10" s="2003" t="s">
        <v>1743</v>
      </c>
      <c r="G10" s="762"/>
      <c r="H10" s="1988" t="s">
        <v>1474</v>
      </c>
      <c r="I10" s="2000" t="s">
        <v>1740</v>
      </c>
      <c r="J10" s="2063">
        <f ca="1">ROUND(IF(M10="押一",J6/12*M11,IF(M10="押二",J6/12*2*M11,IF(M10="押三",J6/12*3*M11,J11*M11))),0)</f>
        <v>0</v>
      </c>
      <c r="K10" s="2001" t="s">
        <v>1741</v>
      </c>
      <c r="L10" s="2002" t="s">
        <v>1742</v>
      </c>
      <c r="M10" s="2003"/>
    </row>
    <row r="11" spans="1:37" ht="18" customHeight="1">
      <c r="A11" s="2004"/>
      <c r="B11" s="2005" t="s">
        <v>1744</v>
      </c>
      <c r="C11" s="2006"/>
      <c r="D11" s="2240"/>
      <c r="E11" s="2002" t="s">
        <v>1745</v>
      </c>
      <c r="F11" s="2007">
        <f ca="1">'数据-取费表'!B39</f>
        <v>1.4999999999999999E-2</v>
      </c>
      <c r="G11" s="762"/>
      <c r="H11" s="2008"/>
      <c r="I11" s="2005" t="s">
        <v>1744</v>
      </c>
      <c r="J11" s="2006"/>
      <c r="K11" s="2138"/>
      <c r="L11" s="2002" t="s">
        <v>1745</v>
      </c>
      <c r="M11" s="2139">
        <f ca="1">'数据-取费表'!B39</f>
        <v>1.4999999999999999E-2</v>
      </c>
    </row>
    <row r="12" spans="1:37" ht="18" customHeight="1">
      <c r="A12" s="2009" t="s">
        <v>1520</v>
      </c>
      <c r="B12" s="2010" t="s">
        <v>1746</v>
      </c>
      <c r="C12" s="2011"/>
      <c r="D12" s="2012"/>
      <c r="E12" s="2013"/>
      <c r="F12" s="2014"/>
      <c r="G12" s="762"/>
      <c r="H12" s="2009" t="s">
        <v>1520</v>
      </c>
      <c r="I12" s="2010" t="s">
        <v>1746</v>
      </c>
      <c r="J12" s="2011"/>
      <c r="K12" s="2140"/>
      <c r="L12" s="2013"/>
      <c r="M12" s="2141"/>
    </row>
    <row r="13" spans="1:37" ht="18" customHeight="1">
      <c r="A13" s="2015">
        <v>2</v>
      </c>
      <c r="B13" s="2016" t="s">
        <v>1747</v>
      </c>
      <c r="C13" s="2017" t="e">
        <f ca="1">ROUND(C29*F13,0)</f>
        <v>#N/A</v>
      </c>
      <c r="D13" s="2018" t="s">
        <v>1748</v>
      </c>
      <c r="E13" s="2018" t="s">
        <v>1749</v>
      </c>
      <c r="F13" s="2019" t="e">
        <f ca="1">INDIRECT("'数据-取费表'!y"&amp;$G$1)</f>
        <v>#N/A</v>
      </c>
      <c r="G13" s="762"/>
      <c r="H13" s="2015">
        <v>2</v>
      </c>
      <c r="I13" s="2016" t="s">
        <v>1747</v>
      </c>
      <c r="J13" s="2142" t="e">
        <f ca="1">ROUND(J14*J15,0)</f>
        <v>#N/A</v>
      </c>
      <c r="K13" s="2041" t="s">
        <v>1748</v>
      </c>
      <c r="L13" s="2143"/>
      <c r="M13" s="2144"/>
    </row>
    <row r="14" spans="1:37" ht="18" customHeight="1">
      <c r="A14" s="2020" t="s">
        <v>1493</v>
      </c>
      <c r="B14" s="1991" t="s">
        <v>1750</v>
      </c>
      <c r="C14" s="2021" t="e">
        <f ca="1">INDIRECT("'数据-取费表'!m"&amp;$G$1)+INDIRECT("'数据-取费表'!t"&amp;$G$1)</f>
        <v>#N/A</v>
      </c>
      <c r="D14" s="2022" t="s">
        <v>1751</v>
      </c>
      <c r="E14" s="2023"/>
      <c r="F14" s="2024"/>
      <c r="G14" s="762"/>
      <c r="H14" s="2020" t="s">
        <v>1470</v>
      </c>
      <c r="I14" s="1991" t="s">
        <v>1752</v>
      </c>
      <c r="J14" s="1003" t="e">
        <f ca="1">C29</f>
        <v>#N/A</v>
      </c>
      <c r="K14" s="2145"/>
      <c r="L14" s="2146"/>
      <c r="M14" s="2147"/>
    </row>
    <row r="15" spans="1:37" s="1959" customFormat="1" ht="18" customHeight="1">
      <c r="A15" s="2020" t="s">
        <v>1497</v>
      </c>
      <c r="B15" s="1991" t="s">
        <v>1680</v>
      </c>
      <c r="C15" s="1003" t="e">
        <f ca="1">ROUND(C14*F15,0)</f>
        <v>#N/A</v>
      </c>
      <c r="D15" s="2025" t="s">
        <v>1753</v>
      </c>
      <c r="E15" s="2025" t="s">
        <v>1754</v>
      </c>
      <c r="F15" s="2026">
        <f>'数据-取费表'!B33</f>
        <v>0.05</v>
      </c>
      <c r="G15" s="2027"/>
      <c r="H15" s="2028" t="s">
        <v>1474</v>
      </c>
      <c r="I15" s="2013" t="s">
        <v>1749</v>
      </c>
      <c r="J15" s="2141" t="e">
        <f ca="1">INDIRECT("'数据-取费表'!ad"&amp;$G$1)</f>
        <v>#N/A</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1500</v>
      </c>
      <c r="B16" s="1991" t="s">
        <v>1683</v>
      </c>
      <c r="C16" s="1003" t="e">
        <f ca="1">ROUND(INDIRECT("'数据-取费表'!m"&amp;$G$1)*F16,0)</f>
        <v>#N/A</v>
      </c>
      <c r="D16" s="1991" t="s">
        <v>1753</v>
      </c>
      <c r="E16" s="1991" t="s">
        <v>1754</v>
      </c>
      <c r="F16" s="2029" t="e">
        <f ca="1">IF(INDIRECT("'数据-取费表'!c"&amp;$G$1)="住宅",'数据-取费表'!B34,0)</f>
        <v>#N/A</v>
      </c>
      <c r="G16" s="762"/>
      <c r="H16" s="2015" t="s">
        <v>1755</v>
      </c>
      <c r="I16" s="2016" t="s">
        <v>1756</v>
      </c>
      <c r="J16" s="2017" t="e">
        <f ca="1">ROUND(J17+J22+J23+J24,0)</f>
        <v>#N/A</v>
      </c>
      <c r="K16" s="2041" t="s">
        <v>1757</v>
      </c>
      <c r="L16" s="2042"/>
      <c r="M16" s="1987"/>
    </row>
    <row r="17" spans="1:37" s="1959" customFormat="1" ht="18" customHeight="1">
      <c r="A17" s="2020" t="s">
        <v>1758</v>
      </c>
      <c r="B17" s="1991" t="s">
        <v>1759</v>
      </c>
      <c r="C17" s="1003" t="e">
        <f ca="1">ROUND(F17*(F43+INDIRECT("'数据-取费表'!S"&amp;$G$1))/10000,0)</f>
        <v>#N/A</v>
      </c>
      <c r="D17" s="1991" t="s">
        <v>1760</v>
      </c>
      <c r="E17" s="1991" t="s">
        <v>1761</v>
      </c>
      <c r="F17" s="2030">
        <f>'数据-取费表'!B35</f>
        <v>200</v>
      </c>
      <c r="G17" s="2027"/>
      <c r="H17" s="2020" t="s">
        <v>1470</v>
      </c>
      <c r="I17" s="1991" t="s">
        <v>1762</v>
      </c>
      <c r="J17" s="2044" t="e">
        <f ca="1">ROUND(IF(AND(项目基本情况!B11="自然人",项目基本情况!B10="北京市"),J6*M17/(1+'数据-取费表'!C42),J18+J19+J20),2)</f>
        <v>#N/A</v>
      </c>
      <c r="K17" s="2022" t="s">
        <v>1763</v>
      </c>
      <c r="L17" s="2045" t="s">
        <v>1764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1765</v>
      </c>
      <c r="B18" s="1991" t="s">
        <v>1689</v>
      </c>
      <c r="C18" s="1003" t="e">
        <f ca="1">ROUND(C14*F18,0)</f>
        <v>#N/A</v>
      </c>
      <c r="D18" s="1991" t="s">
        <v>1753</v>
      </c>
      <c r="E18" s="1991" t="s">
        <v>1754</v>
      </c>
      <c r="F18" s="2029">
        <f>'数据-取费表'!B36</f>
        <v>1.4999999999999999E-2</v>
      </c>
      <c r="G18" s="2027"/>
      <c r="H18" s="2020" t="s">
        <v>1493</v>
      </c>
      <c r="I18" s="1991" t="s">
        <v>1766</v>
      </c>
      <c r="J18" s="1003" t="e">
        <f ca="1">ROUND(J6*M18/(1+'数据-取费表'!C42),2)</f>
        <v>#N/A</v>
      </c>
      <c r="K18" s="2045" t="s">
        <v>1767</v>
      </c>
      <c r="L18" s="1991" t="s">
        <v>1754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1470</v>
      </c>
      <c r="B19" s="1991" t="s">
        <v>1768</v>
      </c>
      <c r="C19" s="1003" t="e">
        <f ca="1">SUM(C14:C18)</f>
        <v>#N/A</v>
      </c>
      <c r="D19" s="2031" t="s">
        <v>1769</v>
      </c>
      <c r="E19" s="1005"/>
      <c r="F19" s="2030"/>
      <c r="G19" s="762"/>
      <c r="H19" s="2020" t="s">
        <v>1497</v>
      </c>
      <c r="I19" s="1991" t="s">
        <v>1770</v>
      </c>
      <c r="J19" s="1003" t="e">
        <f ca="1">IF(K19="按租金收入计税",ROUND(J6*M19/(1+'数据-取费表'!C42),2),ROUND(C29*M19*0.7,2))</f>
        <v>#N/A</v>
      </c>
      <c r="K19" s="2048" t="s">
        <v>1771</v>
      </c>
      <c r="L19" s="1991" t="s">
        <v>1754</v>
      </c>
      <c r="M19" s="2029">
        <f>IF(K19="按租金收入计税",'数据-取费表'!B51,'数据-取费表'!B50)</f>
        <v>0.12</v>
      </c>
    </row>
    <row r="20" spans="1:37" s="1959" customFormat="1" ht="18" customHeight="1">
      <c r="A20" s="2020" t="s">
        <v>1474</v>
      </c>
      <c r="B20" s="1991" t="s">
        <v>1772</v>
      </c>
      <c r="C20" s="1003" t="e">
        <f ca="1">ROUND(C19*F20,0)</f>
        <v>#N/A</v>
      </c>
      <c r="D20" s="2032" t="s">
        <v>1773</v>
      </c>
      <c r="E20" s="1991" t="s">
        <v>1754</v>
      </c>
      <c r="F20" s="2029">
        <f>'数据-取费表'!B37</f>
        <v>0.02</v>
      </c>
      <c r="G20" s="2027"/>
      <c r="H20" s="2020" t="s">
        <v>1500</v>
      </c>
      <c r="I20" s="1990" t="s">
        <v>1774</v>
      </c>
      <c r="J20" s="2050" t="e">
        <f ca="1">ROUND(M20*M21/10000,2)</f>
        <v>#N/A</v>
      </c>
      <c r="K20" s="2051" t="s">
        <v>1775</v>
      </c>
      <c r="L20" s="1991" t="s">
        <v>1776</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1520</v>
      </c>
      <c r="B21" s="1991" t="s">
        <v>1777</v>
      </c>
      <c r="C21" s="1003" t="s">
        <v>124</v>
      </c>
      <c r="D21" s="2032" t="s">
        <v>1778</v>
      </c>
      <c r="E21" s="1991" t="s">
        <v>1779</v>
      </c>
      <c r="F21" s="2029">
        <f>'数据-取费表'!B38</f>
        <v>0.02</v>
      </c>
      <c r="G21" s="2027"/>
      <c r="H21" s="2033"/>
      <c r="I21" s="2151"/>
      <c r="J21" s="2054"/>
      <c r="K21" s="2055"/>
      <c r="L21" s="1991" t="s">
        <v>1780</v>
      </c>
      <c r="M21" s="1992" t="e">
        <f ca="1">INDIRECT("'数据-取费表'!r"&amp;$G$1)</f>
        <v>#N/A</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1523</v>
      </c>
      <c r="B22" s="1991" t="s">
        <v>1781</v>
      </c>
      <c r="C22" s="1003"/>
      <c r="D22" s="2031" t="str">
        <f>IF(F23&lt;=1,"单利计息。","复利计息。")&amp;"建造成本、管理费用、销售费用产生的利息。"</f>
        <v>复利计息。建造成本、管理费用、销售费用产生的利息。</v>
      </c>
      <c r="E22" s="1005"/>
      <c r="F22" s="2030"/>
      <c r="G22" s="762"/>
      <c r="H22" s="2020" t="s">
        <v>1474</v>
      </c>
      <c r="I22" s="1991" t="s">
        <v>1782</v>
      </c>
      <c r="J22" s="1003" t="e">
        <f ca="1">ROUND(J14*M22,2)</f>
        <v>#N/A</v>
      </c>
      <c r="K22" s="2045" t="s">
        <v>1783</v>
      </c>
      <c r="L22" s="1991" t="s">
        <v>1754</v>
      </c>
      <c r="M22" s="2057" t="e">
        <f ca="1">INDIRECT("'数据-取费表'!Ak"&amp;$G$1)</f>
        <v>#N/A</v>
      </c>
    </row>
    <row r="23" spans="1:37" s="1959" customFormat="1" ht="18" customHeight="1">
      <c r="A23" s="2020" t="s">
        <v>1493</v>
      </c>
      <c r="B23" s="1991" t="s">
        <v>1784</v>
      </c>
      <c r="C23" s="1003" t="e">
        <f ca="1">IF('数据-取费表'!B22&lt;=1,ROUND(C19*F24*F23/2,0)+ROUND(C20*F24*F23/2,0),ROUND(C19*(POWER((1+F24),F23/2)-1),0)+ROUND(C20*(POWER((1+F24),F23/2)-1),0))</f>
        <v>#N/A</v>
      </c>
      <c r="D23" s="2034" t="str">
        <f>IF(F23&lt;=1,"(建造成本+管理费用)×利率×(建设周期÷2)","(建造成本+管理费用)×((1+利率)^(建设周期÷2)-1)")</f>
        <v>(建造成本+管理费用)×((1+利率)^(建设周期÷2)-1)</v>
      </c>
      <c r="E23" s="1991" t="s">
        <v>1785</v>
      </c>
      <c r="F23" s="2035">
        <f>'数据-取费表'!B20</f>
        <v>2</v>
      </c>
      <c r="G23" s="2027"/>
      <c r="H23" s="2020" t="s">
        <v>1520</v>
      </c>
      <c r="I23" s="1991" t="s">
        <v>1786</v>
      </c>
      <c r="J23" s="1003" t="e">
        <f ca="1">ROUND(J13*M23,2)</f>
        <v>#N/A</v>
      </c>
      <c r="K23" s="2045" t="s">
        <v>1787</v>
      </c>
      <c r="L23" s="1991" t="s">
        <v>1754</v>
      </c>
      <c r="M23" s="2058" t="e">
        <f ca="1">INDIRECT("'数据-取费表'!Al"&amp;$G$1)</f>
        <v>#N/A</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1497</v>
      </c>
      <c r="B24" s="1991" t="s">
        <v>1788</v>
      </c>
      <c r="C24" s="1003">
        <f ca="1">ROUND(IF('数据-取费表'!B22&lt;=1,F21*F24*F23/2,F21*(POWER((1+F24),F23/2)-1)),4)</f>
        <v>6.9999999999999999E-4</v>
      </c>
      <c r="D24" s="2034" t="str">
        <f>IF(F23&lt;=1,"销售费用×利率×(建设周期÷2)","销售费用×((1+利率)^(建设周期÷2)-1)")</f>
        <v>销售费用×((1+利率)^(建设周期÷2)-1)</v>
      </c>
      <c r="E24" s="1991" t="s">
        <v>1789</v>
      </c>
      <c r="F24" s="2036">
        <f ca="1">'数据-取费表'!B40</f>
        <v>3.4500000000000003E-2</v>
      </c>
      <c r="G24" s="2027"/>
      <c r="H24" s="2028" t="s">
        <v>1523</v>
      </c>
      <c r="I24" s="2013" t="s">
        <v>1772</v>
      </c>
      <c r="J24" s="2037" t="e">
        <f ca="1">ROUND(J5*M24,2)</f>
        <v>#N/A</v>
      </c>
      <c r="K24" s="2038" t="s">
        <v>1790</v>
      </c>
      <c r="L24" s="2013" t="s">
        <v>1754</v>
      </c>
      <c r="M24" s="2014" t="e">
        <f ca="1">INDIRECT("'数据-取费表'!Am"&amp;$G$1)</f>
        <v>#N/A</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1527</v>
      </c>
      <c r="B25" s="1991" t="s">
        <v>1791</v>
      </c>
      <c r="C25" s="1003"/>
      <c r="D25" s="2031" t="s">
        <v>1792</v>
      </c>
      <c r="E25" s="1005"/>
      <c r="F25" s="2030"/>
      <c r="G25" s="762"/>
      <c r="H25" s="2015" t="s">
        <v>1793</v>
      </c>
      <c r="I25" s="2059" t="s">
        <v>1794</v>
      </c>
      <c r="J25" s="2017" t="e">
        <f ca="1">J5-J16</f>
        <v>#N/A</v>
      </c>
      <c r="K25" s="2060" t="s">
        <v>1795</v>
      </c>
      <c r="L25" s="2061"/>
      <c r="M25" s="2062"/>
    </row>
    <row r="26" spans="1:37">
      <c r="A26" s="2020" t="s">
        <v>1493</v>
      </c>
      <c r="B26" s="1991" t="s">
        <v>1796</v>
      </c>
      <c r="C26" s="1003" t="e">
        <f ca="1">ROUND((C19+C20)*F26,0)</f>
        <v>#N/A</v>
      </c>
      <c r="D26" s="2032" t="s">
        <v>1797</v>
      </c>
      <c r="E26" s="2002" t="s">
        <v>1798</v>
      </c>
      <c r="F26" s="1999" t="e">
        <f ca="1">INDIRECT("'数据-取费表'!q"&amp;$G$1)</f>
        <v>#N/A</v>
      </c>
      <c r="G26" s="762"/>
      <c r="H26" s="1982" t="s">
        <v>1799</v>
      </c>
      <c r="I26" s="1983" t="s">
        <v>1800</v>
      </c>
      <c r="J26" s="2063" t="e">
        <f ca="1">IF(J5&lt;&gt;0,ROUND(J25*(1-((1+M28)/(1+M26))^M27)/(M26-M28),0),0)</f>
        <v>#N/A</v>
      </c>
      <c r="K26" s="2051" t="s">
        <v>1801</v>
      </c>
      <c r="L26" s="1991" t="s">
        <v>1802</v>
      </c>
      <c r="M26" s="1999" t="e">
        <f ca="1">INDIRECT("'数据-取费表'!I"&amp;$G$1)</f>
        <v>#N/A</v>
      </c>
    </row>
    <row r="27" spans="1:37" ht="18" customHeight="1">
      <c r="A27" s="2020" t="s">
        <v>1497</v>
      </c>
      <c r="B27" s="1991" t="s">
        <v>1803</v>
      </c>
      <c r="C27" s="1003" t="e">
        <f ca="1">ROUND(F21*F26,4)</f>
        <v>#N/A</v>
      </c>
      <c r="D27" s="2032" t="s">
        <v>1804</v>
      </c>
      <c r="E27" s="2025"/>
      <c r="F27" s="2026"/>
      <c r="G27" s="762"/>
      <c r="H27" s="1997"/>
      <c r="I27" s="2065"/>
      <c r="J27" s="1998"/>
      <c r="K27" s="2066" t="s">
        <v>1805</v>
      </c>
      <c r="L27" s="1991" t="s">
        <v>1806</v>
      </c>
      <c r="M27" s="2067" t="e">
        <f ca="1">INDIRECT("'数据-取费表'!ag"&amp;$G$1)</f>
        <v>#N/A</v>
      </c>
    </row>
    <row r="28" spans="1:37" s="1959" customFormat="1" ht="18" customHeight="1">
      <c r="A28" s="2020" t="s">
        <v>1528</v>
      </c>
      <c r="B28" s="1991" t="s">
        <v>1807</v>
      </c>
      <c r="C28" s="1003">
        <f>ROUND(F28/(1+'数据-取费表'!C42),4)</f>
        <v>5.33E-2</v>
      </c>
      <c r="D28" s="2032" t="s">
        <v>1808</v>
      </c>
      <c r="E28" s="1991" t="s">
        <v>1754</v>
      </c>
      <c r="F28" s="2029">
        <f>'数据-取费表'!B41</f>
        <v>5.6000000000000001E-2</v>
      </c>
      <c r="G28" s="2027"/>
      <c r="H28" s="2004"/>
      <c r="I28" s="2069"/>
      <c r="J28" s="2017"/>
      <c r="K28" s="2055"/>
      <c r="L28" s="1991" t="s">
        <v>1809</v>
      </c>
      <c r="M28" s="1999" t="e">
        <f ca="1">INDIRECT("'数据-取费表'!aa"&amp;$G$1)</f>
        <v>#N/A</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1714</v>
      </c>
      <c r="B29" s="2013" t="s">
        <v>1810</v>
      </c>
      <c r="C29" s="2037" t="e">
        <f ca="1">ROUND((C19+C20+C23+C26)/(1-F21-C24-C27-C28),0)</f>
        <v>#N/A</v>
      </c>
      <c r="D29" s="2038"/>
      <c r="E29" s="2013"/>
      <c r="F29" s="2039"/>
      <c r="G29" s="2027"/>
      <c r="H29" s="2040" t="s">
        <v>1811</v>
      </c>
      <c r="I29" s="2070" t="s">
        <v>1812</v>
      </c>
      <c r="J29" s="2071" t="e">
        <f ca="1">ROUND(J26/(1+F40)^F41,0)</f>
        <v>#N/A</v>
      </c>
      <c r="K29" s="2072" t="s">
        <v>1813</v>
      </c>
      <c r="L29" s="2073"/>
      <c r="M29" s="2074" t="e">
        <f ca="1">INDIRECT("'数据-取费表'!k"&amp;$G$1)</f>
        <v>#N/A</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1755</v>
      </c>
      <c r="B30" s="2016" t="s">
        <v>1756</v>
      </c>
      <c r="C30" s="2017" t="e">
        <f ca="1">ROUND(C31+C36+C37+C38,0)</f>
        <v>#N/A</v>
      </c>
      <c r="D30" s="2041" t="s">
        <v>1757</v>
      </c>
      <c r="E30" s="2042"/>
      <c r="F30" s="1987"/>
      <c r="G30" s="762"/>
      <c r="H30" s="2043"/>
      <c r="I30" s="2152"/>
      <c r="J30" s="2153"/>
      <c r="K30" s="2154"/>
      <c r="L30" s="2155"/>
      <c r="M30" s="2156"/>
    </row>
    <row r="31" spans="1:37" ht="18" customHeight="1">
      <c r="A31" s="2020" t="s">
        <v>1470</v>
      </c>
      <c r="B31" s="1991" t="s">
        <v>1762</v>
      </c>
      <c r="C31" s="2044" t="e">
        <f ca="1">ROUND(IF(AND(项目基本情况!B11="自然人",项目基本情况!B10="北京市"),C6*F31/(1+'数据-取费表'!C42),C32+C33+C34),2)</f>
        <v>#N/A</v>
      </c>
      <c r="D31" s="2022" t="s">
        <v>1763</v>
      </c>
      <c r="E31" s="2045" t="s">
        <v>1764</v>
      </c>
      <c r="F31" s="2046" t="str">
        <f>IF(项目基本情况!B11="企业","——",IF(M47="住宅",IF(F6*F7*F8/12/(1+'数据-取费表'!F30)&gt;100000,4%,2.5%),IF(F6*F7*F8/12/(1+'数据-取费表'!F30)&gt;100000,12%,7%)))</f>
        <v>——</v>
      </c>
      <c r="G31" s="762"/>
      <c r="H31" s="2047" t="s">
        <v>1814</v>
      </c>
      <c r="I31" s="2152"/>
      <c r="J31" s="2153"/>
      <c r="K31" s="2154"/>
      <c r="L31" s="2155"/>
      <c r="M31" s="2156"/>
    </row>
    <row r="32" spans="1:37" ht="18" customHeight="1">
      <c r="A32" s="2020" t="s">
        <v>1493</v>
      </c>
      <c r="B32" s="1991" t="s">
        <v>1766</v>
      </c>
      <c r="C32" s="1003" t="e">
        <f ca="1">IF(项目基本情况!B11="自然人","——",ROUND(C6*F32/(1+'数据-取费表'!C42),2))</f>
        <v>#N/A</v>
      </c>
      <c r="D32" s="2045" t="s">
        <v>1767</v>
      </c>
      <c r="E32" s="1991" t="s">
        <v>1754</v>
      </c>
      <c r="F32" s="2036">
        <f>'数据-取费表'!B41</f>
        <v>5.6000000000000001E-2</v>
      </c>
      <c r="G32" s="762"/>
      <c r="H32" s="2043"/>
      <c r="I32" s="2152"/>
      <c r="J32" s="2153"/>
      <c r="K32" s="2154"/>
      <c r="L32" s="2155"/>
      <c r="M32" s="2156"/>
    </row>
    <row r="33" spans="1:18" ht="18" customHeight="1">
      <c r="A33" s="2020" t="s">
        <v>1497</v>
      </c>
      <c r="B33" s="1991" t="s">
        <v>1770</v>
      </c>
      <c r="C33" s="1003" t="e">
        <f ca="1">IF(项目基本情况!B11="自然人","——",IF(D33="按租金收入计税",ROUND(C6*F33/(1+'数据-取费表'!C42),2),IF(D33="按房产原值计税",ROUND(C29*F33*0.7,2),INDIRECT("'数据-取费表'!Aj"&amp;$G$1))))</f>
        <v>#N/A</v>
      </c>
      <c r="D33" s="2048" t="s">
        <v>1771</v>
      </c>
      <c r="E33" s="1991" t="s">
        <v>1754</v>
      </c>
      <c r="F33" s="2029">
        <f>IF(D33="按票据","——",IF(D33="按租金收入计税",'数据-取费表'!B51,'数据-取费表'!B50))</f>
        <v>0.12</v>
      </c>
      <c r="G33" s="762"/>
      <c r="H33" s="2049"/>
      <c r="I33" s="2152"/>
      <c r="J33" s="2153"/>
      <c r="K33" s="2157"/>
      <c r="L33" s="2049"/>
      <c r="M33" s="2049"/>
    </row>
    <row r="34" spans="1:18" ht="18" customHeight="1">
      <c r="A34" s="1988" t="s">
        <v>1500</v>
      </c>
      <c r="B34" s="1990" t="s">
        <v>1774</v>
      </c>
      <c r="C34" s="2050" t="e">
        <f ca="1">IF(项目基本情况!B11="自然人","——",ROUND(F34*F35/10000,2))</f>
        <v>#N/A</v>
      </c>
      <c r="D34" s="2051" t="s">
        <v>1775</v>
      </c>
      <c r="E34" s="1991" t="s">
        <v>1776</v>
      </c>
      <c r="F34" s="2035">
        <f>'数据-取费表'!B52</f>
        <v>1.5</v>
      </c>
      <c r="G34" s="762"/>
      <c r="H34" s="2043"/>
      <c r="I34" s="2152"/>
      <c r="J34" s="2153"/>
      <c r="K34" s="2158"/>
      <c r="L34" s="2159"/>
      <c r="M34" s="2159"/>
    </row>
    <row r="35" spans="1:18" ht="18" customHeight="1">
      <c r="A35" s="2052"/>
      <c r="B35" s="2053"/>
      <c r="C35" s="2054"/>
      <c r="D35" s="2055"/>
      <c r="E35" s="1991" t="s">
        <v>1780</v>
      </c>
      <c r="F35" s="1992" t="e">
        <f ca="1">INDIRECT("'数据-取费表'!r"&amp;$G$1)</f>
        <v>#N/A</v>
      </c>
      <c r="G35" s="762"/>
      <c r="H35" s="2043"/>
      <c r="I35" s="2152"/>
      <c r="J35" s="2153"/>
      <c r="K35" s="2157"/>
      <c r="L35" s="2049"/>
      <c r="M35" s="2049"/>
    </row>
    <row r="36" spans="1:18" ht="18" customHeight="1">
      <c r="A36" s="2056" t="s">
        <v>1474</v>
      </c>
      <c r="B36" s="1991" t="s">
        <v>1782</v>
      </c>
      <c r="C36" s="1003" t="e">
        <f ca="1">ROUND(C29*F36,2)</f>
        <v>#N/A</v>
      </c>
      <c r="D36" s="2045" t="s">
        <v>1815</v>
      </c>
      <c r="E36" s="1991" t="s">
        <v>1754</v>
      </c>
      <c r="F36" s="2057" t="e">
        <f ca="1">INDIRECT("'数据-取费表'!Ak"&amp;$G$1)</f>
        <v>#N/A</v>
      </c>
      <c r="G36" s="762"/>
      <c r="H36" s="2049"/>
      <c r="I36" s="2152"/>
      <c r="J36" s="2153"/>
      <c r="K36" s="2160"/>
      <c r="L36" s="2049"/>
      <c r="M36" s="2049"/>
    </row>
    <row r="37" spans="1:18" ht="18" customHeight="1">
      <c r="A37" s="2020" t="s">
        <v>1520</v>
      </c>
      <c r="B37" s="1991" t="s">
        <v>1786</v>
      </c>
      <c r="C37" s="1003" t="e">
        <f ca="1">ROUND(C13*F37,2)</f>
        <v>#N/A</v>
      </c>
      <c r="D37" s="2045" t="s">
        <v>1787</v>
      </c>
      <c r="E37" s="1991" t="s">
        <v>1754</v>
      </c>
      <c r="F37" s="2058" t="e">
        <f ca="1">INDIRECT("'数据-取费表'!Al"&amp;$G$1)</f>
        <v>#N/A</v>
      </c>
      <c r="G37" s="762"/>
      <c r="H37" s="2049"/>
      <c r="I37" s="2152"/>
      <c r="J37" s="2153"/>
      <c r="K37" s="2160"/>
      <c r="L37" s="2049"/>
      <c r="M37" s="2049"/>
    </row>
    <row r="38" spans="1:18" ht="18" customHeight="1">
      <c r="A38" s="2028" t="s">
        <v>1523</v>
      </c>
      <c r="B38" s="2013" t="s">
        <v>1772</v>
      </c>
      <c r="C38" s="2037" t="e">
        <f ca="1">ROUND(C5*F38,2)</f>
        <v>#N/A</v>
      </c>
      <c r="D38" s="2038" t="s">
        <v>1790</v>
      </c>
      <c r="E38" s="2013" t="s">
        <v>1754</v>
      </c>
      <c r="F38" s="2014" t="e">
        <f ca="1">INDIRECT("'数据-取费表'!Am"&amp;$G$1)</f>
        <v>#N/A</v>
      </c>
      <c r="G38" s="762"/>
      <c r="H38" s="2049" t="e">
        <f ca="1">C39/C5</f>
        <v>#N/A</v>
      </c>
      <c r="I38" s="2152"/>
      <c r="J38" s="2153"/>
      <c r="K38" s="2161"/>
      <c r="L38" s="2049"/>
      <c r="M38" s="2049"/>
    </row>
    <row r="39" spans="1:18" ht="24.6" customHeight="1">
      <c r="A39" s="2015" t="s">
        <v>1793</v>
      </c>
      <c r="B39" s="2059" t="s">
        <v>1794</v>
      </c>
      <c r="C39" s="2017" t="e">
        <f ca="1">C5-C30</f>
        <v>#N/A</v>
      </c>
      <c r="D39" s="2060" t="s">
        <v>1795</v>
      </c>
      <c r="E39" s="2061"/>
      <c r="F39" s="2062"/>
      <c r="G39" s="762"/>
      <c r="H39" s="2049"/>
      <c r="I39" s="2152"/>
      <c r="J39" s="2153"/>
      <c r="K39" s="2161"/>
      <c r="L39" s="2049"/>
      <c r="M39" s="2049"/>
    </row>
    <row r="40" spans="1:18" ht="18" customHeight="1">
      <c r="A40" s="1982" t="s">
        <v>1799</v>
      </c>
      <c r="B40" s="1983" t="s">
        <v>1816</v>
      </c>
      <c r="C40" s="2063" t="e">
        <f ca="1">ROUND(C39*(1-((1+F42)/(1+F40))^F41)/(F40-F42),0)</f>
        <v>#N/A</v>
      </c>
      <c r="D40" s="2051" t="s">
        <v>1801</v>
      </c>
      <c r="E40" s="1991" t="s">
        <v>1802</v>
      </c>
      <c r="F40" s="1999" t="e">
        <f ca="1">INDIRECT("'数据-取费表'!I"&amp;$G$1)</f>
        <v>#N/A</v>
      </c>
      <c r="G40" s="762"/>
      <c r="H40" s="2064"/>
      <c r="I40" s="2152"/>
      <c r="J40" s="2153"/>
      <c r="K40" s="2161"/>
      <c r="L40" s="2064"/>
      <c r="M40" s="2064"/>
    </row>
    <row r="41" spans="1:18" ht="18" customHeight="1">
      <c r="A41" s="1997"/>
      <c r="B41" s="2065"/>
      <c r="C41" s="1998"/>
      <c r="D41" s="2066" t="s">
        <v>1805</v>
      </c>
      <c r="E41" s="1991" t="s">
        <v>1806</v>
      </c>
      <c r="F41" s="2067" t="e">
        <f ca="1">IF(INDIRECT("'数据-取费表'!af"&amp;$G$1)=0,INDIRECT("'数据-取费表'!ae"&amp;$G$1),INDIRECT("'数据-取费表'!af"&amp;$G$1))</f>
        <v>#N/A</v>
      </c>
      <c r="G41" s="762"/>
      <c r="H41" s="2068"/>
      <c r="I41" s="2152"/>
      <c r="J41" s="2153"/>
      <c r="K41" s="2160"/>
      <c r="L41" s="2068"/>
      <c r="M41" s="2068"/>
    </row>
    <row r="42" spans="1:18" ht="18" customHeight="1">
      <c r="A42" s="2004"/>
      <c r="B42" s="2069"/>
      <c r="C42" s="2017"/>
      <c r="D42" s="2055"/>
      <c r="E42" s="1991" t="s">
        <v>1809</v>
      </c>
      <c r="F42" s="1999" t="e">
        <f ca="1">INDIRECT("'数据-取费表'!v"&amp;$G$1)</f>
        <v>#N/A</v>
      </c>
      <c r="G42" s="762"/>
      <c r="H42" s="2068"/>
      <c r="I42" s="2152"/>
      <c r="J42" s="2153"/>
      <c r="K42" s="2160"/>
      <c r="L42" s="2068"/>
      <c r="M42" s="2068"/>
    </row>
    <row r="43" spans="1:18" ht="18" customHeight="1">
      <c r="A43" s="2040" t="s">
        <v>1811</v>
      </c>
      <c r="B43" s="2070" t="s">
        <v>1817</v>
      </c>
      <c r="C43" s="2071" t="e">
        <f ca="1">ROUND(C40*10000/F43,0)</f>
        <v>#N/A</v>
      </c>
      <c r="D43" s="2072" t="s">
        <v>1818</v>
      </c>
      <c r="E43" s="2073" t="s">
        <v>1819</v>
      </c>
      <c r="F43" s="2074" t="e">
        <f ca="1">INDIRECT("'数据-取费表'!k"&amp;$G$1)</f>
        <v>#N/A</v>
      </c>
      <c r="G43" s="762"/>
      <c r="H43" s="2068"/>
      <c r="I43" s="2068"/>
      <c r="J43" s="2068"/>
      <c r="K43" s="2160"/>
      <c r="L43" s="2068"/>
      <c r="M43" s="2068"/>
    </row>
    <row r="44" spans="1:18" s="762" customFormat="1" ht="18" customHeight="1">
      <c r="A44" s="2075"/>
      <c r="B44" s="2075"/>
      <c r="C44" s="2076"/>
      <c r="D44" s="2075"/>
      <c r="E44" s="2075"/>
      <c r="F44" s="2075"/>
      <c r="K44" s="2162"/>
    </row>
    <row r="45" spans="1:18" s="762" customFormat="1" ht="18" customHeight="1">
      <c r="A45" s="2075"/>
      <c r="B45" s="2075"/>
      <c r="C45" s="2076"/>
      <c r="D45" s="2075"/>
      <c r="E45" s="2075"/>
      <c r="F45" s="2075"/>
      <c r="J45" s="1036"/>
      <c r="O45" s="2246" t="s">
        <v>1820</v>
      </c>
      <c r="P45" s="2064"/>
      <c r="Q45" s="2064"/>
      <c r="R45" s="2064"/>
    </row>
    <row r="46" spans="1:18" s="762" customFormat="1">
      <c r="A46" s="2080" t="s">
        <v>1821</v>
      </c>
      <c r="C46" s="2081" t="e">
        <f ca="1">C68-C40</f>
        <v>#N/A</v>
      </c>
      <c r="D46" s="2082" t="str">
        <f>C2</f>
        <v>万元</v>
      </c>
      <c r="E46" s="2075"/>
      <c r="F46" s="2075"/>
      <c r="I46" s="2164" t="s">
        <v>1822</v>
      </c>
      <c r="J46" s="2165"/>
      <c r="K46" s="2166"/>
      <c r="L46" s="2167" t="e">
        <f ca="1">IF(M47="住宅",0,IF(L48&gt;J51,L60,J60))</f>
        <v>#N/A</v>
      </c>
      <c r="O46" s="2168" t="s">
        <v>1823</v>
      </c>
      <c r="P46" s="2169" t="s">
        <v>1824</v>
      </c>
      <c r="Q46" s="2213" t="s">
        <v>1825</v>
      </c>
      <c r="R46" s="2213" t="s">
        <v>1826</v>
      </c>
    </row>
    <row r="47" spans="1:18" s="762" customFormat="1">
      <c r="A47" s="2083" t="s">
        <v>1726</v>
      </c>
      <c r="B47" s="2084" t="s">
        <v>1727</v>
      </c>
      <c r="C47" s="2241" t="s">
        <v>1728</v>
      </c>
      <c r="D47" s="2084" t="s">
        <v>1729</v>
      </c>
      <c r="E47" s="2085" t="s">
        <v>1730</v>
      </c>
      <c r="F47" s="996"/>
      <c r="G47" s="2086"/>
      <c r="I47" s="2170" t="s">
        <v>1827</v>
      </c>
      <c r="J47" s="2171" t="s">
        <v>1828</v>
      </c>
      <c r="K47" s="2172" t="s">
        <v>1829</v>
      </c>
      <c r="L47" s="2173" t="e">
        <f ca="1">INDIRECT("'数据-取费表'!d"&amp;$G$1)</f>
        <v>#N/A</v>
      </c>
      <c r="M47" s="2174" t="str">
        <f>IF(ISNUMBER(FIND("住宅",C1)),"住宅","非住宅")</f>
        <v>非住宅</v>
      </c>
      <c r="O47" s="2175" t="s">
        <v>1577</v>
      </c>
      <c r="P47" s="2176" t="s">
        <v>1830</v>
      </c>
      <c r="Q47" s="2214" t="e">
        <f ca="1">C40+J29</f>
        <v>#N/A</v>
      </c>
      <c r="R47" s="2214" t="s">
        <v>1831</v>
      </c>
    </row>
    <row r="48" spans="1:18" s="762" customFormat="1" ht="27.75">
      <c r="A48" s="2087" t="s">
        <v>1832</v>
      </c>
      <c r="B48" s="1983" t="s">
        <v>1731</v>
      </c>
      <c r="C48" s="1004" t="e">
        <f ca="1">C49+C53+C55</f>
        <v>#N/A</v>
      </c>
      <c r="D48" s="2088"/>
      <c r="E48" s="2089"/>
      <c r="F48" s="2090"/>
      <c r="G48" s="2086"/>
      <c r="H48" s="2091"/>
      <c r="I48" s="2177" t="s">
        <v>1833</v>
      </c>
      <c r="J48" s="2178" t="s">
        <v>1834</v>
      </c>
      <c r="K48" s="2179" t="s">
        <v>1835</v>
      </c>
      <c r="L48" s="2180" t="e">
        <f ca="1">INDIRECT("'数据-取费表'!f"&amp;$G$1)</f>
        <v>#N/A</v>
      </c>
      <c r="O48" s="2175" t="s">
        <v>1581</v>
      </c>
      <c r="P48" s="2176" t="s">
        <v>1836</v>
      </c>
      <c r="Q48" s="2214" t="e">
        <f ca="1">J60</f>
        <v>#N/A</v>
      </c>
      <c r="R48" s="2214" t="s">
        <v>1837</v>
      </c>
    </row>
    <row r="49" spans="1:18" s="762" customFormat="1">
      <c r="A49" s="2092" t="s">
        <v>1838</v>
      </c>
      <c r="B49" s="2093" t="s">
        <v>1839</v>
      </c>
      <c r="C49" s="2094" t="e">
        <f ca="1">ROUND(F49*F51*F50*(1-F52)/10000,0)</f>
        <v>#N/A</v>
      </c>
      <c r="D49" s="2095" t="s">
        <v>1736</v>
      </c>
      <c r="E49" s="2096" t="s">
        <v>1840</v>
      </c>
      <c r="F49" s="2097"/>
      <c r="G49" s="2098"/>
      <c r="H49" s="2091"/>
      <c r="I49" s="2177" t="s">
        <v>1841</v>
      </c>
      <c r="J49" s="2247">
        <f>'数据-取费表'!N18</f>
        <v>2010</v>
      </c>
      <c r="K49" s="2179" t="s">
        <v>1842</v>
      </c>
      <c r="L49" s="2181"/>
      <c r="O49" s="2182" t="s">
        <v>1843</v>
      </c>
      <c r="P49" s="2176" t="s">
        <v>1844</v>
      </c>
      <c r="Q49" s="2214" t="e">
        <f ca="1">C29</f>
        <v>#N/A</v>
      </c>
      <c r="R49" s="2214" t="s">
        <v>1831</v>
      </c>
    </row>
    <row r="50" spans="1:18" s="762" customFormat="1">
      <c r="A50" s="2099"/>
      <c r="B50" s="2100"/>
      <c r="C50" s="2242"/>
      <c r="D50" s="2102"/>
      <c r="E50" s="2103" t="s">
        <v>1737</v>
      </c>
      <c r="F50" s="2104" t="e">
        <f ca="1">F7</f>
        <v>#N/A</v>
      </c>
      <c r="H50" s="2091"/>
      <c r="I50" s="2177" t="s">
        <v>1845</v>
      </c>
      <c r="J50" s="2183">
        <f>SUMPRODUCT((I63:I65=J47)*(J62:L62=J48)*(J63:L65))</f>
        <v>60</v>
      </c>
      <c r="K50" s="2179" t="s">
        <v>1846</v>
      </c>
      <c r="L50" s="2181"/>
      <c r="M50" s="2184"/>
      <c r="O50" s="2182" t="s">
        <v>1847</v>
      </c>
      <c r="P50" s="2176" t="s">
        <v>1848</v>
      </c>
      <c r="Q50" s="2215" t="e">
        <f ca="1">J58</f>
        <v>#N/A</v>
      </c>
      <c r="R50" s="2214"/>
    </row>
    <row r="51" spans="1:18" s="762" customFormat="1">
      <c r="A51" s="2105"/>
      <c r="B51" s="2100"/>
      <c r="C51" s="2101"/>
      <c r="D51" s="2102"/>
      <c r="E51" s="2106" t="s">
        <v>1738</v>
      </c>
      <c r="F51" s="1992" t="e">
        <f ca="1">F8</f>
        <v>#N/A</v>
      </c>
      <c r="I51" s="2185" t="s">
        <v>1849</v>
      </c>
      <c r="J51" s="2186">
        <f>IF(J49="",J50,J49+J50-YEAR('数据-取费表'!B2))</f>
        <v>46</v>
      </c>
      <c r="K51" s="2187" t="s">
        <v>1850</v>
      </c>
      <c r="L51" s="2188" t="e">
        <f ca="1">ROUND(-PV(INDIRECT("'数据-取费表'!h"&amp;$G$1),J51,(C39-C13*C76),0),0)</f>
        <v>#N/A</v>
      </c>
      <c r="M51" s="2189"/>
      <c r="O51" s="2182" t="s">
        <v>1851</v>
      </c>
      <c r="P51" s="2176" t="s">
        <v>1852</v>
      </c>
      <c r="Q51" s="2215">
        <f>J52</f>
        <v>7.4999999999999997E-2</v>
      </c>
      <c r="R51" s="2214"/>
    </row>
    <row r="52" spans="1:18" s="762" customFormat="1">
      <c r="A52" s="2105"/>
      <c r="B52" s="2100"/>
      <c r="C52" s="2101"/>
      <c r="D52" s="2102"/>
      <c r="E52" s="2106" t="s">
        <v>1739</v>
      </c>
      <c r="F52" s="2107"/>
      <c r="I52" s="2190" t="s">
        <v>1853</v>
      </c>
      <c r="J52" s="2191">
        <f>'数据-取费表'!J6+0.5%</f>
        <v>7.4999999999999997E-2</v>
      </c>
      <c r="K52" s="2190" t="s">
        <v>1854</v>
      </c>
      <c r="L52" s="2191"/>
      <c r="O52" s="2182" t="s">
        <v>1855</v>
      </c>
      <c r="P52" s="2176" t="s">
        <v>1856</v>
      </c>
      <c r="Q52" s="2214" t="e">
        <f ca="1">J53</f>
        <v>#N/A</v>
      </c>
      <c r="R52" s="2214" t="s">
        <v>1857</v>
      </c>
    </row>
    <row r="53" spans="1:18" s="762" customFormat="1" ht="24">
      <c r="A53" s="2243" t="s">
        <v>1858</v>
      </c>
      <c r="B53" s="2244" t="s">
        <v>1740</v>
      </c>
      <c r="C53" s="1002">
        <f ca="1">ROUND(IF(F53="押一",C49/12*F11,IF(F53="押二",C49/12*2*F11,IF(F53="押三",C49/12*3*F11,C54*F11))),0)</f>
        <v>0</v>
      </c>
      <c r="D53" s="2001" t="s">
        <v>1741</v>
      </c>
      <c r="E53" s="2002" t="s">
        <v>1742</v>
      </c>
      <c r="F53" s="2003"/>
      <c r="I53" s="2192" t="s">
        <v>1859</v>
      </c>
      <c r="J53" s="2193" t="e">
        <f ca="1">IF(M47="住宅",IF(D1="——",MAX(J51,L48),MAX(J51,L48-'数据-取费表'!B24)),IF(D1="——",MIN(J51,L48),MIN(J51,L48-'数据-取费表'!B24)))</f>
        <v>#N/A</v>
      </c>
      <c r="K53" s="3786" t="s">
        <v>1860</v>
      </c>
      <c r="L53" s="3787"/>
      <c r="O53" s="2175" t="s">
        <v>1682</v>
      </c>
      <c r="P53" s="2176" t="s">
        <v>1861</v>
      </c>
      <c r="Q53" s="2214" t="e">
        <f ca="1">Q47+Q48</f>
        <v>#N/A</v>
      </c>
      <c r="R53" s="2214" t="s">
        <v>1862</v>
      </c>
    </row>
    <row r="54" spans="1:18" s="762" customFormat="1">
      <c r="A54" s="2245"/>
      <c r="B54" s="2005" t="s">
        <v>1744</v>
      </c>
      <c r="C54" s="2006"/>
      <c r="D54" s="2001"/>
      <c r="E54" s="2110"/>
      <c r="F54" s="2111"/>
      <c r="I54" s="21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5"/>
      <c r="K54" s="2195"/>
      <c r="L54" s="2195"/>
      <c r="M54" s="2098"/>
      <c r="O54" s="2163" t="s">
        <v>1863</v>
      </c>
      <c r="P54" s="2196"/>
      <c r="Q54" s="2196"/>
      <c r="R54" s="2196"/>
    </row>
    <row r="55" spans="1:18" s="762" customFormat="1">
      <c r="A55" s="2009" t="s">
        <v>1520</v>
      </c>
      <c r="B55" s="2010" t="s">
        <v>1746</v>
      </c>
      <c r="C55" s="2011"/>
      <c r="D55" s="2001"/>
      <c r="E55" s="2110"/>
      <c r="F55" s="2111"/>
      <c r="I55" s="2197" t="s">
        <v>1864</v>
      </c>
      <c r="J55" s="2198" t="e">
        <f ca="1">ROUND(IF(J47="钢混",J57/J50,1-(1-2%)*(J50-J57)/J50),3)</f>
        <v>#N/A</v>
      </c>
      <c r="K55" s="2199" t="s">
        <v>1865</v>
      </c>
      <c r="L55" s="2200"/>
      <c r="O55" s="2168" t="s">
        <v>1823</v>
      </c>
      <c r="P55" s="2169" t="s">
        <v>1824</v>
      </c>
      <c r="Q55" s="2213" t="s">
        <v>1825</v>
      </c>
      <c r="R55" s="2213" t="s">
        <v>1826</v>
      </c>
    </row>
    <row r="56" spans="1:18" s="762" customFormat="1" ht="24">
      <c r="A56" s="2112">
        <v>2</v>
      </c>
      <c r="B56" s="2113" t="s">
        <v>1747</v>
      </c>
      <c r="C56" s="414" t="e">
        <f ca="1">C13</f>
        <v>#N/A</v>
      </c>
      <c r="D56" s="2114"/>
      <c r="E56" s="2115"/>
      <c r="F56" s="2111"/>
      <c r="I56" s="2201" t="s">
        <v>1866</v>
      </c>
      <c r="J56" s="2202" t="s">
        <v>1867</v>
      </c>
      <c r="K56" s="2177" t="s">
        <v>1868</v>
      </c>
      <c r="L56" s="2180" t="e">
        <f ca="1">IF(L48&lt;J51,"——",L48-J53)</f>
        <v>#N/A</v>
      </c>
      <c r="O56" s="2175" t="s">
        <v>1577</v>
      </c>
      <c r="P56" s="2176" t="s">
        <v>1830</v>
      </c>
      <c r="Q56" s="2214" t="e">
        <f ca="1">C40+J29</f>
        <v>#N/A</v>
      </c>
      <c r="R56" s="2214" t="s">
        <v>1831</v>
      </c>
    </row>
    <row r="57" spans="1:18" s="762" customFormat="1" ht="24">
      <c r="A57" s="2116"/>
      <c r="B57" s="2117" t="s">
        <v>1810</v>
      </c>
      <c r="C57" s="424" t="e">
        <f ca="1">C29</f>
        <v>#N/A</v>
      </c>
      <c r="D57" s="2118"/>
      <c r="E57" s="2119"/>
      <c r="F57" s="2120"/>
      <c r="I57" s="2203" t="s">
        <v>1869</v>
      </c>
      <c r="J57" s="2204" t="e">
        <f ca="1">IF(OR(M47="住宅",J51&lt;L48,J56="是"),"——",J51-L48)</f>
        <v>#N/A</v>
      </c>
      <c r="K57" s="2177" t="s">
        <v>1870</v>
      </c>
      <c r="L57" s="2180" t="e">
        <f ca="1">IF(L48&lt;J51,"——",IF(L55="比较法",L49,IF(L55="基准地价",L50,L51)))</f>
        <v>#N/A</v>
      </c>
      <c r="O57" s="2175" t="s">
        <v>1581</v>
      </c>
      <c r="P57" s="2176" t="s">
        <v>1871</v>
      </c>
      <c r="Q57" s="2214" t="e">
        <f ca="1">L60</f>
        <v>#N/A</v>
      </c>
      <c r="R57" s="2214" t="s">
        <v>1872</v>
      </c>
    </row>
    <row r="58" spans="1:18" s="762" customFormat="1" ht="24">
      <c r="A58" s="2121" t="s">
        <v>1755</v>
      </c>
      <c r="B58" s="2113" t="s">
        <v>1756</v>
      </c>
      <c r="C58" s="1002" t="e">
        <f ca="1">ROUND(C59+C64+C65+C66,0)</f>
        <v>#N/A</v>
      </c>
      <c r="D58" s="2122" t="s">
        <v>1757</v>
      </c>
      <c r="E58" s="2123"/>
      <c r="F58" s="2090"/>
      <c r="I58" s="2203" t="s">
        <v>1873</v>
      </c>
      <c r="J58" s="2205" t="e">
        <f ca="1">IF(J55&lt;0.4,0.4,J55)</f>
        <v>#N/A</v>
      </c>
      <c r="K58" s="2187" t="s">
        <v>1874</v>
      </c>
      <c r="L58" s="2180" t="e">
        <f ca="1">ROUND(POWER(1+L52,L47-L48)*(POWER(1+L52,L48)-1)/(POWER(1+L52,L47)-1),4)</f>
        <v>#N/A</v>
      </c>
      <c r="O58" s="2182" t="s">
        <v>1843</v>
      </c>
      <c r="P58" s="2176" t="s">
        <v>1875</v>
      </c>
      <c r="Q58" s="2214">
        <f>IF(L55="比较法",L49,IF(L55="基准地价",L50,0))</f>
        <v>0</v>
      </c>
      <c r="R58" s="2214" t="s">
        <v>1831</v>
      </c>
    </row>
    <row r="59" spans="1:18" s="762" customFormat="1" ht="24">
      <c r="A59" s="2020" t="s">
        <v>1470</v>
      </c>
      <c r="B59" s="2117" t="s">
        <v>1762</v>
      </c>
      <c r="C59" s="2044" t="e">
        <f ca="1">ROUND(IF(AND(项目基本情况!B11="自然人",项目基本情况!B10="北京市"),C49*F59/(1+'数据-取费表'!C42),C60+C61+C62),0)</f>
        <v>#N/A</v>
      </c>
      <c r="D59" s="2124" t="s">
        <v>1763</v>
      </c>
      <c r="E59" s="2125" t="s">
        <v>1764</v>
      </c>
      <c r="F59" s="2046" t="str">
        <f>IF(项目基本情况!B11="企业","——",IF('数据-取费表'!B10="住宅",IF(F49*F50*F51/12/(1+'数据-取费表'!F30)&gt;100000,4%,2.5%),IF(F49*F50*F51/12/(1+'数据-取费表'!F30)&gt;100000,12%,7%)))</f>
        <v>——</v>
      </c>
      <c r="I59" s="2203" t="s">
        <v>1876</v>
      </c>
      <c r="J59" s="2204" t="e">
        <f ca="1">IF(OR(M47="住宅",J51&lt;L48,J56="是"),"——",ROUND(C29*J58,0))</f>
        <v>#N/A</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#N/A</v>
      </c>
      <c r="M59" s="2174" t="e">
        <f ca="1">ROUND(POWER(1+L52,L47-(J51+'数据-取费表'!B24))*(POWER(1+L52,(J51+'数据-取费表'!B24))-1)/(POWER(1+L52,L47)-1),4)</f>
        <v>#N/A</v>
      </c>
      <c r="N59" s="2174" t="e">
        <f ca="1">ROUND(POWER(1+L52,L47-(J51+'数据-取费表'!B20))*(POWER(1+L52,(J51+'数据-取费表'!B20))-1)/(POWER(1+L52,L47)-1),4)</f>
        <v>#N/A</v>
      </c>
      <c r="O59" s="2182" t="s">
        <v>1847</v>
      </c>
      <c r="P59" s="2176" t="s">
        <v>1877</v>
      </c>
      <c r="Q59" s="2215">
        <f>L52</f>
        <v>0</v>
      </c>
      <c r="R59" s="2214"/>
    </row>
    <row r="60" spans="1:18" s="762" customFormat="1" ht="15.75">
      <c r="A60" s="2020" t="s">
        <v>1493</v>
      </c>
      <c r="B60" s="2117" t="s">
        <v>1766</v>
      </c>
      <c r="C60" s="1003" t="e">
        <f ca="1">IF(项目基本情况!B11="自然人","——",ROUND(C48*F60/(1+'数据-取费表'!C42),2))</f>
        <v>#N/A</v>
      </c>
      <c r="D60" s="2125" t="s">
        <v>1767</v>
      </c>
      <c r="E60" s="2117" t="s">
        <v>1754</v>
      </c>
      <c r="F60" s="2036">
        <f t="shared" ref="F60:F66" si="0">F32</f>
        <v>5.6000000000000001E-2</v>
      </c>
      <c r="I60" s="2206" t="s">
        <v>1878</v>
      </c>
      <c r="J60" s="2207" t="e">
        <f ca="1">IF(OR(M47="住宅",J51&lt;L48,J56="是"),"0",ROUND(J59/(1+J52)^J53,0))</f>
        <v>#N/A</v>
      </c>
      <c r="K60" s="2208" t="s">
        <v>1879</v>
      </c>
      <c r="L60" s="2207" t="e">
        <f ca="1">IF(OR(M47="住宅",L48&lt;J51),0,ROUND(L57*(L58/L59-1),0))</f>
        <v>#N/A</v>
      </c>
      <c r="O60" s="2182" t="s">
        <v>1851</v>
      </c>
      <c r="P60" s="2176" t="s">
        <v>1880</v>
      </c>
      <c r="Q60" s="2214" t="e">
        <f ca="1">L58</f>
        <v>#N/A</v>
      </c>
      <c r="R60" s="2214" t="s">
        <v>1881</v>
      </c>
    </row>
    <row r="61" spans="1:18" s="762" customFormat="1">
      <c r="A61" s="2020" t="s">
        <v>1497</v>
      </c>
      <c r="B61" s="2117" t="s">
        <v>1770</v>
      </c>
      <c r="C61" s="1003" t="e">
        <f ca="1">IF(项目基本情况!B11="自然人","——",IF(D61="按租金收入计税",ROUND(C49*F61/(1+'数据-取费表'!C42),2),IF(D61="按房产原值计税",ROUND(C57*F61*0.7,2),INDIRECT("'数据-取费表'!Aj"&amp;$G$1))))</f>
        <v>#N/A</v>
      </c>
      <c r="D61" s="2048" t="s">
        <v>1771</v>
      </c>
      <c r="E61" s="2117" t="s">
        <v>1754</v>
      </c>
      <c r="F61" s="2029">
        <f t="shared" si="0"/>
        <v>0.12</v>
      </c>
      <c r="I61" s="2064"/>
      <c r="J61" s="2064"/>
      <c r="K61" s="2064"/>
      <c r="L61" s="2064"/>
      <c r="O61" s="2182" t="s">
        <v>1855</v>
      </c>
      <c r="P61" s="2176" t="str">
        <f>K59</f>
        <v>建筑物剩余耐用年限下的土地年期修正系数Kn</v>
      </c>
      <c r="Q61" s="2214" t="e">
        <f ca="1">L59</f>
        <v>#N/A</v>
      </c>
      <c r="R61" s="2214" t="s">
        <v>1882</v>
      </c>
    </row>
    <row r="62" spans="1:18" s="762" customFormat="1">
      <c r="A62" s="2020" t="s">
        <v>1500</v>
      </c>
      <c r="B62" s="2126" t="s">
        <v>1774</v>
      </c>
      <c r="C62" s="2050" t="e">
        <f ca="1">IF(项目基本情况!B11="自然人","——",ROUND(F62*F63/10000,2))</f>
        <v>#N/A</v>
      </c>
      <c r="D62" s="2127" t="s">
        <v>1775</v>
      </c>
      <c r="E62" s="2117" t="s">
        <v>1776</v>
      </c>
      <c r="F62" s="2035">
        <f t="shared" si="0"/>
        <v>1.5</v>
      </c>
      <c r="I62" s="2209" t="s">
        <v>1883</v>
      </c>
      <c r="J62" s="2210" t="s">
        <v>1884</v>
      </c>
      <c r="K62" s="2210" t="s">
        <v>1885</v>
      </c>
      <c r="L62" s="2210" t="s">
        <v>1886</v>
      </c>
      <c r="M62" s="2211" t="s">
        <v>1887</v>
      </c>
      <c r="O62" s="2175" t="s">
        <v>1682</v>
      </c>
      <c r="P62" s="2176" t="s">
        <v>1861</v>
      </c>
      <c r="Q62" s="2214" t="e">
        <f ca="1">Q56+Q57</f>
        <v>#N/A</v>
      </c>
      <c r="R62" s="2214" t="s">
        <v>1862</v>
      </c>
    </row>
    <row r="63" spans="1:18" s="762" customFormat="1">
      <c r="A63" s="2033"/>
      <c r="B63" s="2128"/>
      <c r="C63" s="2054"/>
      <c r="D63" s="2129"/>
      <c r="E63" s="2117" t="s">
        <v>1780</v>
      </c>
      <c r="F63" s="1992" t="e">
        <f t="shared" ca="1" si="0"/>
        <v>#N/A</v>
      </c>
      <c r="I63" s="2209" t="s">
        <v>1888</v>
      </c>
      <c r="J63" s="2210">
        <v>70</v>
      </c>
      <c r="K63" s="2210">
        <v>50</v>
      </c>
      <c r="L63" s="2210">
        <v>80</v>
      </c>
      <c r="M63" s="2212">
        <v>0.02</v>
      </c>
      <c r="O63" s="2163" t="s">
        <v>1889</v>
      </c>
      <c r="P63" s="2196"/>
      <c r="Q63" s="2196"/>
      <c r="R63" s="2196"/>
    </row>
    <row r="64" spans="1:18" s="762" customFormat="1">
      <c r="A64" s="2020" t="s">
        <v>1474</v>
      </c>
      <c r="B64" s="2117" t="s">
        <v>1782</v>
      </c>
      <c r="C64" s="1003" t="e">
        <f ca="1">ROUND(C57*F64,2)</f>
        <v>#N/A</v>
      </c>
      <c r="D64" s="2125" t="s">
        <v>1815</v>
      </c>
      <c r="E64" s="2117" t="s">
        <v>1754</v>
      </c>
      <c r="F64" s="2057" t="e">
        <f t="shared" ca="1" si="0"/>
        <v>#N/A</v>
      </c>
      <c r="I64" s="2209" t="s">
        <v>1890</v>
      </c>
      <c r="J64" s="2210">
        <v>50</v>
      </c>
      <c r="K64" s="2210">
        <v>35</v>
      </c>
      <c r="L64" s="2210">
        <v>60</v>
      </c>
      <c r="M64" s="2211">
        <v>0</v>
      </c>
      <c r="O64" s="2168" t="s">
        <v>1823</v>
      </c>
      <c r="P64" s="2169" t="s">
        <v>1824</v>
      </c>
      <c r="Q64" s="2213" t="s">
        <v>1825</v>
      </c>
      <c r="R64" s="2213" t="s">
        <v>1826</v>
      </c>
    </row>
    <row r="65" spans="1:18" s="762" customFormat="1">
      <c r="A65" s="2020" t="s">
        <v>1520</v>
      </c>
      <c r="B65" s="2117" t="s">
        <v>1786</v>
      </c>
      <c r="C65" s="1003" t="e">
        <f ca="1">ROUND(C56*F65,2)</f>
        <v>#N/A</v>
      </c>
      <c r="D65" s="2125" t="s">
        <v>1787</v>
      </c>
      <c r="E65" s="2117" t="s">
        <v>1754</v>
      </c>
      <c r="F65" s="2058" t="e">
        <f t="shared" ca="1" si="0"/>
        <v>#N/A</v>
      </c>
      <c r="I65" s="2209" t="s">
        <v>1891</v>
      </c>
      <c r="J65" s="2210">
        <v>40</v>
      </c>
      <c r="K65" s="2210">
        <v>30</v>
      </c>
      <c r="L65" s="2210">
        <v>50</v>
      </c>
      <c r="M65" s="2212">
        <v>0.02</v>
      </c>
      <c r="O65" s="2175" t="s">
        <v>1577</v>
      </c>
      <c r="P65" s="2176" t="s">
        <v>1830</v>
      </c>
      <c r="Q65" s="2214" t="e">
        <f ca="1">C40+J29</f>
        <v>#N/A</v>
      </c>
      <c r="R65" s="2214" t="s">
        <v>1831</v>
      </c>
    </row>
    <row r="66" spans="1:18" s="762" customFormat="1" ht="15.75">
      <c r="A66" s="2020" t="s">
        <v>1523</v>
      </c>
      <c r="B66" s="2117" t="s">
        <v>1772</v>
      </c>
      <c r="C66" s="1003" t="e">
        <f ca="1">ROUND(C48*F66,2)</f>
        <v>#N/A</v>
      </c>
      <c r="D66" s="2125" t="s">
        <v>1790</v>
      </c>
      <c r="E66" s="2117" t="s">
        <v>1754</v>
      </c>
      <c r="F66" s="1999" t="e">
        <f t="shared" ca="1" si="0"/>
        <v>#N/A</v>
      </c>
      <c r="O66" s="2175" t="s">
        <v>1581</v>
      </c>
      <c r="P66" s="2176" t="s">
        <v>1871</v>
      </c>
      <c r="Q66" s="2214" t="e">
        <f ca="1">L60</f>
        <v>#N/A</v>
      </c>
      <c r="R66" s="2214" t="s">
        <v>1872</v>
      </c>
    </row>
    <row r="67" spans="1:18" s="762" customFormat="1" ht="15.75">
      <c r="A67" s="2112" t="s">
        <v>1793</v>
      </c>
      <c r="B67" s="2216" t="s">
        <v>1794</v>
      </c>
      <c r="C67" s="1002" t="e">
        <f ca="1">C48-C58</f>
        <v>#N/A</v>
      </c>
      <c r="D67" s="2124" t="s">
        <v>1795</v>
      </c>
      <c r="E67" s="2217"/>
      <c r="F67" s="2218"/>
      <c r="O67" s="2182" t="s">
        <v>1843</v>
      </c>
      <c r="P67" s="2176" t="s">
        <v>1875</v>
      </c>
      <c r="Q67" s="2238" t="e">
        <f ca="1">L51</f>
        <v>#N/A</v>
      </c>
      <c r="R67" s="2214" t="s">
        <v>1892</v>
      </c>
    </row>
    <row r="68" spans="1:18" s="762" customFormat="1" ht="15.75">
      <c r="A68" s="2219" t="s">
        <v>1799</v>
      </c>
      <c r="B68" s="2220" t="s">
        <v>1816</v>
      </c>
      <c r="C68" s="2063" t="e">
        <f ca="1">ROUND(C67*(1-((1+F70)/(1+F68))^F69)/(F68-F70),0)</f>
        <v>#N/A</v>
      </c>
      <c r="D68" s="2127" t="s">
        <v>1801</v>
      </c>
      <c r="E68" s="2117" t="s">
        <v>1802</v>
      </c>
      <c r="F68" s="1999" t="e">
        <f ca="1">F40</f>
        <v>#N/A</v>
      </c>
      <c r="O68" s="2182" t="s">
        <v>1847</v>
      </c>
      <c r="P68" s="2237" t="s">
        <v>1893</v>
      </c>
      <c r="Q68" s="2214" t="e">
        <f ca="1">ROUND(Q69-Q70*Q71,0)</f>
        <v>#N/A</v>
      </c>
      <c r="R68" s="2214" t="s">
        <v>1894</v>
      </c>
    </row>
    <row r="69" spans="1:18" s="762" customFormat="1">
      <c r="A69" s="2221"/>
      <c r="B69" s="2222"/>
      <c r="C69" s="1998"/>
      <c r="D69" s="2223" t="s">
        <v>1805</v>
      </c>
      <c r="E69" s="2117" t="s">
        <v>1806</v>
      </c>
      <c r="F69" s="2067" t="e">
        <f ca="1">F41</f>
        <v>#N/A</v>
      </c>
      <c r="O69" s="2182" t="s">
        <v>1895</v>
      </c>
      <c r="P69" s="2237" t="s">
        <v>1896</v>
      </c>
      <c r="Q69" s="2214" t="e">
        <f ca="1">C39</f>
        <v>#N/A</v>
      </c>
      <c r="R69" s="2214" t="s">
        <v>1831</v>
      </c>
    </row>
    <row r="70" spans="1:18" s="762" customFormat="1">
      <c r="A70" s="2224"/>
      <c r="B70" s="2225"/>
      <c r="C70" s="2017"/>
      <c r="D70" s="2129"/>
      <c r="E70" s="2117" t="s">
        <v>1809</v>
      </c>
      <c r="F70" s="2107"/>
      <c r="O70" s="2182" t="s">
        <v>1897</v>
      </c>
      <c r="P70" s="2237" t="s">
        <v>1898</v>
      </c>
      <c r="Q70" s="2214" t="e">
        <f ca="1">C13</f>
        <v>#N/A</v>
      </c>
      <c r="R70" s="2214" t="s">
        <v>1831</v>
      </c>
    </row>
    <row r="71" spans="1:18" s="762" customFormat="1">
      <c r="A71" s="2226" t="s">
        <v>1811</v>
      </c>
      <c r="B71" s="2227" t="s">
        <v>1817</v>
      </c>
      <c r="C71" s="2071" t="e">
        <f ca="1">ROUND(C68*10000/F71,0)</f>
        <v>#N/A</v>
      </c>
      <c r="D71" s="2228" t="s">
        <v>1818</v>
      </c>
      <c r="E71" s="2229" t="s">
        <v>1819</v>
      </c>
      <c r="F71" s="2074" t="e">
        <f ca="1">F43</f>
        <v>#N/A</v>
      </c>
      <c r="O71" s="2182" t="s">
        <v>1899</v>
      </c>
      <c r="P71" s="2237" t="s">
        <v>1900</v>
      </c>
      <c r="Q71" s="2215" t="e">
        <f ca="1">C76</f>
        <v>#N/A</v>
      </c>
      <c r="R71" s="2214"/>
    </row>
    <row r="72" spans="1:18" s="762" customFormat="1">
      <c r="B72" s="1036"/>
      <c r="C72" s="1036"/>
      <c r="O72" s="2182" t="s">
        <v>1851</v>
      </c>
      <c r="P72" s="2176" t="s">
        <v>1877</v>
      </c>
      <c r="Q72" s="2215">
        <f>L52</f>
        <v>0</v>
      </c>
      <c r="R72" s="2214"/>
    </row>
    <row r="73" spans="1:18" ht="15.75">
      <c r="A73" s="762"/>
      <c r="B73" s="1036"/>
      <c r="C73" s="1036"/>
      <c r="D73" s="762"/>
      <c r="E73" s="762"/>
      <c r="F73" s="762"/>
      <c r="O73" s="2182" t="s">
        <v>1855</v>
      </c>
      <c r="P73" s="2176" t="s">
        <v>1880</v>
      </c>
      <c r="Q73" s="2214" t="e">
        <f ca="1">L58</f>
        <v>#N/A</v>
      </c>
      <c r="R73" s="2214" t="s">
        <v>1881</v>
      </c>
    </row>
    <row r="74" spans="1:18">
      <c r="A74" s="762"/>
      <c r="B74" s="456" t="s">
        <v>1901</v>
      </c>
      <c r="C74" s="2230"/>
      <c r="D74" s="762"/>
      <c r="E74" s="762"/>
      <c r="F74" s="762"/>
      <c r="O74" s="2182" t="s">
        <v>1902</v>
      </c>
      <c r="P74" s="2176" t="str">
        <f>K59</f>
        <v>建筑物剩余耐用年限下的土地年期修正系数Kn</v>
      </c>
      <c r="Q74" s="2214" t="e">
        <f ca="1">L59</f>
        <v>#N/A</v>
      </c>
      <c r="R74" s="2214" t="s">
        <v>1882</v>
      </c>
    </row>
    <row r="75" spans="1:18">
      <c r="A75" s="762"/>
      <c r="B75" s="2231" t="s">
        <v>1903</v>
      </c>
      <c r="C75" s="2232" t="e">
        <f ca="1">ROUND(C13*C76,0)</f>
        <v>#N/A</v>
      </c>
      <c r="D75" s="762"/>
      <c r="E75" s="762"/>
      <c r="F75" s="762"/>
      <c r="K75" s="2162"/>
      <c r="L75" s="762"/>
      <c r="O75" s="2175" t="s">
        <v>1682</v>
      </c>
      <c r="P75" s="2176" t="s">
        <v>1861</v>
      </c>
      <c r="Q75" s="2214" t="e">
        <f ca="1">Q65+Q66</f>
        <v>#N/A</v>
      </c>
      <c r="R75" s="2214" t="s">
        <v>1862</v>
      </c>
    </row>
    <row r="76" spans="1:18">
      <c r="B76" s="546" t="s">
        <v>1904</v>
      </c>
      <c r="C76" s="2233" t="e">
        <f ca="1">INDIRECT("'数据-取费表'!j"&amp;$G$1)</f>
        <v>#N/A</v>
      </c>
      <c r="I76" s="762"/>
      <c r="J76" s="762"/>
      <c r="K76" s="2162"/>
      <c r="L76" s="762"/>
    </row>
    <row r="77" spans="1:18">
      <c r="B77" s="2234" t="s">
        <v>1905</v>
      </c>
      <c r="C77" s="2235"/>
      <c r="I77" s="762"/>
      <c r="J77" s="762"/>
      <c r="K77" s="2162"/>
      <c r="L77" s="762"/>
    </row>
    <row r="78" spans="1:18">
      <c r="B78" s="454" t="s">
        <v>1906</v>
      </c>
      <c r="C78" s="2236"/>
    </row>
    <row r="79" spans="1:18">
      <c r="B79" s="2231" t="s">
        <v>1907</v>
      </c>
      <c r="C79" s="457" t="e">
        <f ca="1">1-C80</f>
        <v>#N/A</v>
      </c>
    </row>
    <row r="80" spans="1:18">
      <c r="B80" s="2231" t="s">
        <v>1908</v>
      </c>
      <c r="C80" s="457" t="e">
        <f ca="1">ROUND(C75/C39,3)</f>
        <v>#N/A</v>
      </c>
    </row>
    <row r="81" spans="2:3">
      <c r="B81" s="454" t="s">
        <v>1909</v>
      </c>
      <c r="C81" s="424"/>
    </row>
    <row r="82" spans="2:3">
      <c r="B82" s="456" t="s">
        <v>1658</v>
      </c>
      <c r="C82" s="458" t="e">
        <f ca="1">1-C83</f>
        <v>#N/A</v>
      </c>
    </row>
    <row r="83" spans="2:3">
      <c r="B83" s="456" t="s">
        <v>1659</v>
      </c>
      <c r="C83" s="457"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
      <formula>$J$51&gt;$L$48</formula>
    </cfRule>
  </conditionalFormatting>
  <conditionalFormatting sqref="K55 K60">
    <cfRule type="expression" dxfId="2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W19" sqref="W19"/>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2263</v>
      </c>
      <c r="B1" s="375"/>
      <c r="C1" s="378" t="s">
        <v>2048</v>
      </c>
      <c r="D1" s="546">
        <f>SUM(D33:D34,D37:D42)</f>
        <v>0</v>
      </c>
      <c r="E1" s="547"/>
      <c r="F1" s="547"/>
      <c r="G1" s="547"/>
      <c r="H1" s="547"/>
      <c r="I1" s="547"/>
      <c r="J1" s="547"/>
      <c r="K1" s="539"/>
      <c r="L1" s="752" t="s">
        <v>2264</v>
      </c>
      <c r="M1" s="753">
        <f>SUMPRODUCT((区片价!B5:B9=I2)*(区片价!C3:G3=E2)*(区片价!C5:G9))</f>
        <v>0</v>
      </c>
      <c r="N1" s="754">
        <f>SUMPRODUCT((因素修正幅度!B5:B9=I2)*(因素修正幅度!C3:G3=E2)*(因素修正幅度!C5:G9))</f>
        <v>0</v>
      </c>
      <c r="O1" s="540"/>
      <c r="P1" s="540"/>
      <c r="Q1" s="539"/>
      <c r="R1" s="846" t="s">
        <v>2265</v>
      </c>
      <c r="S1" s="846" t="s">
        <v>2266</v>
      </c>
      <c r="T1" s="846" t="s">
        <v>2267</v>
      </c>
      <c r="U1" s="846" t="s">
        <v>2268</v>
      </c>
      <c r="V1" s="846" t="s">
        <v>2269</v>
      </c>
      <c r="W1" s="847"/>
      <c r="X1" s="847"/>
      <c r="Y1" s="847"/>
      <c r="Z1" s="847"/>
      <c r="AA1" s="847"/>
      <c r="AB1" s="847"/>
      <c r="AC1" s="858"/>
      <c r="AD1" s="859"/>
      <c r="AE1" s="859"/>
      <c r="AF1" s="859"/>
      <c r="AG1" s="859"/>
      <c r="AH1" s="859"/>
      <c r="AI1" s="859"/>
      <c r="AJ1" s="868"/>
    </row>
    <row r="2" spans="1:36" ht="15.75">
      <c r="A2" s="378" t="s">
        <v>1561</v>
      </c>
      <c r="B2" s="382">
        <f>C30</f>
        <v>0</v>
      </c>
      <c r="C2" s="548" t="s">
        <v>1562</v>
      </c>
      <c r="D2" s="549" t="s">
        <v>2270</v>
      </c>
      <c r="E2" s="550" t="s">
        <v>409</v>
      </c>
      <c r="F2" s="549" t="s">
        <v>2271</v>
      </c>
      <c r="G2" s="551" t="str">
        <f>IF(E2="商业",项目基本情况!B37,IF(E2="办公",项目基本情况!C37,IF(E2="住宅",项目基本情况!D37,IF(E2="工业",项目基本情况!E37,项目基本情况!F37))))</f>
        <v>六级</v>
      </c>
      <c r="H2" s="549" t="s">
        <v>2272</v>
      </c>
      <c r="I2" s="551" t="str">
        <f>IF(E2="商业",项目基本情况!B38,IF(E2="办公",项目基本情况!C38,IF(E2="住宅",项目基本情况!D38,IF(E2="工业",项目基本情况!E38,项目基本情况!F38))))</f>
        <v>Ⅵ-BDA核心</v>
      </c>
      <c r="J2" s="755"/>
      <c r="K2" s="539"/>
      <c r="L2" s="756" t="s">
        <v>2273</v>
      </c>
      <c r="M2" s="757">
        <f>SUMPRODUCT((区片价!B10:B29=I2)*(区片价!C3:G3=E2)*(区片价!C10:G29))</f>
        <v>0</v>
      </c>
      <c r="N2" s="754">
        <f>SUMPRODUCT((因素修正幅度!B10:B29=I2)*(因素修正幅度!C3:G3=E2)*(因素修正幅度!C10:G29))</f>
        <v>0</v>
      </c>
      <c r="O2" s="539"/>
      <c r="P2" s="539"/>
      <c r="Q2" s="539"/>
      <c r="R2" s="846">
        <v>1</v>
      </c>
      <c r="S2" s="848">
        <f>ROUND(SUMPRODUCT((B106:B110=R2)*(C105:N105=G2)*(C106:N110)),4)</f>
        <v>1.5019</v>
      </c>
      <c r="T2" s="848">
        <f t="shared" ref="T2:T16" si="0">ROUND($C$5*$C$22*$C$23*$C$24*S2*$C$28,0)</f>
        <v>6254</v>
      </c>
      <c r="U2" s="849"/>
      <c r="V2" s="848">
        <f>ROUND(T2*U2/10000,0)</f>
        <v>0</v>
      </c>
      <c r="W2" s="847"/>
      <c r="X2" s="847"/>
      <c r="Y2" s="847"/>
      <c r="Z2" s="847"/>
      <c r="AA2" s="847"/>
      <c r="AB2" s="847"/>
      <c r="AC2" s="858"/>
      <c r="AD2" s="859"/>
      <c r="AE2" s="859"/>
      <c r="AF2" s="859"/>
      <c r="AG2" s="859"/>
      <c r="AH2" s="859"/>
      <c r="AI2" s="859"/>
      <c r="AJ2" s="868"/>
    </row>
    <row r="3" spans="1:36" ht="15.75">
      <c r="A3" s="381" t="s">
        <v>1563</v>
      </c>
      <c r="B3" s="382" t="e">
        <f>ROUND(B2*10000/D1,0)</f>
        <v>#DIV/0!</v>
      </c>
      <c r="C3" s="548" t="s">
        <v>1564</v>
      </c>
      <c r="D3" s="549" t="s">
        <v>2274</v>
      </c>
      <c r="E3" s="552" t="s">
        <v>2472</v>
      </c>
      <c r="F3" s="553" t="s">
        <v>2276</v>
      </c>
      <c r="G3" s="554">
        <f>IF(F3="宗地容积率",'数据-汇总表'!I4,IF(F3="估价对象容积率",'数据-汇总表'!I6,'数据-汇总表'!I7))</f>
        <v>2</v>
      </c>
      <c r="H3" s="555" t="s">
        <v>2277</v>
      </c>
      <c r="I3" s="758">
        <v>1</v>
      </c>
      <c r="J3" s="755" t="s">
        <v>2278</v>
      </c>
      <c r="K3" s="539"/>
      <c r="L3" s="756" t="s">
        <v>2279</v>
      </c>
      <c r="M3" s="757">
        <f>SUMPRODUCT((区片价!B30:B54=I2)*(区片价!C3:G3=E2)*(区片价!C30:G54))</f>
        <v>0</v>
      </c>
      <c r="N3" s="754">
        <f>SUMPRODUCT((因素修正幅度!B30:B54=I2)*(因素修正幅度!C3:G3=E2)*(因素修正幅度!C30:G54))</f>
        <v>0</v>
      </c>
      <c r="O3" s="539"/>
      <c r="P3" s="539"/>
      <c r="Q3" s="539"/>
      <c r="R3" s="846">
        <v>2</v>
      </c>
      <c r="S3" s="848">
        <f>ROUND(SUMPRODUCT((B106:B110=R3)*(C105:N105=G2)*(C106:N110)),4)</f>
        <v>1.1838</v>
      </c>
      <c r="T3" s="848">
        <f t="shared" si="0"/>
        <v>4929</v>
      </c>
      <c r="U3" s="849"/>
      <c r="V3" s="848">
        <f t="shared" ref="V3:V16" si="1">ROUND(T3*U3/10000,0)</f>
        <v>0</v>
      </c>
      <c r="W3" s="847"/>
      <c r="X3" s="847"/>
      <c r="Y3" s="847"/>
      <c r="Z3" s="847"/>
      <c r="AA3" s="847"/>
      <c r="AB3" s="847"/>
      <c r="AC3" s="858"/>
      <c r="AD3" s="859"/>
      <c r="AE3" s="859"/>
      <c r="AF3" s="859"/>
      <c r="AG3" s="859"/>
      <c r="AH3" s="859"/>
      <c r="AI3" s="859"/>
      <c r="AJ3" s="868"/>
    </row>
    <row r="4" spans="1:36" ht="15.75">
      <c r="A4" s="3791"/>
      <c r="B4" s="3792"/>
      <c r="C4" s="3792"/>
      <c r="D4" s="3793"/>
      <c r="E4" s="3793"/>
      <c r="F4" s="3793"/>
      <c r="G4" s="3793"/>
      <c r="H4" s="3793"/>
      <c r="I4" s="3793"/>
      <c r="J4" s="3794"/>
      <c r="K4" s="539"/>
      <c r="L4" s="756" t="s">
        <v>2280</v>
      </c>
      <c r="M4" s="757">
        <f>SUMPRODUCT((区片价!B55:B86=I2)*(区片价!C3:G3=E2)*(区片价!C55:G86))</f>
        <v>0</v>
      </c>
      <c r="N4" s="754">
        <f>SUMPRODUCT((因素修正幅度!B55:B86=I2)*(因素修正幅度!C3:G3=E2)*(因素修正幅度!C55:G86))</f>
        <v>0</v>
      </c>
      <c r="O4" s="539"/>
      <c r="P4" s="539"/>
      <c r="Q4" s="539"/>
      <c r="R4" s="846">
        <v>3</v>
      </c>
      <c r="S4" s="848">
        <f>ROUND(SUMPRODUCT((B106:B110=R4)*(C105:N105=G2)*(C106:N110)),4)</f>
        <v>1.0004999999999999</v>
      </c>
      <c r="T4" s="848">
        <f t="shared" si="0"/>
        <v>4166</v>
      </c>
      <c r="U4" s="849"/>
      <c r="V4" s="848">
        <f t="shared" si="1"/>
        <v>0</v>
      </c>
      <c r="W4" s="847"/>
      <c r="X4" s="847"/>
      <c r="Y4" s="847"/>
      <c r="Z4" s="847"/>
      <c r="AA4" s="847"/>
      <c r="AB4" s="847"/>
      <c r="AC4" s="858"/>
      <c r="AD4" s="859"/>
      <c r="AE4" s="859"/>
      <c r="AF4" s="859"/>
      <c r="AG4" s="859"/>
      <c r="AH4" s="859"/>
      <c r="AI4" s="859"/>
      <c r="AJ4" s="868"/>
    </row>
    <row r="5" spans="1:36" s="538" customFormat="1" ht="15">
      <c r="A5" s="556" t="s">
        <v>1466</v>
      </c>
      <c r="B5" s="557" t="s">
        <v>2281</v>
      </c>
      <c r="C5" s="558">
        <f>ROUND(IF(E2="商业",C6*C7*C17+C20,(IF(E2="住宅",C6*C13*C17+C20,IF(E2="办公",C6*C12*C17+C20,C6+C20)))),0)</f>
        <v>2295</v>
      </c>
      <c r="D5" s="559">
        <f>ROUND(C6*C17+C20,0)</f>
        <v>2295</v>
      </c>
      <c r="E5" s="559"/>
      <c r="F5" s="560"/>
      <c r="G5" s="561"/>
      <c r="H5" s="561"/>
      <c r="I5" s="561"/>
      <c r="J5" s="759"/>
      <c r="K5" s="760"/>
      <c r="L5" s="756" t="s">
        <v>2282</v>
      </c>
      <c r="M5" s="757">
        <f>SUMPRODUCT((区片价!B87:B126=I2)*(区片价!C3:G3=E2)*(区片价!C87:G126))</f>
        <v>0</v>
      </c>
      <c r="N5" s="754">
        <f>SUMPRODUCT((因素修正幅度!B87:B126=I2)*(因素修正幅度!C3:G3=E2)*(因素修正幅度!C87:G126))</f>
        <v>0</v>
      </c>
      <c r="O5" s="539"/>
      <c r="P5" s="539"/>
      <c r="Q5" s="539"/>
      <c r="R5" s="846">
        <v>4</v>
      </c>
      <c r="S5" s="848">
        <f>ROUND(SUMPRODUCT((B106:B110=R5)*(C105:N105=G2)*(C106:N110)),4)</f>
        <v>0.88239999999999996</v>
      </c>
      <c r="T5" s="848">
        <f t="shared" si="0"/>
        <v>3674</v>
      </c>
      <c r="U5" s="849"/>
      <c r="V5" s="848">
        <f t="shared" si="1"/>
        <v>0</v>
      </c>
      <c r="W5" s="847"/>
      <c r="X5" s="847"/>
      <c r="Y5" s="847"/>
      <c r="Z5" s="847"/>
      <c r="AA5" s="847"/>
      <c r="AB5" s="847"/>
      <c r="AC5" s="860"/>
      <c r="AD5" s="861"/>
      <c r="AE5" s="861"/>
      <c r="AF5" s="861"/>
      <c r="AG5" s="861"/>
      <c r="AH5" s="861"/>
      <c r="AI5" s="861"/>
      <c r="AJ5" s="869"/>
    </row>
    <row r="6" spans="1:36" ht="15">
      <c r="A6" s="562" t="s">
        <v>1566</v>
      </c>
      <c r="B6" s="563" t="s">
        <v>2283</v>
      </c>
      <c r="C6" s="564">
        <f>SUMIF(L1:L12,G2,M1:M12)</f>
        <v>2340</v>
      </c>
      <c r="D6" s="565"/>
      <c r="E6" s="566"/>
      <c r="F6" s="566"/>
      <c r="G6" s="567"/>
      <c r="H6" s="567"/>
      <c r="I6" s="567"/>
      <c r="J6" s="761"/>
      <c r="K6" s="762"/>
      <c r="L6" s="756" t="s">
        <v>2284</v>
      </c>
      <c r="M6" s="757">
        <f>SUMPRODUCT((区片价!B127:B189=I2)*(区片价!C3:G3=E2)*(区片价!C127:G189))</f>
        <v>2340</v>
      </c>
      <c r="N6" s="754">
        <f>SUMPRODUCT((因素修正幅度!B127:B189=I2)*(因素修正幅度!C3:G3=E2)*(因素修正幅度!C127:G189))</f>
        <v>0.05</v>
      </c>
      <c r="O6" s="539"/>
      <c r="P6" s="539"/>
      <c r="Q6" s="539"/>
      <c r="R6" s="846">
        <v>5</v>
      </c>
      <c r="S6" s="848">
        <f>ROUND(SUMPRODUCT((B106:B110=R6)*(C105:N105=G2)*(C106:N110)),4)</f>
        <v>0.84799999999999998</v>
      </c>
      <c r="T6" s="848">
        <f t="shared" si="0"/>
        <v>3531</v>
      </c>
      <c r="U6" s="849"/>
      <c r="V6" s="848">
        <f t="shared" si="1"/>
        <v>0</v>
      </c>
      <c r="W6" s="847"/>
      <c r="X6" s="847"/>
      <c r="Y6" s="847"/>
      <c r="Z6" s="847"/>
      <c r="AA6" s="847"/>
      <c r="AB6" s="847"/>
      <c r="AC6" s="860"/>
      <c r="AD6" s="861"/>
      <c r="AE6" s="861"/>
      <c r="AF6" s="861"/>
      <c r="AG6" s="861"/>
      <c r="AH6" s="861"/>
      <c r="AI6" s="861"/>
      <c r="AJ6" s="869"/>
    </row>
    <row r="7" spans="1:36" ht="24">
      <c r="A7" s="568" t="s">
        <v>2285</v>
      </c>
      <c r="B7" s="569" t="s">
        <v>2286</v>
      </c>
      <c r="C7" s="570">
        <f>IF(C8="不临65条商业街",1,ROUND(1+(1.6*E8+1.2*E9+0.8*E10+0.4*E11)*C9,4))</f>
        <v>1</v>
      </c>
      <c r="D7" s="571" t="s">
        <v>2287</v>
      </c>
      <c r="E7" s="572"/>
      <c r="F7" s="573"/>
      <c r="G7" s="574"/>
      <c r="H7" s="574"/>
      <c r="I7" s="574"/>
      <c r="J7" s="763"/>
      <c r="K7" s="762"/>
      <c r="L7" s="756" t="s">
        <v>2288</v>
      </c>
      <c r="M7" s="757">
        <f>SUMPRODUCT((区片价!B190:B233=I2)*(区片价!C3:G3=E2)*(区片价!C190:G233))</f>
        <v>0</v>
      </c>
      <c r="N7" s="754">
        <f>SUMPRODUCT((因素修正幅度!B190:B233=I2)*(因素修正幅度!C3:G3=E2)*(因素修正幅度!C190:G233))</f>
        <v>0</v>
      </c>
      <c r="O7" s="539"/>
      <c r="P7" s="539"/>
      <c r="Q7" s="539"/>
      <c r="R7" s="846">
        <v>6</v>
      </c>
      <c r="S7" s="850"/>
      <c r="T7" s="848">
        <f t="shared" si="0"/>
        <v>0</v>
      </c>
      <c r="U7" s="849"/>
      <c r="V7" s="848">
        <f t="shared" si="1"/>
        <v>0</v>
      </c>
      <c r="W7" s="851" t="s">
        <v>2289</v>
      </c>
      <c r="X7" s="852" t="str">
        <f>G2</f>
        <v>六级</v>
      </c>
      <c r="Y7" s="852" t="s">
        <v>2290</v>
      </c>
      <c r="Z7" s="862">
        <f>G3</f>
        <v>2</v>
      </c>
      <c r="AA7" s="847"/>
      <c r="AB7" s="847"/>
      <c r="AC7" s="858"/>
      <c r="AD7" s="859"/>
      <c r="AE7" s="859"/>
      <c r="AF7" s="859"/>
      <c r="AG7" s="859"/>
      <c r="AH7" s="859"/>
      <c r="AI7" s="859"/>
      <c r="AJ7" s="868"/>
    </row>
    <row r="8" spans="1:36" ht="25.5">
      <c r="A8" s="575"/>
      <c r="B8" s="555" t="s">
        <v>2291</v>
      </c>
      <c r="C8" s="576" t="s">
        <v>2292</v>
      </c>
      <c r="D8" s="577" t="s">
        <v>2293</v>
      </c>
      <c r="E8" s="578" t="e">
        <f>ROUND(C11/E7,4)</f>
        <v>#DIV/0!</v>
      </c>
      <c r="F8" s="579" t="s">
        <v>2294</v>
      </c>
      <c r="G8" s="580"/>
      <c r="H8" s="580"/>
      <c r="I8" s="580"/>
      <c r="J8" s="764"/>
      <c r="K8" s="539"/>
      <c r="L8" s="756" t="s">
        <v>2295</v>
      </c>
      <c r="M8" s="757">
        <f>SUMPRODUCT((区片价!B234:B276=I2)*(区片价!C3:G3=E2)*(区片价!C234:G276))</f>
        <v>0</v>
      </c>
      <c r="N8" s="754">
        <f>SUMPRODUCT((因素修正幅度!B234:B276=I2)*(因素修正幅度!C3:G3=E2)*(因素修正幅度!C234:G276))</f>
        <v>0</v>
      </c>
      <c r="O8" s="539"/>
      <c r="P8" s="539"/>
      <c r="Q8" s="539"/>
      <c r="R8" s="846">
        <v>7</v>
      </c>
      <c r="S8" s="849"/>
      <c r="T8" s="848">
        <f t="shared" si="0"/>
        <v>0</v>
      </c>
      <c r="U8" s="849"/>
      <c r="V8" s="848">
        <f t="shared" si="1"/>
        <v>0</v>
      </c>
      <c r="W8" s="3795" t="s">
        <v>2296</v>
      </c>
      <c r="X8" s="3796"/>
      <c r="Y8" s="863" t="s">
        <v>2297</v>
      </c>
      <c r="Z8" s="863" t="s">
        <v>2298</v>
      </c>
      <c r="AA8" s="863" t="s">
        <v>2299</v>
      </c>
      <c r="AB8" s="863" t="s">
        <v>2300</v>
      </c>
      <c r="AC8" s="863" t="s">
        <v>2301</v>
      </c>
      <c r="AD8" s="863" t="s">
        <v>2302</v>
      </c>
      <c r="AE8" s="863" t="s">
        <v>2303</v>
      </c>
      <c r="AF8" s="863" t="s">
        <v>2304</v>
      </c>
      <c r="AG8" s="863" t="s">
        <v>2305</v>
      </c>
      <c r="AH8" s="863" t="s">
        <v>2306</v>
      </c>
      <c r="AI8" s="863" t="s">
        <v>2307</v>
      </c>
      <c r="AJ8" s="863" t="s">
        <v>2308</v>
      </c>
    </row>
    <row r="9" spans="1:36" ht="15">
      <c r="A9" s="575"/>
      <c r="B9" s="555" t="s">
        <v>2309</v>
      </c>
      <c r="C9" s="581">
        <f>SUMIF(修正!C71:C138,C8,修正!E71:E138)</f>
        <v>0</v>
      </c>
      <c r="D9" s="582" t="s">
        <v>2310</v>
      </c>
      <c r="E9" s="582" t="e">
        <f>ROUND(C11/E7,4)</f>
        <v>#DIV/0!</v>
      </c>
      <c r="F9" s="579" t="s">
        <v>2311</v>
      </c>
      <c r="G9" s="580"/>
      <c r="H9" s="580"/>
      <c r="I9" s="580"/>
      <c r="J9" s="764"/>
      <c r="K9" s="539"/>
      <c r="L9" s="756" t="s">
        <v>2312</v>
      </c>
      <c r="M9" s="757">
        <f>SUMPRODUCT((区片价!B277:B326=I2)*(区片价!C3:G3=E2)*(区片价!C277:G326))</f>
        <v>0</v>
      </c>
      <c r="N9" s="754">
        <f>SUMPRODUCT((因素修正幅度!B277:B326=I2)*(因素修正幅度!C3:G3=E2)*(因素修正幅度!C277:G326))</f>
        <v>0</v>
      </c>
      <c r="O9" s="539"/>
      <c r="P9" s="539"/>
      <c r="Q9" s="539"/>
      <c r="R9" s="846">
        <v>8</v>
      </c>
      <c r="S9" s="849"/>
      <c r="T9" s="848">
        <f t="shared" si="0"/>
        <v>0</v>
      </c>
      <c r="U9" s="849"/>
      <c r="V9" s="848">
        <f t="shared" si="1"/>
        <v>0</v>
      </c>
      <c r="W9" s="3809"/>
      <c r="X9" s="853" t="s">
        <v>2313</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5"/>
      <c r="B10" s="555" t="s">
        <v>2314</v>
      </c>
      <c r="C10" s="582">
        <f>SUMIF(修正!C71:C138,C8,修正!F71:F138)</f>
        <v>0</v>
      </c>
      <c r="D10" s="582" t="s">
        <v>2315</v>
      </c>
      <c r="E10" s="582" t="e">
        <f>ROUND(C11/E7,4)</f>
        <v>#DIV/0!</v>
      </c>
      <c r="F10" s="579" t="s">
        <v>2316</v>
      </c>
      <c r="G10" s="580"/>
      <c r="H10" s="580"/>
      <c r="I10" s="580"/>
      <c r="J10" s="764"/>
      <c r="K10" s="539"/>
      <c r="L10" s="756" t="s">
        <v>2317</v>
      </c>
      <c r="M10" s="757">
        <f>SUMPRODUCT((区片价!B327:B357=I2)*(区片价!C3:G3=E2)*(区片价!C327:G357))</f>
        <v>0</v>
      </c>
      <c r="N10" s="754">
        <f>SUMPRODUCT((因素修正幅度!B327:B357=I2)*(因素修正幅度!C3:G3=E2)*(因素修正幅度!C327:G357))</f>
        <v>0</v>
      </c>
      <c r="O10" s="539"/>
      <c r="P10" s="539"/>
      <c r="Q10" s="539"/>
      <c r="R10" s="846">
        <v>9</v>
      </c>
      <c r="S10" s="849"/>
      <c r="T10" s="848">
        <f t="shared" si="0"/>
        <v>0</v>
      </c>
      <c r="U10" s="849"/>
      <c r="V10" s="848">
        <f t="shared" si="1"/>
        <v>0</v>
      </c>
      <c r="W10" s="380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3"/>
      <c r="B11" s="584" t="s">
        <v>2318</v>
      </c>
      <c r="C11" s="585">
        <f>C10/4</f>
        <v>0</v>
      </c>
      <c r="D11" s="585" t="s">
        <v>2319</v>
      </c>
      <c r="E11" s="585" t="e">
        <f>ROUND(C11/E7,4)</f>
        <v>#DIV/0!</v>
      </c>
      <c r="F11" s="586" t="s">
        <v>2320</v>
      </c>
      <c r="G11" s="587"/>
      <c r="H11" s="587"/>
      <c r="I11" s="587"/>
      <c r="J11" s="765"/>
      <c r="K11" s="539"/>
      <c r="L11" s="756" t="s">
        <v>2321</v>
      </c>
      <c r="M11" s="757">
        <f>SUMPRODUCT((区片价!B358:B377=I2)*(区片价!C3:G3=E2)*(区片价!C358:G377))</f>
        <v>0</v>
      </c>
      <c r="N11" s="754">
        <f>SUMPRODUCT((因素修正幅度!B358:B377=I2)*(因素修正幅度!C3:G3=E2)*(因素修正幅度!C358:G377))</f>
        <v>0</v>
      </c>
      <c r="O11" s="539"/>
      <c r="P11" s="539"/>
      <c r="Q11" s="539"/>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8" t="s">
        <v>2322</v>
      </c>
      <c r="B12" s="588" t="s">
        <v>2323</v>
      </c>
      <c r="C12" s="589"/>
      <c r="D12" s="590" t="s">
        <v>2324</v>
      </c>
      <c r="E12" s="591" t="s">
        <v>2325</v>
      </c>
      <c r="F12" s="592"/>
      <c r="G12" s="593"/>
      <c r="H12" s="593"/>
      <c r="I12" s="593"/>
      <c r="J12" s="766"/>
      <c r="K12" s="539"/>
      <c r="L12" s="767" t="s">
        <v>2326</v>
      </c>
      <c r="M12" s="768">
        <f>SUMPRODUCT((区片价!B378:B384=I2)*(区片价!C3:G3=E2)*(区片价!C378:G384))</f>
        <v>0</v>
      </c>
      <c r="N12" s="754">
        <f>SUMPRODUCT((因素修正幅度!B378:B384=I2)*(因素修正幅度!C3:G3=E2)*(因素修正幅度!C378:G384))</f>
        <v>0</v>
      </c>
      <c r="O12" s="539"/>
      <c r="P12" s="539"/>
      <c r="Q12" s="539"/>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8" t="s">
        <v>2327</v>
      </c>
      <c r="B13" s="594" t="s">
        <v>2328</v>
      </c>
      <c r="C13" s="570">
        <f>ROUND(C16*D16*E16*F16*G16*H16*I16*J16,4)</f>
        <v>0</v>
      </c>
      <c r="D13" s="595" t="s">
        <v>2329</v>
      </c>
      <c r="E13" s="596"/>
      <c r="F13" s="596"/>
      <c r="G13" s="597"/>
      <c r="H13" s="597"/>
      <c r="I13" s="597"/>
      <c r="J13" s="769"/>
      <c r="K13" s="539"/>
      <c r="L13" s="770"/>
      <c r="M13" s="771"/>
      <c r="N13" s="772"/>
      <c r="O13" s="539"/>
      <c r="P13" s="539"/>
      <c r="Q13" s="539"/>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8"/>
      <c r="B14" s="599" t="s">
        <v>2330</v>
      </c>
      <c r="C14" s="600" t="s">
        <v>2331</v>
      </c>
      <c r="D14" s="601" t="s">
        <v>2332</v>
      </c>
      <c r="E14" s="602" t="s">
        <v>2333</v>
      </c>
      <c r="F14" s="603" t="s">
        <v>2334</v>
      </c>
      <c r="G14" s="603" t="s">
        <v>2334</v>
      </c>
      <c r="H14" s="603" t="s">
        <v>2334</v>
      </c>
      <c r="I14" s="603" t="s">
        <v>2334</v>
      </c>
      <c r="J14" s="603" t="s">
        <v>2334</v>
      </c>
      <c r="K14" s="539"/>
      <c r="L14" s="539"/>
      <c r="M14" s="539"/>
      <c r="N14" s="539"/>
      <c r="O14" s="539"/>
      <c r="P14" s="539"/>
      <c r="Q14" s="539"/>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8"/>
      <c r="B15" s="604"/>
      <c r="C15" s="605"/>
      <c r="D15" s="606"/>
      <c r="E15" s="607"/>
      <c r="F15" s="608" t="s">
        <v>2335</v>
      </c>
      <c r="G15" s="609"/>
      <c r="H15" s="610"/>
      <c r="I15" s="773"/>
      <c r="J15" s="774"/>
      <c r="K15" s="539"/>
      <c r="L15" s="539"/>
      <c r="M15" s="539"/>
      <c r="N15" s="539"/>
      <c r="O15" s="539"/>
      <c r="P15" s="539"/>
      <c r="Q15" s="539"/>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8"/>
      <c r="B16" s="611" t="s">
        <v>2238</v>
      </c>
      <c r="C16" s="612"/>
      <c r="D16" s="612"/>
      <c r="E16" s="612"/>
      <c r="F16" s="612">
        <v>1</v>
      </c>
      <c r="G16" s="612">
        <v>1</v>
      </c>
      <c r="H16" s="612">
        <v>1</v>
      </c>
      <c r="I16" s="612">
        <v>1</v>
      </c>
      <c r="J16" s="775">
        <v>1</v>
      </c>
      <c r="K16" s="539"/>
      <c r="L16" s="540"/>
      <c r="M16" s="540"/>
      <c r="N16" s="540"/>
      <c r="O16" s="540"/>
      <c r="P16" s="540"/>
      <c r="Q16" s="539"/>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3" t="s">
        <v>2336</v>
      </c>
      <c r="B17" s="614" t="s">
        <v>2337</v>
      </c>
      <c r="C17" s="615">
        <f>ROUND(IF(OR(E2="工业",E2="公共服务"),1,IF(AND(E18=0,E19=0),1,IF(AND(E18=J24,E19=G19),0.8,IF(E19=0,1+E17*(-0.2),1+E17*G17*(-0.2))))),4)</f>
        <v>1</v>
      </c>
      <c r="D17" s="616" t="s">
        <v>2338</v>
      </c>
      <c r="E17" s="615">
        <f>ROUND(G18/I18,2)</f>
        <v>0</v>
      </c>
      <c r="F17" s="616" t="s">
        <v>2339</v>
      </c>
      <c r="G17" s="615" t="e">
        <f>ROUND(E19/G19,2)</f>
        <v>#DIV/0!</v>
      </c>
      <c r="H17" s="615"/>
      <c r="I17" s="615"/>
      <c r="J17" s="776"/>
      <c r="K17" s="539"/>
      <c r="L17" s="540"/>
      <c r="M17" s="540"/>
      <c r="N17" s="540"/>
      <c r="O17" s="540"/>
      <c r="P17" s="540"/>
      <c r="Q17" s="539"/>
      <c r="R17" s="539"/>
      <c r="S17" s="539"/>
      <c r="T17" s="539"/>
      <c r="U17" s="539"/>
      <c r="V17" s="539"/>
      <c r="W17" s="539"/>
      <c r="X17" s="539"/>
      <c r="Y17" s="539"/>
      <c r="Z17" s="716"/>
      <c r="AA17" s="716"/>
      <c r="AB17" s="716"/>
      <c r="AC17" s="716"/>
      <c r="AD17" s="716"/>
      <c r="AE17" s="539"/>
      <c r="AF17" s="539"/>
      <c r="AG17" s="540"/>
      <c r="AH17" s="540"/>
      <c r="AI17" s="540"/>
      <c r="AJ17" s="540"/>
    </row>
    <row r="18" spans="1:37" s="538" customFormat="1" ht="14.25">
      <c r="A18" s="617"/>
      <c r="B18" s="618"/>
      <c r="C18" s="619"/>
      <c r="D18" s="620" t="s">
        <v>2340</v>
      </c>
      <c r="E18" s="621"/>
      <c r="F18" s="622" t="s">
        <v>2341</v>
      </c>
      <c r="G18" s="619">
        <f>ROUND(1-(1/(POWER(1+G24,E18))),4)</f>
        <v>0</v>
      </c>
      <c r="H18" s="622" t="s">
        <v>2342</v>
      </c>
      <c r="I18" s="619">
        <f>ROUND(1-(1/(POWER(1+G24,J24))),4)</f>
        <v>0.91279999999999994</v>
      </c>
      <c r="J18" s="777"/>
      <c r="K18" s="539"/>
      <c r="L18" s="540"/>
      <c r="M18" s="540"/>
      <c r="N18" s="540"/>
      <c r="O18" s="540"/>
      <c r="P18" s="540"/>
      <c r="Q18" s="539"/>
      <c r="R18" s="854"/>
      <c r="S18" s="854"/>
      <c r="T18" s="716"/>
      <c r="U18" s="716"/>
      <c r="V18" s="716"/>
      <c r="W18" s="539"/>
      <c r="X18" s="539"/>
      <c r="Y18" s="539"/>
      <c r="Z18" s="785"/>
      <c r="AA18" s="785"/>
      <c r="AB18" s="785"/>
      <c r="AC18" s="785"/>
      <c r="AD18" s="785"/>
      <c r="AE18" s="716"/>
      <c r="AF18" s="716"/>
      <c r="AG18" s="871"/>
      <c r="AH18" s="871"/>
      <c r="AI18" s="871"/>
      <c r="AJ18" s="786"/>
    </row>
    <row r="19" spans="1:37" s="538" customFormat="1" ht="14.25">
      <c r="A19" s="623"/>
      <c r="B19" s="624"/>
      <c r="C19" s="625"/>
      <c r="D19" s="625" t="s">
        <v>2343</v>
      </c>
      <c r="E19" s="626"/>
      <c r="F19" s="627" t="s">
        <v>2344</v>
      </c>
      <c r="G19" s="626"/>
      <c r="H19" s="625"/>
      <c r="I19" s="625"/>
      <c r="J19" s="778"/>
      <c r="K19" s="539"/>
      <c r="L19" s="540"/>
      <c r="M19" s="540"/>
      <c r="N19" s="540"/>
      <c r="O19" s="540"/>
      <c r="P19" s="540"/>
      <c r="Q19" s="854"/>
      <c r="R19" s="854"/>
      <c r="S19" s="854"/>
      <c r="T19" s="716"/>
      <c r="U19" s="716"/>
      <c r="V19" s="716"/>
      <c r="W19" s="539"/>
      <c r="X19" s="539"/>
      <c r="Y19" s="539"/>
      <c r="Z19" s="785"/>
      <c r="AA19" s="785"/>
      <c r="AB19" s="785"/>
      <c r="AC19" s="785"/>
      <c r="AD19" s="785"/>
      <c r="AE19" s="785"/>
      <c r="AF19" s="854"/>
      <c r="AG19" s="872"/>
      <c r="AH19" s="871"/>
      <c r="AI19" s="873"/>
      <c r="AJ19" s="873"/>
      <c r="AK19" s="874"/>
    </row>
    <row r="20" spans="1:37" s="538" customFormat="1" ht="14.25">
      <c r="A20" s="3801" t="s">
        <v>2345</v>
      </c>
      <c r="B20" s="628" t="s">
        <v>2346</v>
      </c>
      <c r="C20" s="629">
        <f>ROUND(IF(F21="与级别开发程度一致",0,(G21-E21)/C21),0)</f>
        <v>-45</v>
      </c>
      <c r="D20" s="630" t="s">
        <v>2347</v>
      </c>
      <c r="E20" s="631"/>
      <c r="F20" s="3797" t="s">
        <v>2348</v>
      </c>
      <c r="G20" s="3798"/>
      <c r="H20" s="632" t="s">
        <v>343</v>
      </c>
      <c r="I20" s="632" t="s">
        <v>344</v>
      </c>
      <c r="J20" s="779" t="s">
        <v>345</v>
      </c>
      <c r="K20" s="780" t="s">
        <v>346</v>
      </c>
      <c r="L20" s="780" t="s">
        <v>347</v>
      </c>
      <c r="M20" s="780" t="s">
        <v>350</v>
      </c>
      <c r="N20" s="780"/>
      <c r="O20" s="781"/>
      <c r="P20" s="540"/>
      <c r="Q20" s="854"/>
      <c r="R20" s="854"/>
      <c r="S20" s="854"/>
      <c r="T20" s="716"/>
      <c r="U20" s="716"/>
      <c r="V20" s="716"/>
      <c r="W20" s="539"/>
      <c r="X20" s="539"/>
      <c r="Y20" s="539"/>
      <c r="Z20" s="785"/>
      <c r="AA20" s="785"/>
      <c r="AB20" s="785"/>
      <c r="AC20" s="785"/>
      <c r="AD20" s="785"/>
      <c r="AE20" s="785"/>
      <c r="AF20" s="785"/>
      <c r="AG20" s="786"/>
      <c r="AH20" s="786"/>
      <c r="AI20" s="786"/>
      <c r="AJ20" s="786"/>
    </row>
    <row r="21" spans="1:37" s="538" customFormat="1" ht="25.5">
      <c r="A21" s="3802"/>
      <c r="B21" s="633" t="s">
        <v>2349</v>
      </c>
      <c r="C21" s="634">
        <f>IF(E3="M4科研用地",SUMPRODUCT((修正!A2:A7=E3)*(修正!B1:M1=G2)*(修正!B2:M7)),SUMPRODUCT((修正!A2:A7=E2)*(修正!B1:M1=G2)*(修正!B2:M7)))</f>
        <v>2</v>
      </c>
      <c r="D21" s="635" t="str">
        <f>IF(OR(G2="八级",G2="九级",G2="十级",G2="十一级",G2="十二级"),"五通一平","七通一平")</f>
        <v>七通一平</v>
      </c>
      <c r="E21" s="636">
        <f>SUMPRODUCT((修正!B1:M1=G2)*(修正!B17:M17))</f>
        <v>315</v>
      </c>
      <c r="F21" s="637" t="s">
        <v>2350</v>
      </c>
      <c r="G21" s="638">
        <f>SUM(H21:O21)</f>
        <v>225</v>
      </c>
      <c r="H21" s="634">
        <f>SUMPRODUCT((七通一平=H20)*(修正!B1:M1=G2)*(修正!B8:M16))</f>
        <v>70</v>
      </c>
      <c r="I21" s="634">
        <f>SUMPRODUCT((七通一平=I20)*(修正!B1:M1=G2)*(修正!B8:M16))</f>
        <v>60</v>
      </c>
      <c r="J21" s="782">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3">
        <f>SUMPRODUCT((七通一平=O20)*(修正!B1:M1=G2)*(修正!B8:M16))</f>
        <v>0</v>
      </c>
      <c r="P21" s="540"/>
      <c r="Q21" s="786"/>
      <c r="R21" s="854"/>
      <c r="S21" s="854"/>
      <c r="T21" s="716"/>
      <c r="U21" s="716"/>
      <c r="V21" s="716"/>
      <c r="W21" s="539"/>
      <c r="X21" s="539"/>
      <c r="Y21" s="539"/>
      <c r="Z21" s="785"/>
      <c r="AA21" s="785"/>
      <c r="AB21" s="785"/>
      <c r="AC21" s="785"/>
      <c r="AD21" s="785"/>
      <c r="AE21" s="785"/>
      <c r="AF21" s="785"/>
      <c r="AG21" s="786"/>
      <c r="AH21" s="786"/>
      <c r="AI21" s="786"/>
      <c r="AJ21" s="786"/>
    </row>
    <row r="22" spans="1:37" s="538" customFormat="1" ht="15">
      <c r="A22" s="639" t="s">
        <v>1477</v>
      </c>
      <c r="B22" s="640" t="s">
        <v>2351</v>
      </c>
      <c r="C22" s="641">
        <f>SUMIF(修正!C20:C51,E3,修正!E20:E51)</f>
        <v>2</v>
      </c>
      <c r="D22" s="642"/>
      <c r="E22" s="643"/>
      <c r="F22" s="643"/>
      <c r="G22" s="643"/>
      <c r="H22" s="643"/>
      <c r="I22" s="643"/>
      <c r="J22" s="784"/>
      <c r="K22" s="785"/>
      <c r="L22" s="786"/>
      <c r="M22" s="786"/>
      <c r="N22" s="786"/>
      <c r="O22" s="787"/>
      <c r="P22" s="787"/>
      <c r="Q22" s="786"/>
      <c r="R22" s="854"/>
      <c r="S22" s="854"/>
      <c r="T22" s="716"/>
      <c r="U22" s="716"/>
      <c r="V22" s="716"/>
      <c r="W22" s="539"/>
      <c r="X22" s="539"/>
      <c r="Y22" s="539"/>
      <c r="Z22" s="785"/>
      <c r="AA22" s="785"/>
      <c r="AB22" s="785"/>
      <c r="AC22" s="785"/>
      <c r="AD22" s="785"/>
      <c r="AE22" s="785"/>
      <c r="AF22" s="785"/>
      <c r="AG22" s="786"/>
      <c r="AH22" s="786"/>
      <c r="AI22" s="786"/>
      <c r="AJ22" s="786"/>
    </row>
    <row r="23" spans="1:37" ht="25.5">
      <c r="A23" s="644" t="s">
        <v>1482</v>
      </c>
      <c r="B23" s="645" t="s">
        <v>2352</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47" t="s">
        <v>2353</v>
      </c>
      <c r="E23" s="648">
        <v>44197</v>
      </c>
      <c r="F23" s="647" t="s">
        <v>2354</v>
      </c>
      <c r="G23" s="649">
        <f>'数据-取费表'!B2</f>
        <v>45300</v>
      </c>
      <c r="H23" s="650" t="s">
        <v>2355</v>
      </c>
      <c r="I23" s="788" t="str">
        <f>IF(H23="季度增幅（自定义）",SUMIF(N25:N28,E2,O25:O28),"")</f>
        <v/>
      </c>
      <c r="J23" s="789" t="s">
        <v>2356</v>
      </c>
      <c r="K23" s="785"/>
      <c r="L23" s="790" t="s">
        <v>2357</v>
      </c>
      <c r="M23" s="791">
        <f>ROUND(SUMIF(地价!B2:G2,E2,地价!B16:G16),0)</f>
        <v>318</v>
      </c>
      <c r="N23" s="792" t="s">
        <v>2358</v>
      </c>
      <c r="O23" s="793">
        <f>ROUNDDOWN(DATEDIF(E23,G23,"M")/3,0)</f>
        <v>12</v>
      </c>
      <c r="P23" s="794"/>
      <c r="Q23" s="786"/>
      <c r="R23" s="854"/>
      <c r="S23" s="854"/>
      <c r="T23" s="716"/>
      <c r="U23" s="716"/>
      <c r="V23" s="716"/>
      <c r="W23" s="539"/>
      <c r="X23" s="539"/>
      <c r="Y23" s="539"/>
      <c r="Z23" s="785"/>
      <c r="AA23" s="785"/>
      <c r="AB23" s="785"/>
      <c r="AC23" s="785"/>
      <c r="AD23" s="785"/>
      <c r="AE23" s="716"/>
      <c r="AF23" s="716"/>
      <c r="AG23" s="871"/>
      <c r="AH23" s="871"/>
      <c r="AI23" s="871"/>
      <c r="AJ23" s="871"/>
      <c r="AK23" s="541"/>
    </row>
    <row r="24" spans="1:37" s="538" customFormat="1" ht="24">
      <c r="A24" s="651" t="s">
        <v>1485</v>
      </c>
      <c r="B24" s="652" t="s">
        <v>2359</v>
      </c>
      <c r="C24" s="653">
        <f>ROUND(POWER(1+G24,J24-I24)*(POWER(1+G24,I24)-1)/(POWER(1+G24,J24)-1),4)</f>
        <v>0.82769999999999999</v>
      </c>
      <c r="D24" s="654" t="s">
        <v>2360</v>
      </c>
      <c r="E24" s="655">
        <f>存贷款利率!E24/100</f>
        <v>4.3499999999999997E-2</v>
      </c>
      <c r="F24" s="654" t="s">
        <v>2361</v>
      </c>
      <c r="G24" s="656">
        <f>SUMIF(M30:Q30,E2,M33:Q33)</f>
        <v>0.05</v>
      </c>
      <c r="H24" s="654" t="s">
        <v>2362</v>
      </c>
      <c r="I24" s="795">
        <f>SUMIF('数据-取费表'!C6:C15,E2,'数据-取费表'!F6:F15)/COUNTIF('数据-取费表'!C6:C15,E2)</f>
        <v>28.87</v>
      </c>
      <c r="J24" s="796">
        <f>IF(E2="住宅",70,IF(E2="商业",40,50))</f>
        <v>50</v>
      </c>
      <c r="K24" s="785"/>
      <c r="L24" s="797" t="s">
        <v>2363</v>
      </c>
      <c r="M24" s="798">
        <f>ROUND(SUMPRODUCT((地价!A4:A16=YEAR(G23)&amp;"-"&amp;ROUNDUP(MONTH(G23)/3,0))*(地价!B2:G2=E2)*(地价!B4:G16)),0)</f>
        <v>0</v>
      </c>
      <c r="N24" s="799" t="s">
        <v>2364</v>
      </c>
      <c r="O24" s="800" t="s">
        <v>2365</v>
      </c>
      <c r="P24" s="801" t="s">
        <v>2366</v>
      </c>
      <c r="Q24" s="540"/>
      <c r="R24" s="854"/>
      <c r="S24" s="854"/>
      <c r="T24" s="716"/>
      <c r="U24" s="716"/>
      <c r="V24" s="716"/>
      <c r="W24" s="539"/>
      <c r="X24" s="539"/>
      <c r="Y24" s="539"/>
      <c r="Z24" s="785"/>
      <c r="AA24" s="785"/>
      <c r="AB24" s="785"/>
      <c r="AC24" s="785"/>
      <c r="AD24" s="785"/>
      <c r="AE24" s="785"/>
      <c r="AF24" s="785"/>
      <c r="AG24" s="786"/>
      <c r="AH24" s="786"/>
      <c r="AI24" s="786"/>
      <c r="AJ24" s="786"/>
    </row>
    <row r="25" spans="1:37" ht="15">
      <c r="A25" s="657" t="s">
        <v>1507</v>
      </c>
      <c r="B25" s="658" t="s">
        <v>2367</v>
      </c>
      <c r="C25" s="659">
        <f>IF(B25="容积率修正",IF(G3&lt;10,D26,J26),C27)</f>
        <v>1</v>
      </c>
      <c r="D25" s="660"/>
      <c r="E25" s="660"/>
      <c r="F25" s="660"/>
      <c r="G25" s="660"/>
      <c r="H25" s="660"/>
      <c r="I25" s="660"/>
      <c r="J25" s="802"/>
      <c r="K25" s="785"/>
      <c r="L25" s="786"/>
      <c r="M25" s="786"/>
      <c r="N25" s="803" t="s">
        <v>2368</v>
      </c>
      <c r="O25" s="804"/>
      <c r="P25" s="805">
        <f>SUMPRODUCT((地价!A3:A40=YEAR(G23)&amp;"-"&amp;ROUNDUP(MONTH(G23)/3,0))*(地价!AD2:AH2=N25)*(地价!AD3:AH40))</f>
        <v>0</v>
      </c>
      <c r="Q25" s="786"/>
      <c r="R25" s="854"/>
      <c r="S25" s="854"/>
      <c r="T25" s="716"/>
      <c r="U25" s="716"/>
      <c r="V25" s="716"/>
      <c r="W25" s="539"/>
      <c r="X25" s="539"/>
      <c r="Y25" s="539"/>
      <c r="Z25" s="785"/>
      <c r="AA25" s="785"/>
      <c r="AB25" s="785"/>
      <c r="AC25" s="785"/>
      <c r="AD25" s="785"/>
      <c r="AE25" s="716"/>
      <c r="AF25" s="716"/>
      <c r="AG25" s="871"/>
      <c r="AH25" s="871"/>
      <c r="AI25" s="871"/>
      <c r="AJ25" s="871"/>
    </row>
    <row r="26" spans="1:37" ht="14.25">
      <c r="A26" s="661" t="s">
        <v>2369</v>
      </c>
      <c r="B26" s="662" t="s">
        <v>2370</v>
      </c>
      <c r="C26" s="663" t="s">
        <v>2371</v>
      </c>
      <c r="D26" s="664">
        <f>IF(E26=G26,F26,IF(G3&lt;10,ROUND(F26+(H26-F26)*(G3-E26)/(G26-E26),4),"——"))</f>
        <v>1</v>
      </c>
      <c r="E26" s="554">
        <f>ROUNDDOWN(G3,1)</f>
        <v>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2372</v>
      </c>
      <c r="J26" s="806" t="str">
        <f>IF(G3&gt;=10,D115,"——")</f>
        <v>——</v>
      </c>
      <c r="K26" s="785"/>
      <c r="L26" s="786"/>
      <c r="M26" s="786"/>
      <c r="N26" s="803" t="s">
        <v>2373</v>
      </c>
      <c r="O26" s="804"/>
      <c r="P26" s="805">
        <f>SUMPRODUCT((地价!A3:A40=YEAR(G23)&amp;"-"&amp;ROUNDUP(MONTH(G23)/3,0))*(地价!AD2:AH2=N26)*(地价!AD3:AH40))</f>
        <v>0</v>
      </c>
      <c r="Q26" s="540"/>
      <c r="R26" s="854"/>
      <c r="S26" s="854"/>
      <c r="T26" s="716"/>
      <c r="U26" s="716"/>
      <c r="V26" s="716"/>
      <c r="W26" s="539"/>
      <c r="X26" s="539"/>
      <c r="Y26" s="539"/>
      <c r="Z26" s="785"/>
      <c r="AA26" s="785"/>
      <c r="AB26" s="785"/>
      <c r="AC26" s="785"/>
      <c r="AD26" s="785"/>
      <c r="AE26" s="716"/>
      <c r="AF26" s="716"/>
      <c r="AG26" s="871"/>
      <c r="AH26" s="871"/>
      <c r="AI26" s="871"/>
      <c r="AJ26" s="871"/>
    </row>
    <row r="27" spans="1:37" ht="15">
      <c r="A27" s="661" t="s">
        <v>2374</v>
      </c>
      <c r="B27" s="665" t="s">
        <v>2375</v>
      </c>
      <c r="C27" s="666">
        <f>ROUND(IF(I3&lt;6,SUMPRODUCT((B106:B110=I3)*(C105:N105=G2)*(C106:N110)),SUMIF(C105:N105,G2,C112:N112)),4)</f>
        <v>1.5019</v>
      </c>
      <c r="D27" s="667"/>
      <c r="E27" s="667"/>
      <c r="F27" s="668"/>
      <c r="G27" s="669"/>
      <c r="H27" s="670"/>
      <c r="I27" s="807"/>
      <c r="J27" s="808"/>
      <c r="K27" s="539"/>
      <c r="L27" s="540"/>
      <c r="M27" s="540"/>
      <c r="N27" s="803" t="s">
        <v>2376</v>
      </c>
      <c r="O27" s="804"/>
      <c r="P27" s="805">
        <f>SUMPRODUCT((地价!A3:A40=YEAR(G23)&amp;"-"&amp;ROUNDUP(MONTH(G23)/3,0))*(地价!AD2:AH2=N27)*(地价!AD3:AH40))</f>
        <v>0</v>
      </c>
      <c r="Q27" s="540"/>
      <c r="R27" s="854"/>
      <c r="S27" s="854"/>
      <c r="T27" s="716"/>
      <c r="U27" s="716"/>
      <c r="V27" s="716"/>
      <c r="W27" s="539"/>
      <c r="X27" s="539"/>
      <c r="Y27" s="539"/>
      <c r="Z27" s="785"/>
      <c r="AA27" s="785"/>
      <c r="AB27" s="785"/>
      <c r="AC27" s="785"/>
      <c r="AD27" s="785"/>
      <c r="AE27" s="716"/>
      <c r="AF27" s="716"/>
      <c r="AG27" s="871"/>
      <c r="AH27" s="871"/>
      <c r="AI27" s="871"/>
      <c r="AJ27" s="871"/>
    </row>
    <row r="28" spans="1:37" ht="15">
      <c r="A28" s="651" t="s">
        <v>2377</v>
      </c>
      <c r="B28" s="645" t="s">
        <v>2378</v>
      </c>
      <c r="C28" s="646">
        <f>SUMIF(A47:A101,E2,B47:B101)</f>
        <v>1.0266999999999999</v>
      </c>
      <c r="D28" s="672"/>
      <c r="E28" s="673"/>
      <c r="F28" s="673"/>
      <c r="G28" s="673"/>
      <c r="H28" s="673"/>
      <c r="I28" s="673"/>
      <c r="J28" s="809"/>
      <c r="K28" s="785"/>
      <c r="L28" s="786"/>
      <c r="M28" s="786"/>
      <c r="N28" s="810" t="s">
        <v>2379</v>
      </c>
      <c r="O28" s="811"/>
      <c r="P28" s="812">
        <f>SUMPRODUCT((地价!A3:A40=YEAR(G23)&amp;"-"&amp;ROUNDUP(MONTH(G23)/3,0))*(地价!AD2:AH2=N28)*(地价!AD3:AH40))</f>
        <v>0</v>
      </c>
      <c r="Q28" s="854"/>
      <c r="R28" s="854"/>
      <c r="S28" s="854"/>
      <c r="T28" s="716"/>
      <c r="U28" s="716"/>
      <c r="V28" s="716"/>
      <c r="W28" s="539"/>
      <c r="X28" s="539"/>
      <c r="Y28" s="539"/>
      <c r="Z28" s="785"/>
      <c r="AA28" s="785"/>
      <c r="AB28" s="785"/>
      <c r="AC28" s="785"/>
      <c r="AD28" s="785"/>
      <c r="AE28" s="716"/>
      <c r="AF28" s="716"/>
      <c r="AG28" s="871"/>
      <c r="AH28" s="871"/>
      <c r="AI28" s="871"/>
      <c r="AJ28" s="871"/>
    </row>
    <row r="29" spans="1:37" ht="15">
      <c r="A29" s="651" t="s">
        <v>2380</v>
      </c>
      <c r="B29" s="674" t="s">
        <v>2381</v>
      </c>
      <c r="C29" s="675"/>
      <c r="D29" s="574"/>
      <c r="E29" s="574"/>
      <c r="F29" s="676"/>
      <c r="G29" s="574"/>
      <c r="H29" s="574"/>
      <c r="I29" s="574"/>
      <c r="J29" s="763"/>
      <c r="K29" s="539"/>
      <c r="L29" s="540"/>
      <c r="M29" s="540"/>
      <c r="N29" s="813" t="s">
        <v>2382</v>
      </c>
      <c r="O29" s="814"/>
      <c r="P29" s="815">
        <f>SUMPRODUCT((地价!A3:A40=YEAR(G23)&amp;"-"&amp;ROUNDUP(MONTH(G23)/3,0))*(地价!AD2:AH2=N29)*(地价!AD3:AH40))</f>
        <v>0</v>
      </c>
      <c r="Q29" s="854"/>
      <c r="R29" s="854"/>
      <c r="S29" s="854"/>
      <c r="T29" s="716"/>
      <c r="U29" s="716"/>
      <c r="V29" s="716"/>
      <c r="W29" s="539"/>
      <c r="X29" s="539"/>
      <c r="Y29" s="539"/>
      <c r="Z29" s="785"/>
      <c r="AA29" s="785"/>
      <c r="AB29" s="785"/>
      <c r="AC29" s="785"/>
      <c r="AD29" s="785"/>
      <c r="AE29" s="539"/>
      <c r="AF29" s="539"/>
      <c r="AG29" s="540"/>
      <c r="AH29" s="540"/>
      <c r="AI29" s="540"/>
      <c r="AJ29" s="540"/>
    </row>
    <row r="30" spans="1:37" ht="15">
      <c r="A30" s="677"/>
      <c r="B30" s="662" t="s">
        <v>2383</v>
      </c>
      <c r="C30" s="678">
        <f>IF(B25="容积率修正",E33+SUM(E37:E42),SUM(V2:V16)+SUM(E37:E42))</f>
        <v>0</v>
      </c>
      <c r="D30" s="679"/>
      <c r="E30" s="667"/>
      <c r="F30" s="680"/>
      <c r="G30" s="667"/>
      <c r="H30" s="667"/>
      <c r="I30" s="667"/>
      <c r="J30" s="816"/>
      <c r="K30" s="539"/>
      <c r="L30" s="817" t="s">
        <v>2270</v>
      </c>
      <c r="M30" s="818" t="s">
        <v>2384</v>
      </c>
      <c r="N30" s="818" t="s">
        <v>2385</v>
      </c>
      <c r="O30" s="818" t="s">
        <v>2386</v>
      </c>
      <c r="P30" s="818" t="s">
        <v>2387</v>
      </c>
      <c r="Q30" s="855" t="s">
        <v>279</v>
      </c>
      <c r="R30" s="854"/>
      <c r="S30" s="854"/>
      <c r="T30" s="716"/>
      <c r="U30" s="716"/>
      <c r="V30" s="716"/>
      <c r="W30" s="539"/>
      <c r="X30" s="539"/>
      <c r="Y30" s="539"/>
      <c r="Z30" s="785"/>
      <c r="AA30" s="785"/>
      <c r="AB30" s="785"/>
      <c r="AC30" s="785"/>
      <c r="AD30" s="785"/>
      <c r="AE30" s="539"/>
      <c r="AF30" s="539"/>
      <c r="AG30" s="540"/>
      <c r="AH30" s="540"/>
      <c r="AI30" s="540"/>
      <c r="AJ30" s="540"/>
    </row>
    <row r="31" spans="1:37" ht="15">
      <c r="A31" s="677"/>
      <c r="B31" s="681" t="s">
        <v>2388</v>
      </c>
      <c r="C31" s="682">
        <f>E34+SUM(I37:I42)</f>
        <v>0</v>
      </c>
      <c r="D31" s="683"/>
      <c r="E31" s="684"/>
      <c r="F31" s="685"/>
      <c r="G31" s="684"/>
      <c r="H31" s="684"/>
      <c r="I31" s="684"/>
      <c r="J31" s="819"/>
      <c r="K31" s="539"/>
      <c r="L31" s="820" t="s">
        <v>2389</v>
      </c>
      <c r="M31" s="549">
        <v>0.25</v>
      </c>
      <c r="N31" s="549">
        <v>0.2</v>
      </c>
      <c r="O31" s="549">
        <v>0.15</v>
      </c>
      <c r="P31" s="549">
        <v>0.1</v>
      </c>
      <c r="Q31" s="856">
        <v>0.15</v>
      </c>
      <c r="R31" s="854"/>
      <c r="S31" s="854"/>
      <c r="T31" s="716"/>
      <c r="U31" s="716"/>
      <c r="V31" s="716"/>
      <c r="W31" s="539"/>
      <c r="X31" s="539"/>
      <c r="Y31" s="539"/>
      <c r="Z31" s="785"/>
      <c r="AA31" s="785"/>
      <c r="AB31" s="785"/>
      <c r="AC31" s="785"/>
      <c r="AD31" s="785"/>
      <c r="AE31" s="539"/>
      <c r="AF31" s="539"/>
      <c r="AG31" s="540"/>
      <c r="AH31" s="540"/>
      <c r="AI31" s="540"/>
      <c r="AJ31" s="540"/>
    </row>
    <row r="32" spans="1:37" ht="15">
      <c r="A32" s="686"/>
      <c r="B32" s="687" t="s">
        <v>2390</v>
      </c>
      <c r="C32" s="688" t="s">
        <v>2391</v>
      </c>
      <c r="D32" s="688" t="s">
        <v>1128</v>
      </c>
      <c r="E32" s="689" t="s">
        <v>2392</v>
      </c>
      <c r="F32" s="690"/>
      <c r="G32" s="597"/>
      <c r="H32" s="597"/>
      <c r="I32" s="597"/>
      <c r="J32" s="769"/>
      <c r="K32" s="539"/>
      <c r="L32" s="821" t="s">
        <v>2361</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39"/>
      <c r="X32" s="539"/>
      <c r="Y32" s="539"/>
      <c r="Z32" s="785"/>
      <c r="AA32" s="785"/>
      <c r="AB32" s="785"/>
      <c r="AC32" s="785"/>
      <c r="AD32" s="785"/>
      <c r="AE32" s="539"/>
      <c r="AF32" s="539"/>
      <c r="AG32" s="540"/>
      <c r="AH32" s="540"/>
      <c r="AI32" s="540"/>
      <c r="AJ32" s="540"/>
    </row>
    <row r="33" spans="1:37" ht="14.25">
      <c r="A33" s="691"/>
      <c r="B33" s="692" t="s">
        <v>2393</v>
      </c>
      <c r="C33" s="693">
        <f>ROUND(C5*C22*C23*C24*C25*C28,0)</f>
        <v>4164</v>
      </c>
      <c r="D33" s="694"/>
      <c r="E33" s="695">
        <f>ROUND(C33*D33/10000,0)</f>
        <v>0</v>
      </c>
      <c r="F33" s="696" t="s">
        <v>2394</v>
      </c>
      <c r="G33" s="697"/>
      <c r="H33" s="697"/>
      <c r="I33" s="697"/>
      <c r="J33" s="823"/>
      <c r="K33" s="539"/>
      <c r="L33" s="824" t="s">
        <v>2395</v>
      </c>
      <c r="M33" s="825">
        <v>5.5E-2</v>
      </c>
      <c r="N33" s="825">
        <v>5.5E-2</v>
      </c>
      <c r="O33" s="825">
        <v>0.05</v>
      </c>
      <c r="P33" s="825">
        <v>0.05</v>
      </c>
      <c r="Q33" s="825">
        <v>0.05</v>
      </c>
      <c r="R33" s="854"/>
      <c r="S33" s="854"/>
      <c r="T33" s="716"/>
      <c r="U33" s="716"/>
      <c r="V33" s="716"/>
      <c r="W33" s="539"/>
      <c r="X33" s="539"/>
      <c r="Y33" s="539"/>
      <c r="Z33" s="785"/>
      <c r="AA33" s="785"/>
      <c r="AB33" s="785"/>
      <c r="AC33" s="785"/>
      <c r="AD33" s="785"/>
      <c r="AE33" s="716"/>
      <c r="AF33" s="716"/>
      <c r="AG33" s="871"/>
      <c r="AH33" s="871"/>
      <c r="AI33" s="871"/>
      <c r="AJ33" s="871"/>
    </row>
    <row r="34" spans="1:37" ht="24.75">
      <c r="A34" s="698"/>
      <c r="B34" s="699" t="s">
        <v>2396</v>
      </c>
      <c r="C34" s="635">
        <f>ROUND(IF(E2="工业",C33*M42,IF(B25="楼层修正",SUM(V2:V16)*M41*10000/D34,C33*M41)),0)</f>
        <v>625</v>
      </c>
      <c r="D34" s="700"/>
      <c r="E34" s="695">
        <f>ROUND(IF(B25="楼层修正",SUM(V2:V16)*M40,C34*D34/10000),0)</f>
        <v>0</v>
      </c>
      <c r="F34" s="701" t="s">
        <v>2397</v>
      </c>
      <c r="G34" s="702"/>
      <c r="H34" s="702"/>
      <c r="I34" s="702"/>
      <c r="J34" s="826"/>
      <c r="K34" s="539"/>
      <c r="L34" s="824" t="s">
        <v>2398</v>
      </c>
      <c r="M34" s="825">
        <v>6.5000000000000002E-2</v>
      </c>
      <c r="N34" s="825">
        <v>6.5000000000000002E-2</v>
      </c>
      <c r="O34" s="825">
        <v>0.06</v>
      </c>
      <c r="P34" s="825">
        <v>0.06</v>
      </c>
      <c r="Q34" s="825">
        <v>0.06</v>
      </c>
      <c r="R34" s="854"/>
      <c r="S34" s="854"/>
      <c r="T34" s="716"/>
      <c r="U34" s="716"/>
      <c r="V34" s="716"/>
      <c r="W34" s="539"/>
      <c r="X34" s="539"/>
      <c r="Y34" s="539"/>
      <c r="Z34" s="785"/>
      <c r="AA34" s="785"/>
      <c r="AB34" s="785"/>
      <c r="AC34" s="785"/>
      <c r="AD34" s="785"/>
      <c r="AE34" s="716"/>
      <c r="AF34" s="716"/>
      <c r="AG34" s="871"/>
      <c r="AH34" s="871"/>
      <c r="AI34" s="871"/>
      <c r="AJ34" s="871"/>
    </row>
    <row r="35" spans="1:37">
      <c r="A35" s="703"/>
      <c r="B35" s="704" t="s">
        <v>2399</v>
      </c>
      <c r="C35" s="705" t="s">
        <v>2400</v>
      </c>
      <c r="D35" s="597"/>
      <c r="E35" s="706"/>
      <c r="F35" s="706"/>
      <c r="G35" s="595" t="s">
        <v>2397</v>
      </c>
      <c r="H35" s="597"/>
      <c r="I35" s="827"/>
      <c r="J35" s="769"/>
      <c r="K35" s="539"/>
      <c r="L35" s="539"/>
      <c r="M35" s="539"/>
      <c r="N35" s="539"/>
      <c r="O35" s="787"/>
      <c r="P35" s="787"/>
      <c r="Q35" s="854"/>
      <c r="R35" s="539"/>
      <c r="S35" s="539"/>
      <c r="T35" s="539"/>
      <c r="U35" s="539"/>
      <c r="V35" s="539"/>
      <c r="W35" s="539"/>
      <c r="X35" s="539"/>
      <c r="Y35" s="539"/>
      <c r="Z35" s="716"/>
      <c r="AA35" s="716"/>
      <c r="AB35" s="716"/>
      <c r="AC35" s="716"/>
      <c r="AD35" s="716"/>
      <c r="AE35" s="716"/>
      <c r="AF35" s="716"/>
      <c r="AG35" s="871"/>
      <c r="AH35" s="871"/>
      <c r="AI35" s="871"/>
      <c r="AJ35" s="871"/>
    </row>
    <row r="36" spans="1:37" ht="24">
      <c r="A36" s="691"/>
      <c r="B36" s="707"/>
      <c r="C36" s="708" t="s">
        <v>2391</v>
      </c>
      <c r="D36" s="709" t="s">
        <v>1128</v>
      </c>
      <c r="E36" s="709" t="s">
        <v>2392</v>
      </c>
      <c r="F36" s="546" t="s">
        <v>2401</v>
      </c>
      <c r="G36" s="710" t="s">
        <v>2391</v>
      </c>
      <c r="H36" s="710" t="s">
        <v>1128</v>
      </c>
      <c r="I36" s="710" t="s">
        <v>2392</v>
      </c>
      <c r="J36" s="429"/>
      <c r="K36" s="828" t="s">
        <v>2402</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39"/>
      <c r="S36" s="539"/>
      <c r="T36" s="539"/>
      <c r="U36" s="539"/>
      <c r="V36" s="539"/>
      <c r="W36" s="539"/>
      <c r="X36" s="539"/>
      <c r="Y36" s="539"/>
      <c r="Z36" s="716"/>
      <c r="AA36" s="716"/>
      <c r="AB36" s="716"/>
      <c r="AC36" s="716"/>
      <c r="AD36" s="716"/>
      <c r="AE36" s="716"/>
      <c r="AF36" s="716"/>
      <c r="AG36" s="871"/>
      <c r="AH36" s="871"/>
      <c r="AI36" s="871"/>
      <c r="AJ36" s="871"/>
    </row>
    <row r="37" spans="1:37" ht="24">
      <c r="A37" s="3803"/>
      <c r="B37" s="711" t="s">
        <v>2403</v>
      </c>
      <c r="C37" s="693">
        <f>ROUND(D5*C22*C23*C24*C28*F37,0)</f>
        <v>2498</v>
      </c>
      <c r="D37" s="694"/>
      <c r="E37" s="582">
        <f>ROUND(C37*D37/10000,0)</f>
        <v>0</v>
      </c>
      <c r="F37" s="582">
        <f>SUMIF(修正!A57:A68,G2,修正!B57:B68)</f>
        <v>0.6</v>
      </c>
      <c r="G37" s="582">
        <f>ROUND(IF(E2="工业",C37*$M$42,C37*$M$41),0)</f>
        <v>375</v>
      </c>
      <c r="H37" s="582">
        <f>D37</f>
        <v>0</v>
      </c>
      <c r="I37" s="582">
        <f>ROUND(G37*H37/10000,0)</f>
        <v>0</v>
      </c>
      <c r="J37" s="831"/>
      <c r="K37" s="832" t="s">
        <v>2404</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39"/>
      <c r="S37" s="539"/>
      <c r="T37" s="539"/>
      <c r="U37" s="539"/>
      <c r="V37" s="539"/>
      <c r="W37" s="539"/>
      <c r="X37" s="539"/>
      <c r="Y37" s="539"/>
      <c r="Z37" s="716"/>
      <c r="AA37" s="716"/>
      <c r="AB37" s="716"/>
      <c r="AC37" s="716"/>
      <c r="AD37" s="716"/>
      <c r="AE37" s="716"/>
      <c r="AF37" s="716"/>
      <c r="AG37" s="871"/>
      <c r="AH37" s="871"/>
      <c r="AI37" s="871"/>
      <c r="AJ37" s="871"/>
    </row>
    <row r="38" spans="1:37">
      <c r="A38" s="3804"/>
      <c r="B38" s="600" t="s">
        <v>2405</v>
      </c>
      <c r="C38" s="693">
        <f>ROUND(D5*C22*C23*C24*C28*F38,0)</f>
        <v>1249</v>
      </c>
      <c r="D38" s="694"/>
      <c r="E38" s="582">
        <f t="shared" ref="E38:E42" si="4">ROUND(C38*D38/10000,0)</f>
        <v>0</v>
      </c>
      <c r="F38" s="582">
        <f>SUMIF(修正!A57:A68,G2,修正!C57:C68)</f>
        <v>0.3</v>
      </c>
      <c r="G38" s="582">
        <f>ROUND(IF(E2="工业",C38*$M$42,C38*$M$41),0)</f>
        <v>187</v>
      </c>
      <c r="H38" s="582">
        <f t="shared" ref="H38:H42" si="5">D38</f>
        <v>0</v>
      </c>
      <c r="I38" s="582">
        <f t="shared" ref="I38:I42" si="6">ROUND(G38*H38/10000,0)</f>
        <v>0</v>
      </c>
      <c r="J38" s="712"/>
      <c r="K38" s="828">
        <v>5.0000000000000001E-3</v>
      </c>
      <c r="L38" s="828"/>
      <c r="M38" s="828"/>
      <c r="N38" s="828"/>
      <c r="O38" s="828"/>
      <c r="P38" s="828"/>
      <c r="Q38" s="828"/>
      <c r="R38" s="539"/>
      <c r="S38" s="539"/>
      <c r="T38" s="539"/>
      <c r="U38" s="539"/>
      <c r="V38" s="539"/>
      <c r="W38" s="539"/>
      <c r="X38" s="539"/>
      <c r="Y38" s="539"/>
      <c r="Z38" s="716"/>
      <c r="AA38" s="716"/>
      <c r="AB38" s="716"/>
      <c r="AC38" s="716"/>
      <c r="AD38" s="716"/>
    </row>
    <row r="39" spans="1:37">
      <c r="A39" s="3804"/>
      <c r="B39" s="600" t="s">
        <v>2406</v>
      </c>
      <c r="C39" s="693">
        <f>ROUND(D5*C22*C23*C24*C28*F39,0)</f>
        <v>1041</v>
      </c>
      <c r="D39" s="694"/>
      <c r="E39" s="582">
        <f t="shared" si="4"/>
        <v>0</v>
      </c>
      <c r="F39" s="582">
        <f>SUMIF(修正!A57:A68,G2,修正!D57:D68)</f>
        <v>0.25</v>
      </c>
      <c r="G39" s="582">
        <f>ROUND(IF(E2="工业",C39*$M$42,C39*$M$41),0)</f>
        <v>156</v>
      </c>
      <c r="H39" s="582">
        <f t="shared" si="5"/>
        <v>0</v>
      </c>
      <c r="I39" s="582">
        <f t="shared" si="6"/>
        <v>0</v>
      </c>
      <c r="J39" s="712"/>
      <c r="K39" s="539"/>
      <c r="L39" s="539"/>
      <c r="M39" s="539"/>
      <c r="N39" s="539"/>
      <c r="O39" s="539"/>
      <c r="P39" s="539"/>
      <c r="Q39" s="539"/>
      <c r="R39" s="539"/>
      <c r="S39" s="539"/>
      <c r="T39" s="539"/>
      <c r="U39" s="539"/>
      <c r="V39" s="539"/>
      <c r="W39" s="539"/>
      <c r="X39" s="539"/>
      <c r="Y39" s="539"/>
      <c r="Z39" s="716"/>
      <c r="AA39" s="716"/>
      <c r="AB39" s="716"/>
      <c r="AC39" s="716"/>
      <c r="AD39" s="716"/>
    </row>
    <row r="40" spans="1:37" s="539" customFormat="1">
      <c r="A40" s="713"/>
      <c r="B40" s="600" t="s">
        <v>2407</v>
      </c>
      <c r="C40" s="582">
        <f>ROUND(D5*C22*C23*C24*C28*F40,0)</f>
        <v>1041</v>
      </c>
      <c r="D40" s="694"/>
      <c r="E40" s="582">
        <f t="shared" si="4"/>
        <v>0</v>
      </c>
      <c r="F40" s="693">
        <f>SUMIF(修正!A57:A68,G2,修正!E57:E68)</f>
        <v>0.25</v>
      </c>
      <c r="G40" s="582">
        <f>ROUND(IF(E2="工业",C40*$M$42,C40*$M$41),0)</f>
        <v>156</v>
      </c>
      <c r="H40" s="582">
        <f t="shared" si="5"/>
        <v>0</v>
      </c>
      <c r="I40" s="582">
        <f t="shared" si="6"/>
        <v>0</v>
      </c>
      <c r="J40" s="833"/>
      <c r="L40" s="834" t="s">
        <v>2408</v>
      </c>
      <c r="M40" s="835"/>
      <c r="Z40" s="716"/>
      <c r="AA40" s="716"/>
      <c r="AB40" s="716"/>
      <c r="AC40" s="716"/>
      <c r="AD40" s="716"/>
      <c r="AE40" s="716"/>
      <c r="AF40" s="716"/>
      <c r="AG40" s="716"/>
      <c r="AH40" s="716"/>
      <c r="AI40" s="716"/>
      <c r="AJ40" s="716"/>
    </row>
    <row r="41" spans="1:37" s="539" customFormat="1">
      <c r="A41" s="713"/>
      <c r="B41" s="600" t="s">
        <v>2409</v>
      </c>
      <c r="C41" s="582">
        <f>ROUND(D5*C22*C23*C44*C28*F41,0)</f>
        <v>1041</v>
      </c>
      <c r="D41" s="694"/>
      <c r="E41" s="582">
        <f t="shared" si="4"/>
        <v>0</v>
      </c>
      <c r="F41" s="693">
        <f>SUMIF(修正!A57:A68,G2,修正!F57:F68)</f>
        <v>0.25</v>
      </c>
      <c r="G41" s="582">
        <f>ROUND(IF(E2="工业",C41*$M$42,C41*$M$41),0)</f>
        <v>156</v>
      </c>
      <c r="H41" s="582">
        <f t="shared" si="5"/>
        <v>0</v>
      </c>
      <c r="I41" s="582">
        <f t="shared" si="6"/>
        <v>0</v>
      </c>
      <c r="J41" s="833"/>
      <c r="L41" s="836" t="s">
        <v>2410</v>
      </c>
      <c r="M41" s="837">
        <v>0.25</v>
      </c>
      <c r="Z41" s="716"/>
      <c r="AA41" s="716"/>
      <c r="AB41" s="716"/>
      <c r="AC41" s="716"/>
      <c r="AD41" s="716"/>
      <c r="AE41" s="716"/>
      <c r="AF41" s="716"/>
      <c r="AG41" s="716"/>
      <c r="AH41" s="716"/>
      <c r="AI41" s="716"/>
      <c r="AJ41" s="716"/>
    </row>
    <row r="42" spans="1:37" s="539" customFormat="1">
      <c r="A42" s="698"/>
      <c r="B42" s="714" t="s">
        <v>2411</v>
      </c>
      <c r="C42" s="635">
        <f>ROUND(D5*C22*C23*C44*C28*F42,0)</f>
        <v>625</v>
      </c>
      <c r="D42" s="700">
        <f>'数据-汇总表'!G21</f>
        <v>0</v>
      </c>
      <c r="E42" s="635">
        <f t="shared" si="4"/>
        <v>0</v>
      </c>
      <c r="F42" s="715">
        <f>SUMIF(修正!A57:A68,G2,修正!G57:G68)</f>
        <v>0.15</v>
      </c>
      <c r="G42" s="635">
        <f>ROUND(IF(E2="工业",C42*$M$42,C42*$M$41),0)</f>
        <v>94</v>
      </c>
      <c r="H42" s="635">
        <f t="shared" si="5"/>
        <v>0</v>
      </c>
      <c r="I42" s="635">
        <f t="shared" si="6"/>
        <v>0</v>
      </c>
      <c r="J42" s="838"/>
      <c r="L42" s="839" t="s">
        <v>2387</v>
      </c>
      <c r="M42" s="840">
        <v>0.15</v>
      </c>
      <c r="Z42" s="716"/>
      <c r="AA42" s="716"/>
      <c r="AB42" s="716"/>
      <c r="AC42" s="716"/>
      <c r="AD42" s="716"/>
      <c r="AE42" s="716"/>
      <c r="AF42" s="716"/>
      <c r="AG42" s="716"/>
      <c r="AH42" s="716"/>
      <c r="AI42" s="716"/>
      <c r="AJ42" s="716"/>
    </row>
    <row r="43" spans="1:37" s="539" customFormat="1">
      <c r="Z43" s="716"/>
      <c r="AA43" s="716"/>
      <c r="AB43" s="716"/>
      <c r="AC43" s="716"/>
      <c r="AD43" s="716"/>
      <c r="AE43" s="716"/>
      <c r="AF43" s="716"/>
      <c r="AG43" s="716"/>
      <c r="AH43" s="716"/>
      <c r="AI43" s="716"/>
      <c r="AJ43" s="716"/>
    </row>
    <row r="44" spans="1:37" s="539" customFormat="1">
      <c r="A44" s="716"/>
      <c r="B44" s="717" t="s">
        <v>2412</v>
      </c>
      <c r="C44" s="546">
        <f>ROUND(POWER(1+E44,H44-G44)*(POWER(1+E44,G44)-1)/(POWER(1+E44,H44)-1),4)</f>
        <v>0.82769999999999999</v>
      </c>
      <c r="D44" s="582" t="s">
        <v>2361</v>
      </c>
      <c r="E44" s="718">
        <f>G24</f>
        <v>0.05</v>
      </c>
      <c r="F44" s="582" t="s">
        <v>2362</v>
      </c>
      <c r="G44" s="719">
        <f>项目基本情况!F15</f>
        <v>28.87</v>
      </c>
      <c r="H44" s="582">
        <v>50</v>
      </c>
      <c r="Z44" s="716"/>
      <c r="AA44" s="716"/>
      <c r="AB44" s="716"/>
      <c r="AC44" s="716"/>
      <c r="AD44" s="716"/>
      <c r="AE44" s="716"/>
      <c r="AF44" s="716"/>
      <c r="AG44" s="716"/>
      <c r="AH44" s="716"/>
      <c r="AI44" s="716"/>
      <c r="AJ44" s="716"/>
    </row>
    <row r="45" spans="1:37" s="539" customFormat="1">
      <c r="A45" s="716"/>
      <c r="B45" s="720"/>
      <c r="Z45" s="716"/>
      <c r="AA45" s="716"/>
      <c r="AB45" s="716"/>
      <c r="AC45" s="716"/>
      <c r="AD45" s="716"/>
      <c r="AE45" s="716"/>
      <c r="AF45" s="716"/>
      <c r="AG45" s="716"/>
      <c r="AH45" s="716"/>
      <c r="AI45" s="716"/>
      <c r="AJ45" s="716"/>
    </row>
    <row r="46" spans="1:37" s="539" customFormat="1">
      <c r="A46" s="716"/>
      <c r="B46" s="720"/>
      <c r="AA46" s="716"/>
      <c r="AB46" s="716"/>
      <c r="AC46" s="716"/>
      <c r="AD46" s="716"/>
      <c r="AE46" s="716"/>
      <c r="AF46" s="716"/>
      <c r="AG46" s="716"/>
      <c r="AH46" s="716"/>
      <c r="AI46" s="716"/>
      <c r="AJ46" s="716"/>
      <c r="AK46" s="716"/>
    </row>
    <row r="47" spans="1:37" s="539" customFormat="1" ht="15">
      <c r="A47" s="721" t="s">
        <v>2413</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39" customFormat="1" ht="15">
      <c r="A48" s="725" t="s">
        <v>2414</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39" customFormat="1" ht="24.75">
      <c r="A49" s="731" t="s">
        <v>2415</v>
      </c>
      <c r="B49" s="732" t="s">
        <v>2416</v>
      </c>
      <c r="C49" s="732" t="s">
        <v>2417</v>
      </c>
      <c r="D49" s="732" t="s">
        <v>2418</v>
      </c>
      <c r="E49" s="733" t="s">
        <v>2419</v>
      </c>
      <c r="F49" s="734" t="s">
        <v>2420</v>
      </c>
      <c r="G49" s="732" t="s">
        <v>2238</v>
      </c>
      <c r="H49" s="735" t="s">
        <v>2421</v>
      </c>
      <c r="I49" s="732" t="s">
        <v>2422</v>
      </c>
      <c r="J49" s="842" t="s">
        <v>2106</v>
      </c>
      <c r="K49" s="842" t="s">
        <v>2107</v>
      </c>
      <c r="L49" s="842" t="s">
        <v>2108</v>
      </c>
      <c r="M49" s="842" t="s">
        <v>2109</v>
      </c>
      <c r="N49" s="842" t="s">
        <v>2110</v>
      </c>
      <c r="AA49" s="716"/>
      <c r="AB49" s="716"/>
      <c r="AC49" s="716"/>
      <c r="AD49" s="716"/>
      <c r="AE49" s="716"/>
      <c r="AF49" s="716"/>
      <c r="AG49" s="716"/>
      <c r="AH49" s="716"/>
      <c r="AI49" s="716"/>
      <c r="AJ49" s="716"/>
      <c r="AK49" s="716"/>
    </row>
    <row r="50" spans="1:37" s="539" customFormat="1" ht="38.25">
      <c r="A50" s="731" t="s">
        <v>2423</v>
      </c>
      <c r="B50" s="736" t="str">
        <f>估价对象房地状况!C4</f>
        <v>估价对象位于XX商圈，周边商业氛围成熟，人流量大，商业繁华度好</v>
      </c>
      <c r="C50" s="606"/>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39" customFormat="1" ht="38.25">
      <c r="A51" s="731" t="s">
        <v>2424</v>
      </c>
      <c r="B51" s="742" t="str">
        <f>估价对象房地状况!C18</f>
        <v>估价对象周边道路状况、公共交通通达情况、停车便捷程度，综合评价交通便捷度较好</v>
      </c>
      <c r="C51" s="606"/>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39" customFormat="1" ht="36">
      <c r="A52" s="744" t="s">
        <v>2425</v>
      </c>
      <c r="B52" s="742">
        <f>估价对象房地状况!C19</f>
        <v>0</v>
      </c>
      <c r="C52" s="606"/>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39" customFormat="1" ht="36.75">
      <c r="A53" s="731" t="s">
        <v>2426</v>
      </c>
      <c r="B53" s="745" t="s">
        <v>2427</v>
      </c>
      <c r="C53" s="606"/>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39" customFormat="1" ht="24">
      <c r="A54" s="731" t="s">
        <v>2428</v>
      </c>
      <c r="B54" s="742">
        <f>估价对象房地状况!C24</f>
        <v>0</v>
      </c>
      <c r="C54" s="606"/>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39" customFormat="1" ht="24">
      <c r="A55" s="731" t="s">
        <v>2429</v>
      </c>
      <c r="B55" s="746" t="s">
        <v>2430</v>
      </c>
      <c r="C55" s="606"/>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39" customFormat="1" ht="25.5">
      <c r="A56" s="747" t="s">
        <v>2431</v>
      </c>
      <c r="B56" s="748" t="str">
        <f>估价对象房地状况!C21</f>
        <v>估价对象所在区域公共配套设施齐备情况</v>
      </c>
      <c r="C56" s="606"/>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39" customFormat="1" ht="25.5">
      <c r="A57" s="747" t="s">
        <v>2432</v>
      </c>
      <c r="B57" s="742" t="str">
        <f>估价对象房地状况!C22</f>
        <v>估价对象所在区域基础设施水平</v>
      </c>
      <c r="C57" s="606"/>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39" customFormat="1" ht="25.5">
      <c r="A58" s="749" t="s">
        <v>2433</v>
      </c>
      <c r="B58" s="750" t="str">
        <f>估价对象房地状况!C20</f>
        <v>区域自然环境：；人文环境；综合评价环境状况一般</v>
      </c>
      <c r="C58" s="606"/>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39" customFormat="1" ht="15">
      <c r="A59" s="725" t="s">
        <v>2434</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39" customFormat="1" ht="24.75">
      <c r="A60" s="731" t="s">
        <v>2415</v>
      </c>
      <c r="B60" s="732"/>
      <c r="C60" s="732" t="s">
        <v>2417</v>
      </c>
      <c r="D60" s="732" t="s">
        <v>2418</v>
      </c>
      <c r="E60" s="733" t="s">
        <v>2419</v>
      </c>
      <c r="F60" s="734" t="s">
        <v>2435</v>
      </c>
      <c r="G60" s="732" t="s">
        <v>2238</v>
      </c>
      <c r="H60" s="735" t="s">
        <v>2421</v>
      </c>
      <c r="I60" s="732" t="s">
        <v>2422</v>
      </c>
      <c r="J60" s="842" t="s">
        <v>2106</v>
      </c>
      <c r="K60" s="842" t="s">
        <v>2107</v>
      </c>
      <c r="L60" s="842" t="s">
        <v>2108</v>
      </c>
      <c r="M60" s="842" t="s">
        <v>2109</v>
      </c>
      <c r="N60" s="842" t="s">
        <v>2110</v>
      </c>
      <c r="AA60" s="716"/>
      <c r="AB60" s="716"/>
      <c r="AC60" s="716"/>
      <c r="AD60" s="716"/>
      <c r="AE60" s="716"/>
      <c r="AF60" s="716"/>
      <c r="AG60" s="716"/>
      <c r="AH60" s="716"/>
      <c r="AI60" s="716"/>
      <c r="AJ60" s="716"/>
      <c r="AK60" s="716"/>
    </row>
    <row r="61" spans="1:37" s="539" customFormat="1" ht="38.25">
      <c r="A61" s="731" t="s">
        <v>2436</v>
      </c>
      <c r="B61" s="736" t="str">
        <f>估价对象房地状况!C17</f>
        <v>估价对象位于XX商圈，周边办公楼项目较多，入驻率高，办公集聚程度较好</v>
      </c>
      <c r="C61" s="606"/>
      <c r="D61" s="737">
        <f t="shared" ref="D61:D69" si="12">SUMIF($J$60:$N$60,C61,J61:N61)</f>
        <v>0</v>
      </c>
      <c r="E61" s="738">
        <f>ROUND(SUM(D61:D69),4)</f>
        <v>0</v>
      </c>
      <c r="F61" s="739" t="str">
        <f>IF(E2="办公",SUMIF(L1:L12,G2,N1:N12),"——")</f>
        <v>——</v>
      </c>
      <c r="G61" s="740"/>
      <c r="H61" s="741"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6"/>
      <c r="AB61" s="716"/>
      <c r="AC61" s="716"/>
      <c r="AD61" s="716"/>
      <c r="AE61" s="716"/>
      <c r="AF61" s="716"/>
      <c r="AG61" s="716"/>
      <c r="AH61" s="716"/>
      <c r="AI61" s="716"/>
      <c r="AJ61" s="716"/>
      <c r="AK61" s="716"/>
    </row>
    <row r="62" spans="1:37" s="539" customFormat="1" ht="38.25">
      <c r="A62" s="731" t="s">
        <v>2424</v>
      </c>
      <c r="B62" s="742" t="str">
        <f>估价对象房地状况!C18</f>
        <v>估价对象周边道路状况、公共交通通达情况、停车便捷程度，综合评价交通便捷度较好</v>
      </c>
      <c r="C62" s="606"/>
      <c r="D62" s="737">
        <f t="shared" si="12"/>
        <v>0</v>
      </c>
      <c r="E62" s="743"/>
      <c r="F62" s="739"/>
      <c r="G62" s="740"/>
      <c r="H62" s="741" t="str">
        <f t="shared" si="13"/>
        <v>——</v>
      </c>
      <c r="I62" s="843">
        <v>0.26</v>
      </c>
      <c r="J62" s="844">
        <f t="shared" si="14"/>
        <v>0</v>
      </c>
      <c r="K62" s="844">
        <f t="shared" si="15"/>
        <v>0</v>
      </c>
      <c r="L62" s="844">
        <v>0</v>
      </c>
      <c r="M62" s="844">
        <f t="shared" si="16"/>
        <v>0</v>
      </c>
      <c r="N62" s="844">
        <f t="shared" si="16"/>
        <v>0</v>
      </c>
      <c r="AA62" s="716"/>
      <c r="AB62" s="716"/>
      <c r="AC62" s="716"/>
      <c r="AD62" s="716"/>
      <c r="AE62" s="716"/>
      <c r="AF62" s="716"/>
      <c r="AG62" s="716"/>
      <c r="AH62" s="716"/>
      <c r="AI62" s="716"/>
      <c r="AJ62" s="716"/>
      <c r="AK62" s="716"/>
    </row>
    <row r="63" spans="1:37" s="539" customFormat="1" ht="36">
      <c r="A63" s="744" t="s">
        <v>2425</v>
      </c>
      <c r="B63" s="742">
        <f>估价对象房地状况!C19</f>
        <v>0</v>
      </c>
      <c r="C63" s="606"/>
      <c r="D63" s="737">
        <f t="shared" si="12"/>
        <v>0</v>
      </c>
      <c r="E63" s="743"/>
      <c r="F63" s="739"/>
      <c r="G63" s="740"/>
      <c r="H63" s="741" t="str">
        <f t="shared" si="13"/>
        <v>——</v>
      </c>
      <c r="I63" s="843">
        <v>0.11</v>
      </c>
      <c r="J63" s="844">
        <f t="shared" si="14"/>
        <v>0</v>
      </c>
      <c r="K63" s="844">
        <f t="shared" si="15"/>
        <v>0</v>
      </c>
      <c r="L63" s="844">
        <v>0</v>
      </c>
      <c r="M63" s="844">
        <f t="shared" si="16"/>
        <v>0</v>
      </c>
      <c r="N63" s="844">
        <f t="shared" si="16"/>
        <v>0</v>
      </c>
      <c r="AA63" s="716"/>
      <c r="AB63" s="716"/>
      <c r="AC63" s="716"/>
      <c r="AD63" s="716"/>
      <c r="AE63" s="716"/>
      <c r="AF63" s="716"/>
      <c r="AG63" s="716"/>
      <c r="AH63" s="716"/>
      <c r="AI63" s="716"/>
      <c r="AJ63" s="716"/>
      <c r="AK63" s="716"/>
    </row>
    <row r="64" spans="1:37" s="539" customFormat="1" ht="36.75">
      <c r="A64" s="731" t="s">
        <v>2426</v>
      </c>
      <c r="B64" s="745" t="s">
        <v>2427</v>
      </c>
      <c r="C64" s="606"/>
      <c r="D64" s="737">
        <f t="shared" si="12"/>
        <v>0</v>
      </c>
      <c r="E64" s="743"/>
      <c r="F64" s="739"/>
      <c r="G64" s="740"/>
      <c r="H64" s="741" t="str">
        <f t="shared" si="13"/>
        <v>——</v>
      </c>
      <c r="I64" s="843">
        <v>0.05</v>
      </c>
      <c r="J64" s="844">
        <f t="shared" si="14"/>
        <v>0</v>
      </c>
      <c r="K64" s="844">
        <f t="shared" si="15"/>
        <v>0</v>
      </c>
      <c r="L64" s="844">
        <v>0</v>
      </c>
      <c r="M64" s="844">
        <f t="shared" si="16"/>
        <v>0</v>
      </c>
      <c r="N64" s="844">
        <f t="shared" si="16"/>
        <v>0</v>
      </c>
      <c r="AA64" s="716"/>
      <c r="AB64" s="716"/>
      <c r="AC64" s="716"/>
      <c r="AD64" s="716"/>
      <c r="AE64" s="716"/>
      <c r="AF64" s="716"/>
      <c r="AG64" s="716"/>
      <c r="AH64" s="716"/>
      <c r="AI64" s="716"/>
      <c r="AJ64" s="716"/>
      <c r="AK64" s="716"/>
    </row>
    <row r="65" spans="1:37" s="539" customFormat="1" ht="24">
      <c r="A65" s="731" t="s">
        <v>2428</v>
      </c>
      <c r="B65" s="742">
        <f>估价对象房地状况!C24</f>
        <v>0</v>
      </c>
      <c r="C65" s="606"/>
      <c r="D65" s="737">
        <f t="shared" si="12"/>
        <v>0</v>
      </c>
      <c r="E65" s="743"/>
      <c r="F65" s="739"/>
      <c r="G65" s="740"/>
      <c r="H65" s="741" t="str">
        <f t="shared" si="13"/>
        <v>——</v>
      </c>
      <c r="I65" s="843">
        <v>0.05</v>
      </c>
      <c r="J65" s="844">
        <f t="shared" si="14"/>
        <v>0</v>
      </c>
      <c r="K65" s="844">
        <f t="shared" si="15"/>
        <v>0</v>
      </c>
      <c r="L65" s="844">
        <v>0</v>
      </c>
      <c r="M65" s="844">
        <f t="shared" si="16"/>
        <v>0</v>
      </c>
      <c r="N65" s="844">
        <f t="shared" si="16"/>
        <v>0</v>
      </c>
      <c r="AA65" s="716"/>
      <c r="AB65" s="716"/>
      <c r="AC65" s="716"/>
      <c r="AD65" s="716"/>
      <c r="AE65" s="716"/>
      <c r="AF65" s="716"/>
      <c r="AG65" s="716"/>
      <c r="AH65" s="716"/>
      <c r="AI65" s="716"/>
      <c r="AJ65" s="716"/>
      <c r="AK65" s="716"/>
    </row>
    <row r="66" spans="1:37" s="539" customFormat="1" ht="24">
      <c r="A66" s="731" t="s">
        <v>2429</v>
      </c>
      <c r="B66" s="746" t="s">
        <v>2430</v>
      </c>
      <c r="C66" s="606"/>
      <c r="D66" s="737">
        <f t="shared" si="12"/>
        <v>0</v>
      </c>
      <c r="E66" s="743"/>
      <c r="F66" s="739"/>
      <c r="G66" s="740"/>
      <c r="H66" s="741" t="str">
        <f t="shared" si="13"/>
        <v>——</v>
      </c>
      <c r="I66" s="843">
        <v>0.06</v>
      </c>
      <c r="J66" s="844">
        <f t="shared" si="14"/>
        <v>0</v>
      </c>
      <c r="K66" s="844">
        <f t="shared" si="15"/>
        <v>0</v>
      </c>
      <c r="L66" s="844">
        <v>0</v>
      </c>
      <c r="M66" s="844">
        <f t="shared" si="16"/>
        <v>0</v>
      </c>
      <c r="N66" s="844">
        <f t="shared" si="16"/>
        <v>0</v>
      </c>
      <c r="AA66" s="716"/>
      <c r="AB66" s="716"/>
      <c r="AC66" s="716"/>
      <c r="AD66" s="716"/>
      <c r="AE66" s="716"/>
      <c r="AF66" s="716"/>
      <c r="AG66" s="716"/>
      <c r="AH66" s="716"/>
      <c r="AI66" s="716"/>
      <c r="AJ66" s="716"/>
      <c r="AK66" s="716"/>
    </row>
    <row r="67" spans="1:37" s="539" customFormat="1" ht="25.5">
      <c r="A67" s="731" t="s">
        <v>2431</v>
      </c>
      <c r="B67" s="748" t="str">
        <f>估价对象房地状况!C21</f>
        <v>估价对象所在区域公共配套设施齐备情况</v>
      </c>
      <c r="C67" s="606"/>
      <c r="D67" s="737">
        <f t="shared" si="12"/>
        <v>0</v>
      </c>
      <c r="E67" s="743"/>
      <c r="F67" s="739"/>
      <c r="G67" s="740"/>
      <c r="H67" s="741" t="str">
        <f t="shared" si="13"/>
        <v>——</v>
      </c>
      <c r="I67" s="843">
        <v>0.06</v>
      </c>
      <c r="J67" s="844">
        <f t="shared" si="14"/>
        <v>0</v>
      </c>
      <c r="K67" s="844">
        <f t="shared" si="15"/>
        <v>0</v>
      </c>
      <c r="L67" s="844">
        <v>0</v>
      </c>
      <c r="M67" s="844">
        <f t="shared" si="16"/>
        <v>0</v>
      </c>
      <c r="N67" s="844">
        <f t="shared" si="16"/>
        <v>0</v>
      </c>
      <c r="AA67" s="716"/>
      <c r="AB67" s="716"/>
      <c r="AC67" s="716"/>
      <c r="AD67" s="716"/>
      <c r="AE67" s="716"/>
      <c r="AF67" s="716"/>
      <c r="AG67" s="716"/>
      <c r="AH67" s="716"/>
      <c r="AI67" s="716"/>
      <c r="AJ67" s="716"/>
      <c r="AK67" s="716"/>
    </row>
    <row r="68" spans="1:37" s="539" customFormat="1" ht="25.5">
      <c r="A68" s="731" t="s">
        <v>2432</v>
      </c>
      <c r="B68" s="748" t="str">
        <f>估价对象房地状况!C22</f>
        <v>估价对象所在区域基础设施水平</v>
      </c>
      <c r="C68" s="606"/>
      <c r="D68" s="737">
        <f t="shared" si="12"/>
        <v>0</v>
      </c>
      <c r="E68" s="743"/>
      <c r="F68" s="739"/>
      <c r="G68" s="740"/>
      <c r="H68" s="741" t="str">
        <f t="shared" si="13"/>
        <v>——</v>
      </c>
      <c r="I68" s="843">
        <v>0.09</v>
      </c>
      <c r="J68" s="844">
        <f t="shared" si="14"/>
        <v>0</v>
      </c>
      <c r="K68" s="844">
        <f t="shared" si="15"/>
        <v>0</v>
      </c>
      <c r="L68" s="844">
        <v>0</v>
      </c>
      <c r="M68" s="844">
        <f t="shared" si="16"/>
        <v>0</v>
      </c>
      <c r="N68" s="844">
        <f t="shared" si="16"/>
        <v>0</v>
      </c>
      <c r="AA68" s="716"/>
      <c r="AB68" s="716"/>
      <c r="AC68" s="716"/>
      <c r="AD68" s="716"/>
      <c r="AE68" s="716"/>
      <c r="AF68" s="716"/>
      <c r="AG68" s="716"/>
      <c r="AH68" s="716"/>
      <c r="AI68" s="716"/>
      <c r="AJ68" s="716"/>
      <c r="AK68" s="716"/>
    </row>
    <row r="69" spans="1:37" s="539" customFormat="1" ht="25.5">
      <c r="A69" s="749" t="s">
        <v>2433</v>
      </c>
      <c r="B69" s="875" t="str">
        <f>估价对象房地状况!C20</f>
        <v>区域自然环境：；人文环境；综合评价环境状况一般</v>
      </c>
      <c r="C69" s="606"/>
      <c r="D69" s="737">
        <f t="shared" si="12"/>
        <v>0</v>
      </c>
      <c r="E69" s="751"/>
      <c r="F69" s="739"/>
      <c r="G69" s="740"/>
      <c r="H69" s="741" t="str">
        <f t="shared" si="13"/>
        <v>——</v>
      </c>
      <c r="I69" s="845">
        <v>7.0000000000000007E-2</v>
      </c>
      <c r="J69" s="844">
        <f t="shared" si="14"/>
        <v>0</v>
      </c>
      <c r="K69" s="844">
        <f t="shared" si="15"/>
        <v>0</v>
      </c>
      <c r="L69" s="844">
        <v>0</v>
      </c>
      <c r="M69" s="844">
        <f t="shared" si="16"/>
        <v>0</v>
      </c>
      <c r="N69" s="844">
        <f t="shared" si="16"/>
        <v>0</v>
      </c>
      <c r="AA69" s="716"/>
      <c r="AB69" s="716"/>
      <c r="AC69" s="716"/>
      <c r="AD69" s="716"/>
      <c r="AE69" s="716"/>
      <c r="AF69" s="716"/>
      <c r="AG69" s="716"/>
      <c r="AH69" s="716"/>
      <c r="AI69" s="716"/>
      <c r="AJ69" s="716"/>
      <c r="AK69" s="716"/>
    </row>
    <row r="70" spans="1:37" s="539" customFormat="1" ht="15">
      <c r="A70" s="725" t="s">
        <v>2437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39" customFormat="1" ht="24.75">
      <c r="A71" s="731" t="s">
        <v>2415</v>
      </c>
      <c r="B71" s="732"/>
      <c r="C71" s="732" t="s">
        <v>2417</v>
      </c>
      <c r="D71" s="732" t="s">
        <v>2418</v>
      </c>
      <c r="E71" s="733" t="s">
        <v>2419</v>
      </c>
      <c r="F71" s="734" t="s">
        <v>2435</v>
      </c>
      <c r="G71" s="732" t="s">
        <v>2238</v>
      </c>
      <c r="H71" s="735" t="s">
        <v>2421</v>
      </c>
      <c r="I71" s="732" t="s">
        <v>2422</v>
      </c>
      <c r="J71" s="842" t="s">
        <v>2106</v>
      </c>
      <c r="K71" s="842" t="s">
        <v>2107</v>
      </c>
      <c r="L71" s="842" t="s">
        <v>2108</v>
      </c>
      <c r="M71" s="842" t="s">
        <v>2109</v>
      </c>
      <c r="N71" s="842" t="s">
        <v>2110</v>
      </c>
      <c r="AA71" s="716"/>
      <c r="AB71" s="716"/>
      <c r="AC71" s="716"/>
      <c r="AD71" s="716"/>
      <c r="AE71" s="716"/>
      <c r="AF71" s="716"/>
      <c r="AG71" s="716"/>
      <c r="AH71" s="716"/>
      <c r="AI71" s="716"/>
      <c r="AJ71" s="716"/>
      <c r="AK71" s="716"/>
    </row>
    <row r="72" spans="1:37" s="539" customFormat="1" ht="51">
      <c r="A72" s="731" t="s">
        <v>2438</v>
      </c>
      <c r="B72" s="736" t="str">
        <f>估价对象房地状况!C15</f>
        <v>估价对象周边居住用地比例、居住小区规模和社区发展完善程度，综合评价居住社区成熟度一般</v>
      </c>
      <c r="C72" s="606"/>
      <c r="D72" s="737">
        <f t="shared" ref="D72:D80" si="17">SUMIF($J$71:$N$71,C72,J72:N72)</f>
        <v>0</v>
      </c>
      <c r="E72" s="738">
        <f>ROUND(SUM(D72:D80),4)</f>
        <v>0</v>
      </c>
      <c r="F72" s="739" t="str">
        <f>IF(E2="住宅",SUMIF(L1:L12,G2,N1:N12),"——")</f>
        <v>——</v>
      </c>
      <c r="G72" s="740"/>
      <c r="H72" s="741"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6"/>
      <c r="AB72" s="716"/>
      <c r="AC72" s="716"/>
      <c r="AD72" s="716"/>
      <c r="AE72" s="716"/>
      <c r="AF72" s="716"/>
      <c r="AG72" s="716"/>
      <c r="AH72" s="716"/>
      <c r="AI72" s="716"/>
      <c r="AJ72" s="716"/>
      <c r="AK72" s="716"/>
    </row>
    <row r="73" spans="1:37" s="539" customFormat="1" ht="38.25">
      <c r="A73" s="731" t="s">
        <v>2424</v>
      </c>
      <c r="B73" s="742" t="str">
        <f>估价对象房地状况!C18</f>
        <v>估价对象周边道路状况、公共交通通达情况、停车便捷程度，综合评价交通便捷度较好</v>
      </c>
      <c r="C73" s="606"/>
      <c r="D73" s="737">
        <f t="shared" si="17"/>
        <v>0</v>
      </c>
      <c r="E73" s="876"/>
      <c r="F73" s="739"/>
      <c r="G73" s="740"/>
      <c r="H73" s="741" t="str">
        <f t="shared" si="18"/>
        <v>——</v>
      </c>
      <c r="I73" s="843">
        <v>0.26</v>
      </c>
      <c r="J73" s="844">
        <f t="shared" si="19"/>
        <v>0</v>
      </c>
      <c r="K73" s="844">
        <f t="shared" si="20"/>
        <v>0</v>
      </c>
      <c r="L73" s="844">
        <v>0</v>
      </c>
      <c r="M73" s="844">
        <f t="shared" si="21"/>
        <v>0</v>
      </c>
      <c r="N73" s="844">
        <f t="shared" si="21"/>
        <v>0</v>
      </c>
      <c r="AA73" s="716"/>
      <c r="AB73" s="716"/>
      <c r="AC73" s="716"/>
      <c r="AD73" s="716"/>
      <c r="AE73" s="716"/>
      <c r="AF73" s="716"/>
      <c r="AG73" s="716"/>
      <c r="AH73" s="716"/>
      <c r="AI73" s="716"/>
      <c r="AJ73" s="716"/>
      <c r="AK73" s="716"/>
    </row>
    <row r="74" spans="1:37" s="540" customFormat="1" ht="36">
      <c r="A74" s="744" t="s">
        <v>2425</v>
      </c>
      <c r="B74" s="742">
        <f>估价对象房地状况!C19</f>
        <v>0</v>
      </c>
      <c r="C74" s="606"/>
      <c r="D74" s="737">
        <f t="shared" si="17"/>
        <v>0</v>
      </c>
      <c r="E74" s="876"/>
      <c r="F74" s="739"/>
      <c r="G74" s="740"/>
      <c r="H74" s="741" t="str">
        <f t="shared" si="18"/>
        <v>——</v>
      </c>
      <c r="I74" s="843">
        <v>0.1</v>
      </c>
      <c r="J74" s="844">
        <f t="shared" si="19"/>
        <v>0</v>
      </c>
      <c r="K74" s="844">
        <f t="shared" si="20"/>
        <v>0</v>
      </c>
      <c r="L74" s="844">
        <v>0</v>
      </c>
      <c r="M74" s="844">
        <f t="shared" si="21"/>
        <v>0</v>
      </c>
      <c r="N74" s="844">
        <f t="shared" si="21"/>
        <v>0</v>
      </c>
      <c r="O74" s="539"/>
      <c r="P74" s="539"/>
      <c r="Q74" s="539"/>
      <c r="AA74" s="871"/>
      <c r="AB74" s="716"/>
      <c r="AC74" s="716"/>
      <c r="AD74" s="716"/>
      <c r="AE74" s="716"/>
      <c r="AF74" s="716"/>
      <c r="AG74" s="716"/>
      <c r="AH74" s="871"/>
      <c r="AI74" s="871"/>
      <c r="AJ74" s="871"/>
      <c r="AK74" s="871"/>
    </row>
    <row r="75" spans="1:37" ht="14.25">
      <c r="A75" s="731" t="s">
        <v>2439</v>
      </c>
      <c r="B75" s="742">
        <f>估价对象房地状况!C24</f>
        <v>0</v>
      </c>
      <c r="C75" s="606"/>
      <c r="D75" s="737">
        <f t="shared" si="17"/>
        <v>0</v>
      </c>
      <c r="E75" s="876"/>
      <c r="F75" s="739"/>
      <c r="G75" s="740"/>
      <c r="H75" s="741" t="str">
        <f t="shared" si="18"/>
        <v>——</v>
      </c>
      <c r="I75" s="843">
        <v>0.05</v>
      </c>
      <c r="J75" s="844">
        <f t="shared" si="19"/>
        <v>0</v>
      </c>
      <c r="K75" s="844">
        <f t="shared" si="20"/>
        <v>0</v>
      </c>
      <c r="L75" s="844">
        <v>0</v>
      </c>
      <c r="M75" s="844">
        <f t="shared" si="21"/>
        <v>0</v>
      </c>
      <c r="N75" s="844">
        <f t="shared" si="21"/>
        <v>0</v>
      </c>
      <c r="O75" s="539"/>
      <c r="P75" s="539"/>
      <c r="Q75" s="540"/>
      <c r="Z75" s="543"/>
      <c r="AA75" s="541"/>
      <c r="AG75" s="545"/>
      <c r="AK75" s="541"/>
    </row>
    <row r="76" spans="1:37" ht="25.5">
      <c r="A76" s="731" t="s">
        <v>2431</v>
      </c>
      <c r="B76" s="748" t="str">
        <f>估价对象房地状况!C21</f>
        <v>估价对象所在区域公共配套设施齐备情况</v>
      </c>
      <c r="C76" s="606"/>
      <c r="D76" s="737">
        <f t="shared" si="17"/>
        <v>0</v>
      </c>
      <c r="E76" s="876"/>
      <c r="F76" s="739"/>
      <c r="G76" s="740"/>
      <c r="H76" s="741" t="str">
        <f t="shared" si="18"/>
        <v>——</v>
      </c>
      <c r="I76" s="843">
        <v>0.08</v>
      </c>
      <c r="J76" s="844">
        <f t="shared" si="19"/>
        <v>0</v>
      </c>
      <c r="K76" s="844">
        <f t="shared" si="20"/>
        <v>0</v>
      </c>
      <c r="L76" s="844">
        <v>0</v>
      </c>
      <c r="M76" s="844">
        <f t="shared" si="21"/>
        <v>0</v>
      </c>
      <c r="N76" s="844">
        <f t="shared" si="21"/>
        <v>0</v>
      </c>
      <c r="O76" s="539"/>
      <c r="P76" s="539"/>
      <c r="Z76" s="543"/>
      <c r="AA76" s="541"/>
      <c r="AG76" s="545"/>
      <c r="AK76" s="541"/>
    </row>
    <row r="77" spans="1:37" ht="25.5">
      <c r="A77" s="731" t="s">
        <v>2432</v>
      </c>
      <c r="B77" s="748" t="str">
        <f>估价对象房地状况!C22</f>
        <v>估价对象所在区域基础设施水平</v>
      </c>
      <c r="C77" s="606"/>
      <c r="D77" s="737">
        <f t="shared" si="17"/>
        <v>0</v>
      </c>
      <c r="E77" s="876"/>
      <c r="F77" s="739"/>
      <c r="G77" s="740"/>
      <c r="H77" s="741" t="str">
        <f t="shared" si="18"/>
        <v>——</v>
      </c>
      <c r="I77" s="843">
        <v>0.09</v>
      </c>
      <c r="J77" s="844">
        <f t="shared" si="19"/>
        <v>0</v>
      </c>
      <c r="K77" s="844">
        <f t="shared" si="20"/>
        <v>0</v>
      </c>
      <c r="L77" s="844">
        <v>0</v>
      </c>
      <c r="M77" s="844">
        <f t="shared" si="21"/>
        <v>0</v>
      </c>
      <c r="N77" s="844">
        <f t="shared" si="21"/>
        <v>0</v>
      </c>
      <c r="O77" s="539"/>
      <c r="P77" s="539"/>
      <c r="Z77" s="543"/>
      <c r="AA77" s="541"/>
      <c r="AG77" s="545"/>
      <c r="AK77" s="541"/>
    </row>
    <row r="78" spans="1:37" ht="24">
      <c r="A78" s="731" t="s">
        <v>2429</v>
      </c>
      <c r="B78" s="746" t="s">
        <v>2430</v>
      </c>
      <c r="C78" s="606"/>
      <c r="D78" s="737">
        <f t="shared" si="17"/>
        <v>0</v>
      </c>
      <c r="E78" s="876"/>
      <c r="F78" s="739"/>
      <c r="G78" s="740"/>
      <c r="H78" s="741" t="str">
        <f t="shared" si="18"/>
        <v>——</v>
      </c>
      <c r="I78" s="843">
        <v>0.05</v>
      </c>
      <c r="J78" s="844">
        <f t="shared" si="19"/>
        <v>0</v>
      </c>
      <c r="K78" s="844">
        <f t="shared" si="20"/>
        <v>0</v>
      </c>
      <c r="L78" s="844">
        <v>0</v>
      </c>
      <c r="M78" s="844">
        <f t="shared" si="21"/>
        <v>0</v>
      </c>
      <c r="N78" s="844">
        <f t="shared" si="21"/>
        <v>0</v>
      </c>
      <c r="O78" s="540"/>
      <c r="P78" s="540"/>
      <c r="Z78" s="543"/>
      <c r="AA78" s="541"/>
      <c r="AG78" s="545"/>
      <c r="AK78" s="541"/>
    </row>
    <row r="79" spans="1:37" ht="25.5">
      <c r="A79" s="731" t="s">
        <v>2433</v>
      </c>
      <c r="B79" s="736" t="str">
        <f>估价对象房地状况!C20</f>
        <v>区域自然环境：；人文环境；综合评价环境状况一般</v>
      </c>
      <c r="C79" s="606"/>
      <c r="D79" s="737">
        <f t="shared" si="17"/>
        <v>0</v>
      </c>
      <c r="E79" s="876"/>
      <c r="F79" s="739"/>
      <c r="G79" s="740"/>
      <c r="H79" s="741" t="str">
        <f t="shared" si="18"/>
        <v>——</v>
      </c>
      <c r="I79" s="843">
        <v>0.12</v>
      </c>
      <c r="J79" s="844">
        <f t="shared" si="19"/>
        <v>0</v>
      </c>
      <c r="K79" s="844">
        <f t="shared" si="20"/>
        <v>0</v>
      </c>
      <c r="L79" s="844">
        <v>0</v>
      </c>
      <c r="M79" s="844">
        <f t="shared" si="21"/>
        <v>0</v>
      </c>
      <c r="N79" s="844">
        <f t="shared" si="21"/>
        <v>0</v>
      </c>
      <c r="Z79" s="543"/>
      <c r="AA79" s="541"/>
      <c r="AG79" s="545"/>
      <c r="AK79" s="541"/>
    </row>
    <row r="80" spans="1:37" ht="24">
      <c r="A80" s="749" t="s">
        <v>2440</v>
      </c>
      <c r="B80" s="877"/>
      <c r="C80" s="606"/>
      <c r="D80" s="737">
        <f t="shared" si="17"/>
        <v>0</v>
      </c>
      <c r="E80" s="878"/>
      <c r="F80" s="739"/>
      <c r="G80" s="740"/>
      <c r="H80" s="741" t="str">
        <f t="shared" si="18"/>
        <v>——</v>
      </c>
      <c r="I80" s="845">
        <v>0.05</v>
      </c>
      <c r="J80" s="844">
        <f t="shared" si="19"/>
        <v>0</v>
      </c>
      <c r="K80" s="844">
        <f t="shared" si="20"/>
        <v>0</v>
      </c>
      <c r="L80" s="844">
        <v>0</v>
      </c>
      <c r="M80" s="844">
        <f t="shared" si="21"/>
        <v>0</v>
      </c>
      <c r="N80" s="844">
        <f t="shared" si="21"/>
        <v>0</v>
      </c>
      <c r="Z80" s="543"/>
      <c r="AA80" s="541"/>
      <c r="AG80" s="545"/>
      <c r="AK80" s="541"/>
    </row>
    <row r="81" spans="1:37" ht="15">
      <c r="A81" s="725" t="s">
        <v>2441</v>
      </c>
      <c r="B81" s="726">
        <f>1+E83</f>
        <v>1.0266999999999999</v>
      </c>
      <c r="C81" s="728"/>
      <c r="D81" s="728"/>
      <c r="E81" s="729"/>
      <c r="F81" s="730"/>
      <c r="G81" s="724"/>
      <c r="H81" s="724"/>
      <c r="I81" s="724"/>
      <c r="J81" s="723"/>
      <c r="K81" s="723"/>
      <c r="L81" s="723"/>
      <c r="M81" s="723"/>
      <c r="N81" s="723"/>
      <c r="Z81" s="543"/>
      <c r="AA81" s="541"/>
      <c r="AG81" s="545"/>
      <c r="AK81" s="541"/>
    </row>
    <row r="82" spans="1:37" ht="24.75">
      <c r="A82" s="731" t="s">
        <v>2415</v>
      </c>
      <c r="B82" s="732"/>
      <c r="C82" s="732" t="s">
        <v>2417</v>
      </c>
      <c r="D82" s="732" t="s">
        <v>2418</v>
      </c>
      <c r="E82" s="733" t="s">
        <v>2419</v>
      </c>
      <c r="F82" s="734" t="s">
        <v>2435</v>
      </c>
      <c r="G82" s="732" t="s">
        <v>2238</v>
      </c>
      <c r="H82" s="735" t="s">
        <v>2421</v>
      </c>
      <c r="I82" s="732" t="s">
        <v>2422</v>
      </c>
      <c r="J82" s="842" t="s">
        <v>2106</v>
      </c>
      <c r="K82" s="842" t="s">
        <v>2107</v>
      </c>
      <c r="L82" s="842" t="s">
        <v>2108</v>
      </c>
      <c r="M82" s="842" t="s">
        <v>2109</v>
      </c>
      <c r="N82" s="842" t="s">
        <v>2110</v>
      </c>
      <c r="Z82" s="543"/>
      <c r="AA82" s="541"/>
      <c r="AG82" s="545"/>
      <c r="AK82" s="541"/>
    </row>
    <row r="83" spans="1:37" ht="38.25">
      <c r="A83" s="731" t="s">
        <v>2442</v>
      </c>
      <c r="B83" s="742" t="str">
        <f>估价对象房地状况!G15</f>
        <v>估价对象位于XX开发区，园区建设成熟度XX，产业集聚程度XX</v>
      </c>
      <c r="C83" s="606" t="s">
        <v>2160</v>
      </c>
      <c r="D83" s="737">
        <f t="shared" ref="D83:D90" si="22">SUMIF($J$82:$N$82,C83,J83:N83)</f>
        <v>6.4999999999999997E-3</v>
      </c>
      <c r="E83" s="738">
        <f>ROUND(SUM(D83:D90),4)</f>
        <v>2.6700000000000002E-2</v>
      </c>
      <c r="F83" s="739">
        <f>IF(E2="工业",SUMIF(L1:L12,G2,N1:N12),"——")</f>
        <v>0.05</v>
      </c>
      <c r="G83" s="740">
        <v>6.4999999999999997E-3</v>
      </c>
      <c r="H83" s="741">
        <f t="shared" ref="H83:H90" si="23">IFERROR(ROUNDDOWN($F$83*I83/2,4),"——")</f>
        <v>6.4999999999999997E-3</v>
      </c>
      <c r="I83" s="843">
        <v>0.26</v>
      </c>
      <c r="J83" s="844">
        <f t="shared" ref="J83:J90" si="24">K83+$G83</f>
        <v>1.2999999999999999E-2</v>
      </c>
      <c r="K83" s="844">
        <f t="shared" ref="K83:K90" si="25">$L83+$G83</f>
        <v>6.4999999999999997E-3</v>
      </c>
      <c r="L83" s="844">
        <v>0</v>
      </c>
      <c r="M83" s="844">
        <f t="shared" ref="M83:N90" si="26">L83-$G83</f>
        <v>-6.4999999999999997E-3</v>
      </c>
      <c r="N83" s="844">
        <f t="shared" si="26"/>
        <v>-1.2999999999999999E-2</v>
      </c>
      <c r="Z83" s="543"/>
      <c r="AA83" s="541"/>
      <c r="AG83" s="545"/>
      <c r="AK83" s="541"/>
    </row>
    <row r="84" spans="1:37" ht="38.25">
      <c r="A84" s="731" t="s">
        <v>2424</v>
      </c>
      <c r="B84" s="742" t="str">
        <f>估价对象房地状况!G16</f>
        <v>估价对象周边道路状况、公共交通通达情况、停车便捷程度，综合评价交通便捷度较好</v>
      </c>
      <c r="C84" s="606" t="s">
        <v>2160</v>
      </c>
      <c r="D84" s="737">
        <f t="shared" si="22"/>
        <v>7.4999999999999997E-3</v>
      </c>
      <c r="E84" s="876"/>
      <c r="F84" s="739"/>
      <c r="G84" s="740">
        <v>7.4999999999999997E-3</v>
      </c>
      <c r="H84" s="741">
        <f t="shared" si="23"/>
        <v>7.4999999999999997E-3</v>
      </c>
      <c r="I84" s="843">
        <v>0.3</v>
      </c>
      <c r="J84" s="844">
        <f t="shared" si="24"/>
        <v>1.4999999999999999E-2</v>
      </c>
      <c r="K84" s="844">
        <f t="shared" si="25"/>
        <v>7.4999999999999997E-3</v>
      </c>
      <c r="L84" s="844">
        <v>0</v>
      </c>
      <c r="M84" s="844">
        <f t="shared" si="26"/>
        <v>-7.4999999999999997E-3</v>
      </c>
      <c r="N84" s="844">
        <f t="shared" si="26"/>
        <v>-1.4999999999999999E-2</v>
      </c>
      <c r="Z84" s="543"/>
      <c r="AA84" s="541"/>
      <c r="AG84" s="545"/>
      <c r="AK84" s="541"/>
    </row>
    <row r="85" spans="1:37" ht="36">
      <c r="A85" s="744" t="s">
        <v>2425</v>
      </c>
      <c r="B85" s="742">
        <f>估价对象房地状况!G17</f>
        <v>0</v>
      </c>
      <c r="C85" s="606" t="s">
        <v>2160</v>
      </c>
      <c r="D85" s="737">
        <f t="shared" si="22"/>
        <v>2.5000000000000001E-3</v>
      </c>
      <c r="E85" s="876"/>
      <c r="F85" s="739"/>
      <c r="G85" s="740">
        <v>2.5000000000000001E-3</v>
      </c>
      <c r="H85" s="741">
        <f t="shared" si="23"/>
        <v>2.5000000000000001E-3</v>
      </c>
      <c r="I85" s="843">
        <v>0.1</v>
      </c>
      <c r="J85" s="844">
        <f t="shared" si="24"/>
        <v>5.0000000000000001E-3</v>
      </c>
      <c r="K85" s="844">
        <f t="shared" si="25"/>
        <v>2.5000000000000001E-3</v>
      </c>
      <c r="L85" s="844">
        <v>0</v>
      </c>
      <c r="M85" s="844">
        <f t="shared" si="26"/>
        <v>-2.5000000000000001E-3</v>
      </c>
      <c r="N85" s="844">
        <f t="shared" si="26"/>
        <v>-5.0000000000000001E-3</v>
      </c>
      <c r="Z85" s="543"/>
      <c r="AA85" s="541"/>
      <c r="AG85" s="545"/>
      <c r="AK85" s="541"/>
    </row>
    <row r="86" spans="1:37" ht="14.25">
      <c r="A86" s="731" t="s">
        <v>2439</v>
      </c>
      <c r="B86" s="742">
        <f>估价对象房地状况!G22</f>
        <v>0</v>
      </c>
      <c r="C86" s="606" t="s">
        <v>2443</v>
      </c>
      <c r="D86" s="737">
        <f t="shared" si="22"/>
        <v>0</v>
      </c>
      <c r="E86" s="876"/>
      <c r="F86" s="739"/>
      <c r="G86" s="740">
        <v>1.1999999999999999E-3</v>
      </c>
      <c r="H86" s="741">
        <f t="shared" si="23"/>
        <v>1.1999999999999999E-3</v>
      </c>
      <c r="I86" s="843">
        <v>0.05</v>
      </c>
      <c r="J86" s="844">
        <f t="shared" si="24"/>
        <v>2.3999999999999998E-3</v>
      </c>
      <c r="K86" s="844">
        <f t="shared" si="25"/>
        <v>1.1999999999999999E-3</v>
      </c>
      <c r="L86" s="844">
        <v>0</v>
      </c>
      <c r="M86" s="844">
        <f t="shared" si="26"/>
        <v>-1.1999999999999999E-3</v>
      </c>
      <c r="N86" s="844">
        <f t="shared" si="26"/>
        <v>-2.3999999999999998E-3</v>
      </c>
      <c r="Z86" s="543"/>
      <c r="AA86" s="541"/>
      <c r="AG86" s="545"/>
      <c r="AK86" s="541"/>
    </row>
    <row r="87" spans="1:37" ht="25.5">
      <c r="A87" s="731" t="s">
        <v>2431</v>
      </c>
      <c r="B87" s="748" t="str">
        <f>估价对象房地状况!G19</f>
        <v>估价对象所在区域公共配套设施齐备情况</v>
      </c>
      <c r="C87" s="606" t="s">
        <v>2160</v>
      </c>
      <c r="D87" s="737">
        <f t="shared" si="22"/>
        <v>1.5E-3</v>
      </c>
      <c r="E87" s="876"/>
      <c r="F87" s="739"/>
      <c r="G87" s="740">
        <v>1.5E-3</v>
      </c>
      <c r="H87" s="741">
        <f t="shared" si="23"/>
        <v>1.5E-3</v>
      </c>
      <c r="I87" s="843">
        <v>0.06</v>
      </c>
      <c r="J87" s="844">
        <f t="shared" si="24"/>
        <v>3.0000000000000001E-3</v>
      </c>
      <c r="K87" s="844">
        <f t="shared" si="25"/>
        <v>1.5E-3</v>
      </c>
      <c r="L87" s="844">
        <v>0</v>
      </c>
      <c r="M87" s="844">
        <f t="shared" si="26"/>
        <v>-1.5E-3</v>
      </c>
      <c r="N87" s="844">
        <f t="shared" si="26"/>
        <v>-3.0000000000000001E-3</v>
      </c>
    </row>
    <row r="88" spans="1:37" ht="25.5">
      <c r="A88" s="731" t="s">
        <v>2432</v>
      </c>
      <c r="B88" s="748" t="str">
        <f>估价对象房地状况!G20</f>
        <v>估价对象所在区域基础设施水平</v>
      </c>
      <c r="C88" s="606" t="s">
        <v>2444</v>
      </c>
      <c r="D88" s="737">
        <f t="shared" si="22"/>
        <v>6.0000000000000001E-3</v>
      </c>
      <c r="E88" s="876"/>
      <c r="F88" s="739"/>
      <c r="G88" s="740">
        <v>3.0000000000000001E-3</v>
      </c>
      <c r="H88" s="741">
        <f t="shared" si="23"/>
        <v>3.0000000000000001E-3</v>
      </c>
      <c r="I88" s="843">
        <v>0.12</v>
      </c>
      <c r="J88" s="844">
        <f t="shared" si="24"/>
        <v>6.0000000000000001E-3</v>
      </c>
      <c r="K88" s="844">
        <f t="shared" si="25"/>
        <v>3.0000000000000001E-3</v>
      </c>
      <c r="L88" s="844">
        <v>0</v>
      </c>
      <c r="M88" s="844">
        <f t="shared" si="26"/>
        <v>-3.0000000000000001E-3</v>
      </c>
      <c r="N88" s="844">
        <f t="shared" si="26"/>
        <v>-6.0000000000000001E-3</v>
      </c>
    </row>
    <row r="89" spans="1:37" ht="24">
      <c r="A89" s="731" t="s">
        <v>2429</v>
      </c>
      <c r="B89" s="746" t="s">
        <v>2445</v>
      </c>
      <c r="C89" s="606" t="s">
        <v>2160</v>
      </c>
      <c r="D89" s="737">
        <f t="shared" si="22"/>
        <v>1.5E-3</v>
      </c>
      <c r="E89" s="876"/>
      <c r="F89" s="739"/>
      <c r="G89" s="740">
        <v>1.5E-3</v>
      </c>
      <c r="H89" s="741">
        <f t="shared" si="23"/>
        <v>1.5E-3</v>
      </c>
      <c r="I89" s="843">
        <v>0.06</v>
      </c>
      <c r="J89" s="844">
        <f t="shared" si="24"/>
        <v>3.0000000000000001E-3</v>
      </c>
      <c r="K89" s="844">
        <f t="shared" si="25"/>
        <v>1.5E-3</v>
      </c>
      <c r="L89" s="844">
        <v>0</v>
      </c>
      <c r="M89" s="844">
        <f t="shared" si="26"/>
        <v>-1.5E-3</v>
      </c>
      <c r="N89" s="844">
        <f t="shared" si="26"/>
        <v>-3.0000000000000001E-3</v>
      </c>
    </row>
    <row r="90" spans="1:37" ht="38.25">
      <c r="A90" s="749" t="s">
        <v>2446</v>
      </c>
      <c r="B90" s="879" t="str">
        <f>估价对象房地状况!G18</f>
        <v>该园区内是否有污染型企业，绿化情况，卫生条件，整体环境状况判断</v>
      </c>
      <c r="C90" s="606" t="s">
        <v>2160</v>
      </c>
      <c r="D90" s="737">
        <f t="shared" si="22"/>
        <v>1.1999999999999999E-3</v>
      </c>
      <c r="E90" s="878"/>
      <c r="F90" s="739"/>
      <c r="G90" s="740">
        <v>1.1999999999999999E-3</v>
      </c>
      <c r="H90" s="741">
        <f t="shared" si="23"/>
        <v>1.1999999999999999E-3</v>
      </c>
      <c r="I90" s="845">
        <v>0.05</v>
      </c>
      <c r="J90" s="844">
        <f t="shared" si="24"/>
        <v>2.3999999999999998E-3</v>
      </c>
      <c r="K90" s="844">
        <f t="shared" si="25"/>
        <v>1.1999999999999999E-3</v>
      </c>
      <c r="L90" s="844">
        <v>0</v>
      </c>
      <c r="M90" s="844">
        <f t="shared" si="26"/>
        <v>-1.1999999999999999E-3</v>
      </c>
      <c r="N90" s="844">
        <f t="shared" si="26"/>
        <v>-2.3999999999999998E-3</v>
      </c>
    </row>
    <row r="91" spans="1:37" ht="15">
      <c r="A91" s="880" t="s">
        <v>279</v>
      </c>
      <c r="B91" s="881">
        <f>1+E93</f>
        <v>1</v>
      </c>
      <c r="C91" s="882"/>
      <c r="D91" s="883"/>
      <c r="E91" s="739"/>
      <c r="F91" s="739"/>
      <c r="G91" s="884"/>
      <c r="H91" s="885"/>
      <c r="I91" s="920"/>
      <c r="J91" s="921"/>
      <c r="K91" s="921"/>
      <c r="L91" s="921"/>
      <c r="M91" s="921"/>
      <c r="N91" s="921"/>
    </row>
    <row r="92" spans="1:37" ht="24.75">
      <c r="A92" s="886" t="s">
        <v>2415</v>
      </c>
      <c r="B92" s="887"/>
      <c r="C92" s="887" t="s">
        <v>2417</v>
      </c>
      <c r="D92" s="887" t="s">
        <v>2418</v>
      </c>
      <c r="E92" s="856" t="s">
        <v>2419</v>
      </c>
      <c r="F92" s="888" t="s">
        <v>2435</v>
      </c>
      <c r="G92" s="887" t="s">
        <v>2238</v>
      </c>
      <c r="H92" s="889" t="s">
        <v>2421</v>
      </c>
      <c r="I92" s="887" t="s">
        <v>2422</v>
      </c>
      <c r="J92" s="922" t="s">
        <v>2106</v>
      </c>
      <c r="K92" s="922" t="s">
        <v>2107</v>
      </c>
      <c r="L92" s="922" t="s">
        <v>2108</v>
      </c>
      <c r="M92" s="922" t="s">
        <v>2109</v>
      </c>
      <c r="N92" s="922" t="s">
        <v>2110</v>
      </c>
    </row>
    <row r="93" spans="1:37" ht="24">
      <c r="A93" s="744" t="s">
        <v>2447</v>
      </c>
      <c r="B93" s="890"/>
      <c r="C93" s="606"/>
      <c r="D93" s="887">
        <f>SUMIF($J$92:$N$92,C93,J93:N93)</f>
        <v>0</v>
      </c>
      <c r="E93" s="891">
        <f>ROUND(SUM(D93:D101),4)</f>
        <v>0</v>
      </c>
      <c r="F93" s="739" t="str">
        <f>IF(E2="公共服务",SUMIF(L1:L12,G2,N1:N12),"——")</f>
        <v>——</v>
      </c>
      <c r="G93" s="884"/>
      <c r="H93" s="892" t="str">
        <f>IFERROR(ROUNDDOWN($F$93*I93/2,4),"——")</f>
        <v>——</v>
      </c>
      <c r="I93" s="843">
        <v>0.25</v>
      </c>
      <c r="J93" s="663">
        <f t="shared" ref="J93:J101" si="27">K93+$G93</f>
        <v>0</v>
      </c>
      <c r="K93" s="663">
        <f t="shared" ref="K93:K101" si="28">$L93+$G93</f>
        <v>0</v>
      </c>
      <c r="L93" s="663">
        <v>0</v>
      </c>
      <c r="M93" s="663">
        <f t="shared" ref="M93:N101" si="29">L93-$G93</f>
        <v>0</v>
      </c>
      <c r="N93" s="663">
        <f t="shared" si="29"/>
        <v>0</v>
      </c>
    </row>
    <row r="94" spans="1:37" ht="38.25">
      <c r="A94" s="886" t="s">
        <v>2424</v>
      </c>
      <c r="B94" s="893" t="str">
        <f>估价对象房地状况!C18</f>
        <v>估价对象周边道路状况、公共交通通达情况、停车便捷程度，综合评价交通便捷度较好</v>
      </c>
      <c r="C94" s="606"/>
      <c r="D94" s="887">
        <f t="shared" ref="D94:D101" si="30">SUMIF($J$60:$N$60,C94,J94:N94)</f>
        <v>0</v>
      </c>
      <c r="E94" s="894"/>
      <c r="F94" s="739"/>
      <c r="G94" s="884"/>
      <c r="H94" s="892" t="str">
        <f>IFERROR(ROUNDDOWN($F$93*I94/2,4),"——")</f>
        <v>——</v>
      </c>
      <c r="I94" s="843">
        <v>0.26</v>
      </c>
      <c r="J94" s="663">
        <f t="shared" si="27"/>
        <v>0</v>
      </c>
      <c r="K94" s="663">
        <f t="shared" si="28"/>
        <v>0</v>
      </c>
      <c r="L94" s="663">
        <v>0</v>
      </c>
      <c r="M94" s="663">
        <f t="shared" si="29"/>
        <v>0</v>
      </c>
      <c r="N94" s="663">
        <f t="shared" si="29"/>
        <v>0</v>
      </c>
    </row>
    <row r="95" spans="1:37" ht="36">
      <c r="A95" s="744" t="s">
        <v>2425</v>
      </c>
      <c r="B95" s="893">
        <f>估价对象房地状况!C19</f>
        <v>0</v>
      </c>
      <c r="C95" s="606"/>
      <c r="D95" s="887">
        <f t="shared" si="30"/>
        <v>0</v>
      </c>
      <c r="E95" s="894"/>
      <c r="F95" s="739"/>
      <c r="G95" s="884"/>
      <c r="H95" s="892" t="str">
        <f t="shared" ref="H95:H101" si="31">IFERROR(ROUNDDOWN($F$93*I95/2,4),"——")</f>
        <v>——</v>
      </c>
      <c r="I95" s="843">
        <v>0.11</v>
      </c>
      <c r="J95" s="663">
        <f t="shared" si="27"/>
        <v>0</v>
      </c>
      <c r="K95" s="663">
        <f t="shared" si="28"/>
        <v>0</v>
      </c>
      <c r="L95" s="663">
        <v>0</v>
      </c>
      <c r="M95" s="663">
        <f t="shared" si="29"/>
        <v>0</v>
      </c>
      <c r="N95" s="663">
        <f t="shared" si="29"/>
        <v>0</v>
      </c>
    </row>
    <row r="96" spans="1:37" ht="36.75">
      <c r="A96" s="886" t="s">
        <v>2426</v>
      </c>
      <c r="B96" s="895" t="s">
        <v>2427</v>
      </c>
      <c r="C96" s="606"/>
      <c r="D96" s="887">
        <f t="shared" si="30"/>
        <v>0</v>
      </c>
      <c r="E96" s="894"/>
      <c r="F96" s="739"/>
      <c r="G96" s="884"/>
      <c r="H96" s="892" t="str">
        <f t="shared" si="31"/>
        <v>——</v>
      </c>
      <c r="I96" s="843">
        <v>0.05</v>
      </c>
      <c r="J96" s="663">
        <f t="shared" si="27"/>
        <v>0</v>
      </c>
      <c r="K96" s="663">
        <f t="shared" si="28"/>
        <v>0</v>
      </c>
      <c r="L96" s="663">
        <v>0</v>
      </c>
      <c r="M96" s="663">
        <f t="shared" si="29"/>
        <v>0</v>
      </c>
      <c r="N96" s="663">
        <f t="shared" si="29"/>
        <v>0</v>
      </c>
    </row>
    <row r="97" spans="1:14" ht="24">
      <c r="A97" s="886" t="s">
        <v>2428</v>
      </c>
      <c r="B97" s="893">
        <f>估价对象房地状况!C24</f>
        <v>0</v>
      </c>
      <c r="C97" s="606"/>
      <c r="D97" s="887">
        <f t="shared" si="30"/>
        <v>0</v>
      </c>
      <c r="E97" s="894"/>
      <c r="F97" s="739"/>
      <c r="G97" s="884"/>
      <c r="H97" s="892" t="str">
        <f t="shared" si="31"/>
        <v>——</v>
      </c>
      <c r="I97" s="843">
        <v>0.05</v>
      </c>
      <c r="J97" s="663">
        <f t="shared" si="27"/>
        <v>0</v>
      </c>
      <c r="K97" s="663">
        <f t="shared" si="28"/>
        <v>0</v>
      </c>
      <c r="L97" s="663">
        <v>0</v>
      </c>
      <c r="M97" s="663">
        <f t="shared" si="29"/>
        <v>0</v>
      </c>
      <c r="N97" s="663">
        <f t="shared" si="29"/>
        <v>0</v>
      </c>
    </row>
    <row r="98" spans="1:14" ht="24">
      <c r="A98" s="886" t="s">
        <v>2429</v>
      </c>
      <c r="B98" s="896" t="s">
        <v>2430</v>
      </c>
      <c r="C98" s="606"/>
      <c r="D98" s="887">
        <f t="shared" si="30"/>
        <v>0</v>
      </c>
      <c r="E98" s="894"/>
      <c r="F98" s="739"/>
      <c r="G98" s="884"/>
      <c r="H98" s="892" t="str">
        <f t="shared" si="31"/>
        <v>——</v>
      </c>
      <c r="I98" s="843">
        <v>0.06</v>
      </c>
      <c r="J98" s="663">
        <f t="shared" si="27"/>
        <v>0</v>
      </c>
      <c r="K98" s="663">
        <f t="shared" si="28"/>
        <v>0</v>
      </c>
      <c r="L98" s="663">
        <v>0</v>
      </c>
      <c r="M98" s="663">
        <f t="shared" si="29"/>
        <v>0</v>
      </c>
      <c r="N98" s="663">
        <f t="shared" si="29"/>
        <v>0</v>
      </c>
    </row>
    <row r="99" spans="1:14" ht="25.5">
      <c r="A99" s="886" t="s">
        <v>2431</v>
      </c>
      <c r="B99" s="893" t="str">
        <f>估价对象房地状况!C21</f>
        <v>估价对象所在区域公共配套设施齐备情况</v>
      </c>
      <c r="C99" s="606"/>
      <c r="D99" s="887">
        <f t="shared" si="30"/>
        <v>0</v>
      </c>
      <c r="E99" s="894"/>
      <c r="F99" s="739"/>
      <c r="G99" s="884"/>
      <c r="H99" s="892" t="str">
        <f t="shared" si="31"/>
        <v>——</v>
      </c>
      <c r="I99" s="843">
        <v>0.06</v>
      </c>
      <c r="J99" s="663">
        <f t="shared" si="27"/>
        <v>0</v>
      </c>
      <c r="K99" s="663">
        <f t="shared" si="28"/>
        <v>0</v>
      </c>
      <c r="L99" s="663">
        <v>0</v>
      </c>
      <c r="M99" s="663">
        <f t="shared" si="29"/>
        <v>0</v>
      </c>
      <c r="N99" s="663">
        <f t="shared" si="29"/>
        <v>0</v>
      </c>
    </row>
    <row r="100" spans="1:14" ht="25.5">
      <c r="A100" s="886" t="s">
        <v>2432</v>
      </c>
      <c r="B100" s="893" t="str">
        <f>估价对象房地状况!C22</f>
        <v>估价对象所在区域基础设施水平</v>
      </c>
      <c r="C100" s="606"/>
      <c r="D100" s="887">
        <f t="shared" si="30"/>
        <v>0</v>
      </c>
      <c r="E100" s="894"/>
      <c r="F100" s="739"/>
      <c r="G100" s="884"/>
      <c r="H100" s="892" t="str">
        <f t="shared" si="31"/>
        <v>——</v>
      </c>
      <c r="I100" s="843">
        <v>0.09</v>
      </c>
      <c r="J100" s="663">
        <f t="shared" si="27"/>
        <v>0</v>
      </c>
      <c r="K100" s="663">
        <f t="shared" si="28"/>
        <v>0</v>
      </c>
      <c r="L100" s="663">
        <v>0</v>
      </c>
      <c r="M100" s="663">
        <f t="shared" si="29"/>
        <v>0</v>
      </c>
      <c r="N100" s="663">
        <f t="shared" si="29"/>
        <v>0</v>
      </c>
    </row>
    <row r="101" spans="1:14" ht="25.5">
      <c r="A101" s="897" t="s">
        <v>2433</v>
      </c>
      <c r="B101" s="898" t="str">
        <f>估价对象房地状况!C20</f>
        <v>区域自然环境：；人文环境；综合评价环境状况一般</v>
      </c>
      <c r="C101" s="606"/>
      <c r="D101" s="887">
        <f t="shared" si="30"/>
        <v>0</v>
      </c>
      <c r="E101" s="899"/>
      <c r="F101" s="739"/>
      <c r="G101" s="884"/>
      <c r="H101" s="892" t="str">
        <f t="shared" si="31"/>
        <v>——</v>
      </c>
      <c r="I101" s="845">
        <v>7.0000000000000007E-2</v>
      </c>
      <c r="J101" s="663">
        <f t="shared" si="27"/>
        <v>0</v>
      </c>
      <c r="K101" s="663">
        <f t="shared" si="28"/>
        <v>0</v>
      </c>
      <c r="L101" s="663">
        <v>0</v>
      </c>
      <c r="M101" s="663">
        <f t="shared" si="29"/>
        <v>0</v>
      </c>
      <c r="N101" s="663">
        <f t="shared" si="29"/>
        <v>0</v>
      </c>
    </row>
    <row r="103" spans="1:14">
      <c r="A103" s="3799" t="s">
        <v>2448</v>
      </c>
      <c r="B103" s="3799"/>
      <c r="C103" s="3799"/>
      <c r="D103" s="3799"/>
      <c r="E103" s="3799"/>
      <c r="F103" s="3799"/>
      <c r="G103" s="3799"/>
      <c r="H103" s="3799"/>
      <c r="I103" s="3799"/>
      <c r="J103" s="3799"/>
      <c r="K103" s="900"/>
      <c r="L103" s="900"/>
      <c r="M103" s="900"/>
      <c r="N103" s="900"/>
    </row>
    <row r="104" spans="1:14">
      <c r="A104" s="3805" t="s">
        <v>2449</v>
      </c>
      <c r="B104" s="3805" t="s">
        <v>2450</v>
      </c>
      <c r="C104" s="902" t="s">
        <v>2451</v>
      </c>
      <c r="D104" s="903"/>
      <c r="E104" s="903"/>
      <c r="F104" s="903"/>
      <c r="G104" s="903"/>
      <c r="H104" s="903"/>
      <c r="I104" s="903"/>
      <c r="J104" s="923"/>
      <c r="K104" s="924"/>
      <c r="L104" s="924"/>
      <c r="M104" s="924"/>
      <c r="N104" s="924"/>
    </row>
    <row r="105" spans="1:14">
      <c r="A105" s="3805"/>
      <c r="B105" s="3805"/>
      <c r="C105" s="901" t="s">
        <v>2297</v>
      </c>
      <c r="D105" s="901" t="s">
        <v>2298</v>
      </c>
      <c r="E105" s="901" t="s">
        <v>2299</v>
      </c>
      <c r="F105" s="901" t="s">
        <v>2300</v>
      </c>
      <c r="G105" s="901" t="s">
        <v>2301</v>
      </c>
      <c r="H105" s="901" t="s">
        <v>2302</v>
      </c>
      <c r="I105" s="901" t="s">
        <v>2303</v>
      </c>
      <c r="J105" s="901" t="s">
        <v>2304</v>
      </c>
      <c r="K105" s="901" t="s">
        <v>2305</v>
      </c>
      <c r="L105" s="901" t="s">
        <v>2306</v>
      </c>
      <c r="M105" s="901" t="s">
        <v>2307</v>
      </c>
      <c r="N105" s="901" t="s">
        <v>2308</v>
      </c>
    </row>
    <row r="106" spans="1:14">
      <c r="A106" s="3806" t="s">
        <v>2452</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80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80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80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80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807"/>
      <c r="B111" s="901" t="s">
        <v>2313</v>
      </c>
      <c r="C111" s="904">
        <f>$I$3</f>
        <v>1</v>
      </c>
      <c r="D111" s="904">
        <f t="shared" ref="D111:N111" si="32">$I$3</f>
        <v>1</v>
      </c>
      <c r="E111" s="904">
        <f t="shared" si="32"/>
        <v>1</v>
      </c>
      <c r="F111" s="904">
        <f t="shared" si="32"/>
        <v>1</v>
      </c>
      <c r="G111" s="904">
        <f t="shared" si="32"/>
        <v>1</v>
      </c>
      <c r="H111" s="904">
        <f t="shared" si="32"/>
        <v>1</v>
      </c>
      <c r="I111" s="904">
        <f t="shared" si="32"/>
        <v>1</v>
      </c>
      <c r="J111" s="904">
        <f t="shared" si="32"/>
        <v>1</v>
      </c>
      <c r="K111" s="904">
        <f t="shared" si="32"/>
        <v>1</v>
      </c>
      <c r="L111" s="904">
        <f t="shared" si="32"/>
        <v>1</v>
      </c>
      <c r="M111" s="904">
        <f t="shared" si="32"/>
        <v>1</v>
      </c>
      <c r="N111" s="904">
        <f t="shared" si="32"/>
        <v>1</v>
      </c>
    </row>
    <row r="112" spans="1:14">
      <c r="A112" s="3808"/>
      <c r="B112" s="901">
        <v>6</v>
      </c>
      <c r="C112" s="889">
        <f>(-0.5556*(C111^2)-0.2719*C111+8944)*(10^(-4))</f>
        <v>0.89431724999999995</v>
      </c>
      <c r="D112" s="889">
        <f>(-0.5556*(D111^2)-0.2719*D111+8944)*(10^(-4))</f>
        <v>0.89431724999999995</v>
      </c>
      <c r="E112" s="889">
        <f>(-0.7912*(E111^2)-11.3794*E111+8482)*(10^(-4))</f>
        <v>0.84698293999999996</v>
      </c>
      <c r="F112" s="889">
        <f t="shared" ref="F112:I112" si="33">(-0.7912*(F111^2)-11.3794*F111+8482)*(10^(-4))</f>
        <v>0.84698293999999996</v>
      </c>
      <c r="G112" s="889">
        <f t="shared" si="33"/>
        <v>0.84698293999999996</v>
      </c>
      <c r="H112" s="889">
        <f t="shared" si="33"/>
        <v>0.84698293999999996</v>
      </c>
      <c r="I112" s="889">
        <f t="shared" si="33"/>
        <v>0.84698293999999996</v>
      </c>
      <c r="J112" s="889">
        <f>(-0.989*(J111^2)-63.78*J111+7771)*(10^(-4))</f>
        <v>0.77062310000000001</v>
      </c>
      <c r="K112" s="889">
        <f t="shared" ref="K112:N112" si="34">(-0.989*(K111^2)-63.78*K111+7771)*(10^(-4))</f>
        <v>0.77062310000000001</v>
      </c>
      <c r="L112" s="889">
        <f t="shared" si="34"/>
        <v>0.77062310000000001</v>
      </c>
      <c r="M112" s="889">
        <f t="shared" si="34"/>
        <v>0.77062310000000001</v>
      </c>
      <c r="N112" s="889">
        <f t="shared" si="34"/>
        <v>0.77062310000000001</v>
      </c>
    </row>
    <row r="113" spans="1:14">
      <c r="A113" s="3800" t="s">
        <v>2453</v>
      </c>
      <c r="B113" s="3800"/>
      <c r="C113" s="3800"/>
      <c r="D113" s="3800"/>
      <c r="E113" s="3800"/>
      <c r="F113" s="3800"/>
      <c r="G113" s="3800"/>
      <c r="H113" s="3800"/>
      <c r="I113" s="3800"/>
      <c r="J113" s="3800"/>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2454</v>
      </c>
      <c r="B116" s="908">
        <f>G3</f>
        <v>2</v>
      </c>
      <c r="C116" s="909" t="s">
        <v>2455</v>
      </c>
      <c r="D116" s="910">
        <f>SUMPRODUCT((A118:A122=F116)*(B117:M117=H116)*B118:M122)</f>
        <v>0.62519999999999998</v>
      </c>
      <c r="E116" s="549" t="s">
        <v>2270</v>
      </c>
      <c r="F116" s="911" t="str">
        <f>E2</f>
        <v>工业</v>
      </c>
      <c r="G116" s="549" t="s">
        <v>2271</v>
      </c>
      <c r="H116" s="911" t="str">
        <f>G2</f>
        <v>六级</v>
      </c>
      <c r="I116" s="549"/>
      <c r="J116" s="925"/>
      <c r="K116" s="925"/>
      <c r="L116" s="925"/>
      <c r="M116" s="925"/>
      <c r="N116" s="906"/>
    </row>
    <row r="117" spans="1:14">
      <c r="A117" s="912"/>
      <c r="B117" s="913" t="s">
        <v>2456</v>
      </c>
      <c r="C117" s="913" t="s">
        <v>2457</v>
      </c>
      <c r="D117" s="913" t="s">
        <v>2458</v>
      </c>
      <c r="E117" s="914" t="s">
        <v>2459</v>
      </c>
      <c r="F117" s="914" t="s">
        <v>2460</v>
      </c>
      <c r="G117" s="914" t="s">
        <v>2461</v>
      </c>
      <c r="H117" s="915" t="s">
        <v>2462</v>
      </c>
      <c r="I117" s="915" t="s">
        <v>2463</v>
      </c>
      <c r="J117" s="926" t="s">
        <v>2464</v>
      </c>
      <c r="K117" s="926" t="s">
        <v>2465</v>
      </c>
      <c r="L117" s="926" t="s">
        <v>2466</v>
      </c>
      <c r="M117" s="927" t="s">
        <v>2467</v>
      </c>
      <c r="N117" s="906"/>
    </row>
    <row r="118" spans="1:14">
      <c r="A118" s="916" t="s">
        <v>2384</v>
      </c>
      <c r="B118" s="889">
        <f>ROUND(0.9968-0.011*B116,4)</f>
        <v>0.9748</v>
      </c>
      <c r="C118" s="889">
        <f>B118</f>
        <v>0.9748</v>
      </c>
      <c r="D118" s="889">
        <f>ROUND(0.949-0.014*B116,4)</f>
        <v>0.92100000000000004</v>
      </c>
      <c r="E118" s="889">
        <f>D118</f>
        <v>0.92100000000000004</v>
      </c>
      <c r="F118" s="889">
        <f>E118</f>
        <v>0.92100000000000004</v>
      </c>
      <c r="G118" s="889">
        <f>F118</f>
        <v>0.92100000000000004</v>
      </c>
      <c r="H118" s="889">
        <f>G118</f>
        <v>0.92100000000000004</v>
      </c>
      <c r="I118" s="889">
        <f>ROUND(0.8486-0.018*B116,4)</f>
        <v>0.81259999999999999</v>
      </c>
      <c r="J118" s="889">
        <f t="shared" ref="J118:M122" si="35">I118</f>
        <v>0.81259999999999999</v>
      </c>
      <c r="K118" s="889">
        <f t="shared" si="35"/>
        <v>0.81259999999999999</v>
      </c>
      <c r="L118" s="889">
        <f t="shared" si="35"/>
        <v>0.81259999999999999</v>
      </c>
      <c r="M118" s="928">
        <f t="shared" si="35"/>
        <v>0.81259999999999999</v>
      </c>
      <c r="N118" s="906"/>
    </row>
    <row r="119" spans="1:14">
      <c r="A119" s="916" t="s">
        <v>2385</v>
      </c>
      <c r="B119" s="889">
        <f>ROUND(0.993-0.0112*B116,4)</f>
        <v>0.97060000000000002</v>
      </c>
      <c r="C119" s="889">
        <f>B119</f>
        <v>0.97060000000000002</v>
      </c>
      <c r="D119" s="889">
        <f>ROUND(0.9415-0.0142*B116,4)</f>
        <v>0.91310000000000002</v>
      </c>
      <c r="E119" s="889">
        <f t="shared" ref="E119:H120" si="36">D119</f>
        <v>0.91310000000000002</v>
      </c>
      <c r="F119" s="889">
        <f t="shared" si="36"/>
        <v>0.91310000000000002</v>
      </c>
      <c r="G119" s="889">
        <f t="shared" si="36"/>
        <v>0.91310000000000002</v>
      </c>
      <c r="H119" s="889">
        <f t="shared" si="36"/>
        <v>0.91310000000000002</v>
      </c>
      <c r="I119" s="889">
        <f>ROUND(0.838-0.0182*B116,4)</f>
        <v>0.80159999999999998</v>
      </c>
      <c r="J119" s="889">
        <f t="shared" si="35"/>
        <v>0.80159999999999998</v>
      </c>
      <c r="K119" s="889">
        <f t="shared" si="35"/>
        <v>0.80159999999999998</v>
      </c>
      <c r="L119" s="889">
        <f t="shared" si="35"/>
        <v>0.80159999999999998</v>
      </c>
      <c r="M119" s="928">
        <f t="shared" si="35"/>
        <v>0.80159999999999998</v>
      </c>
      <c r="N119" s="906"/>
    </row>
    <row r="120" spans="1:14">
      <c r="A120" s="916" t="s">
        <v>2386</v>
      </c>
      <c r="B120" s="889">
        <f>ROUND(0.9448-0.0115*B116,4)</f>
        <v>0.92179999999999995</v>
      </c>
      <c r="C120" s="889">
        <f>B120</f>
        <v>0.92179999999999995</v>
      </c>
      <c r="D120" s="889">
        <f>ROUND(0.937-0.0145*B116,4)</f>
        <v>0.90800000000000003</v>
      </c>
      <c r="E120" s="889">
        <f t="shared" si="36"/>
        <v>0.90800000000000003</v>
      </c>
      <c r="F120" s="889">
        <f t="shared" si="36"/>
        <v>0.90800000000000003</v>
      </c>
      <c r="G120" s="889">
        <f t="shared" si="36"/>
        <v>0.90800000000000003</v>
      </c>
      <c r="H120" s="889">
        <f t="shared" si="36"/>
        <v>0.90800000000000003</v>
      </c>
      <c r="I120" s="889">
        <f>ROUND(0.7965-0.0185*B116,4)</f>
        <v>0.75949999999999995</v>
      </c>
      <c r="J120" s="889">
        <f t="shared" si="35"/>
        <v>0.75949999999999995</v>
      </c>
      <c r="K120" s="889">
        <f t="shared" si="35"/>
        <v>0.75949999999999995</v>
      </c>
      <c r="L120" s="889">
        <f t="shared" si="35"/>
        <v>0.75949999999999995</v>
      </c>
      <c r="M120" s="928">
        <f t="shared" si="35"/>
        <v>0.75949999999999995</v>
      </c>
      <c r="N120" s="906"/>
    </row>
    <row r="121" spans="1:14">
      <c r="A121" s="917" t="s">
        <v>2387</v>
      </c>
      <c r="B121" s="918">
        <f>ROUND(0.7836-0.012*B116,4)</f>
        <v>0.75960000000000005</v>
      </c>
      <c r="C121" s="918">
        <f>B121</f>
        <v>0.75960000000000005</v>
      </c>
      <c r="D121" s="918">
        <f>ROUND(0.753-0.015*B116,4)</f>
        <v>0.72299999999999998</v>
      </c>
      <c r="E121" s="918">
        <f>D121</f>
        <v>0.72299999999999998</v>
      </c>
      <c r="F121" s="918">
        <f>E121</f>
        <v>0.72299999999999998</v>
      </c>
      <c r="G121" s="918">
        <f>ROUND(0.6612-0.018*B116,4)</f>
        <v>0.62519999999999998</v>
      </c>
      <c r="H121" s="918">
        <f>G121</f>
        <v>0.62519999999999998</v>
      </c>
      <c r="I121" s="918">
        <f>ROUND(0.5905-0.019*B116,4)</f>
        <v>0.55249999999999999</v>
      </c>
      <c r="J121" s="918">
        <f t="shared" si="35"/>
        <v>0.55249999999999999</v>
      </c>
      <c r="K121" s="918">
        <f t="shared" si="35"/>
        <v>0.55249999999999999</v>
      </c>
      <c r="L121" s="918">
        <f t="shared" si="35"/>
        <v>0.55249999999999999</v>
      </c>
      <c r="M121" s="929">
        <f t="shared" si="35"/>
        <v>0.55249999999999999</v>
      </c>
      <c r="N121" s="906"/>
    </row>
    <row r="122" spans="1:14">
      <c r="A122" s="919" t="s">
        <v>279</v>
      </c>
      <c r="B122" s="889">
        <f>ROUND(0.9404-0.0106*B116,4)</f>
        <v>0.91920000000000002</v>
      </c>
      <c r="C122" s="889">
        <f>B122</f>
        <v>0.91920000000000002</v>
      </c>
      <c r="D122" s="889">
        <f>ROUND(0.8955-0.0135*B116,4)</f>
        <v>0.86850000000000005</v>
      </c>
      <c r="E122" s="889">
        <f t="shared" ref="E122:H122" si="37">D122</f>
        <v>0.86850000000000005</v>
      </c>
      <c r="F122" s="889">
        <f t="shared" si="37"/>
        <v>0.86850000000000005</v>
      </c>
      <c r="G122" s="889">
        <f t="shared" si="37"/>
        <v>0.86850000000000005</v>
      </c>
      <c r="H122" s="889">
        <f t="shared" si="37"/>
        <v>0.86850000000000005</v>
      </c>
      <c r="I122" s="889">
        <f>ROUND(0.7632-0.0166*B116,4)</f>
        <v>0.73</v>
      </c>
      <c r="J122" s="889">
        <f t="shared" si="35"/>
        <v>0.73</v>
      </c>
      <c r="K122" s="889">
        <f t="shared" si="35"/>
        <v>0.73</v>
      </c>
      <c r="L122" s="889">
        <f t="shared" si="35"/>
        <v>0.73</v>
      </c>
      <c r="M122" s="928">
        <f t="shared" si="35"/>
        <v>0.73</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93:H101">
    <cfRule type="cellIs" dxfId="198" priority="1" operator="notEqual">
      <formula>"——"</formula>
    </cfRule>
  </conditionalFormatting>
  <conditionalFormatting sqref="H50:H58 H61:H69 H72:H80 H83:H91">
    <cfRule type="cellIs" dxfId="19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N35" sqref="N35"/>
    </sheetView>
  </sheetViews>
  <sheetFormatPr defaultColWidth="12.625" defaultRowHeight="21.75" customHeight="1"/>
  <cols>
    <col min="1" max="2" width="12.625" style="2362"/>
    <col min="3" max="4" width="12.625" style="2362" customWidth="1"/>
    <col min="5" max="9" width="12.625" style="2362"/>
    <col min="10" max="11" width="12.625" style="951" customWidth="1"/>
    <col min="12" max="12" width="12.625" style="951"/>
    <col min="13" max="13" width="14.125" style="951" customWidth="1"/>
    <col min="14" max="26" width="12.625" style="951"/>
    <col min="27" max="35" width="12.625" style="2361"/>
    <col min="36" max="16384" width="12.625" style="2362"/>
  </cols>
  <sheetData>
    <row r="1" spans="1:12" ht="21.75" customHeight="1">
      <c r="A1" s="2363" t="s">
        <v>1340</v>
      </c>
      <c r="B1" s="2364"/>
      <c r="C1" s="2365" t="s">
        <v>3405</v>
      </c>
      <c r="D1" s="2364"/>
      <c r="E1" s="2364"/>
      <c r="F1" s="2366" t="s">
        <v>1341</v>
      </c>
      <c r="G1" s="2367"/>
      <c r="H1" s="2368" t="str">
        <f>IF(G1="现房","——","估价对象范围")</f>
        <v>估价对象范围</v>
      </c>
      <c r="I1" s="2500"/>
    </row>
    <row r="2" spans="1:12" ht="21.75" customHeight="1">
      <c r="A2" s="3694" t="str">
        <f>项目基本情况!S2</f>
        <v>北京市兴盛国际房地产</v>
      </c>
      <c r="B2" s="3695"/>
      <c r="C2" s="3695"/>
      <c r="D2" s="3695"/>
      <c r="E2" s="3695"/>
      <c r="F2" s="3695"/>
      <c r="G2" s="3695"/>
      <c r="H2" s="3695"/>
      <c r="I2" s="3696"/>
    </row>
    <row r="3" spans="1:12" ht="12.75">
      <c r="A3" s="3697" t="s">
        <v>1342</v>
      </c>
      <c r="B3" s="3698"/>
      <c r="C3" s="3698"/>
      <c r="D3" s="3698"/>
      <c r="E3" s="3698"/>
      <c r="F3" s="3698"/>
      <c r="G3" s="3698"/>
      <c r="H3" s="3698"/>
      <c r="I3" s="3698"/>
    </row>
    <row r="4" spans="1:12" ht="14.25">
      <c r="A4" s="2369" t="s">
        <v>1343</v>
      </c>
      <c r="B4" s="2370" t="s">
        <v>1344</v>
      </c>
      <c r="C4" s="2371" t="s">
        <v>3407</v>
      </c>
      <c r="D4" s="2371" t="s">
        <v>3389</v>
      </c>
      <c r="E4" s="3699" t="s">
        <v>1346</v>
      </c>
      <c r="F4" s="3700"/>
      <c r="G4" s="3700"/>
      <c r="H4" s="3700"/>
      <c r="I4" s="3701"/>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689" t="s">
        <v>1347</v>
      </c>
      <c r="B5" s="3690">
        <v>25</v>
      </c>
      <c r="C5" s="3691"/>
      <c r="D5" s="3693"/>
      <c r="E5" s="2031" t="s">
        <v>1348</v>
      </c>
      <c r="F5" s="2376"/>
      <c r="G5" s="2376"/>
      <c r="H5" s="2376"/>
      <c r="I5" s="2244"/>
    </row>
    <row r="6" spans="1:12" ht="12.75">
      <c r="A6" s="3689"/>
      <c r="B6" s="3690"/>
      <c r="C6" s="3702"/>
      <c r="D6" s="3693"/>
      <c r="E6" s="2031" t="s">
        <v>1349</v>
      </c>
      <c r="F6" s="2376"/>
      <c r="G6" s="2376"/>
      <c r="H6" s="2376"/>
      <c r="I6" s="2244"/>
    </row>
    <row r="7" spans="1:12" ht="12.75">
      <c r="A7" s="3689"/>
      <c r="B7" s="3690"/>
      <c r="C7" s="3692"/>
      <c r="D7" s="3693"/>
      <c r="E7" s="2031" t="s">
        <v>1350</v>
      </c>
      <c r="F7" s="2376"/>
      <c r="G7" s="2376"/>
      <c r="H7" s="2376"/>
      <c r="I7" s="2244"/>
    </row>
    <row r="8" spans="1:12" ht="12.75">
      <c r="A8" s="3689" t="s">
        <v>1351</v>
      </c>
      <c r="B8" s="3690">
        <v>15</v>
      </c>
      <c r="C8" s="3691"/>
      <c r="D8" s="3693"/>
      <c r="E8" s="2031" t="s">
        <v>1352</v>
      </c>
      <c r="F8" s="2376"/>
      <c r="G8" s="2376"/>
      <c r="H8" s="2376"/>
      <c r="I8" s="2244"/>
    </row>
    <row r="9" spans="1:12" ht="12.75">
      <c r="A9" s="3689"/>
      <c r="B9" s="3690"/>
      <c r="C9" s="3692"/>
      <c r="D9" s="3693"/>
      <c r="E9" s="2031" t="s">
        <v>1353</v>
      </c>
      <c r="F9" s="2376"/>
      <c r="G9" s="2376"/>
      <c r="H9" s="2376"/>
      <c r="I9" s="2244"/>
    </row>
    <row r="10" spans="1:12" ht="12.75">
      <c r="A10" s="3689" t="s">
        <v>1354</v>
      </c>
      <c r="B10" s="3690">
        <v>15</v>
      </c>
      <c r="C10" s="3691"/>
      <c r="D10" s="3693"/>
      <c r="E10" s="2031" t="s">
        <v>1355</v>
      </c>
      <c r="F10" s="2376"/>
      <c r="G10" s="2376"/>
      <c r="H10" s="2376"/>
      <c r="I10" s="2244"/>
    </row>
    <row r="11" spans="1:12" ht="12.75">
      <c r="A11" s="3689"/>
      <c r="B11" s="3690"/>
      <c r="C11" s="3692"/>
      <c r="D11" s="3693"/>
      <c r="E11" s="2031" t="s">
        <v>1356</v>
      </c>
      <c r="F11" s="2376"/>
      <c r="G11" s="2376"/>
      <c r="H11" s="2376"/>
      <c r="I11" s="2244"/>
    </row>
    <row r="12" spans="1:12" ht="12.75">
      <c r="A12" s="3689" t="s">
        <v>1357</v>
      </c>
      <c r="B12" s="3690">
        <v>15</v>
      </c>
      <c r="C12" s="3691"/>
      <c r="D12" s="3693"/>
      <c r="E12" s="2031" t="s">
        <v>1358</v>
      </c>
      <c r="F12" s="2376"/>
      <c r="G12" s="2376"/>
      <c r="H12" s="2376"/>
      <c r="I12" s="2244"/>
    </row>
    <row r="13" spans="1:12" ht="12.75">
      <c r="A13" s="3689"/>
      <c r="B13" s="3690"/>
      <c r="C13" s="3692"/>
      <c r="D13" s="3693"/>
      <c r="E13" s="2031" t="s">
        <v>1359</v>
      </c>
      <c r="F13" s="2376"/>
      <c r="G13" s="2376"/>
      <c r="H13" s="2376"/>
      <c r="I13" s="2244"/>
    </row>
    <row r="14" spans="1:12" ht="12.75">
      <c r="A14" s="3689" t="s">
        <v>1360</v>
      </c>
      <c r="B14" s="3690">
        <v>30</v>
      </c>
      <c r="C14" s="3691">
        <v>5</v>
      </c>
      <c r="D14" s="3693">
        <v>5</v>
      </c>
      <c r="E14" s="2031" t="s">
        <v>1361</v>
      </c>
      <c r="F14" s="2376"/>
      <c r="G14" s="2376"/>
      <c r="H14" s="2376"/>
      <c r="I14" s="2244"/>
    </row>
    <row r="15" spans="1:12" ht="12.75">
      <c r="A15" s="3689"/>
      <c r="B15" s="3690"/>
      <c r="C15" s="3702"/>
      <c r="D15" s="3693"/>
      <c r="E15" s="2031" t="s">
        <v>1362</v>
      </c>
      <c r="F15" s="2376"/>
      <c r="G15" s="2376"/>
      <c r="H15" s="2376"/>
      <c r="I15" s="2244"/>
    </row>
    <row r="16" spans="1:12" ht="12.75">
      <c r="A16" s="3689"/>
      <c r="B16" s="3690"/>
      <c r="C16" s="3692"/>
      <c r="D16" s="3693"/>
      <c r="E16" s="2031" t="s">
        <v>1363</v>
      </c>
      <c r="F16" s="2376"/>
      <c r="G16" s="2376"/>
      <c r="H16" s="2376"/>
      <c r="I16" s="2244"/>
    </row>
    <row r="17" spans="1:36" ht="15">
      <c r="A17" s="2377" t="s">
        <v>1364</v>
      </c>
      <c r="B17" s="2378"/>
      <c r="C17" s="2379">
        <f>SUM(C5:C16)</f>
        <v>5</v>
      </c>
      <c r="D17" s="2379">
        <f>SUM(D5:D16)</f>
        <v>5</v>
      </c>
      <c r="E17" s="992"/>
      <c r="F17" s="992"/>
      <c r="G17" s="992"/>
      <c r="H17" s="992"/>
      <c r="I17" s="992"/>
      <c r="K17" s="1991"/>
      <c r="L17" s="1991" t="s">
        <v>1365</v>
      </c>
      <c r="M17" s="1991" t="s">
        <v>1366</v>
      </c>
    </row>
    <row r="18" spans="1:36" ht="31.9" customHeight="1">
      <c r="A18" s="2380" t="s">
        <v>1367</v>
      </c>
      <c r="B18" s="2381"/>
      <c r="C18" s="2382">
        <f>ROUND(C17/SUM(C17:D17),2)</f>
        <v>0.5</v>
      </c>
      <c r="D18" s="2382">
        <f>1-C18</f>
        <v>0.5</v>
      </c>
      <c r="E18" s="3703" t="s">
        <v>1368</v>
      </c>
      <c r="F18" s="3704"/>
      <c r="G18" s="3704"/>
      <c r="H18" s="3704"/>
      <c r="I18" s="3704"/>
      <c r="K18" s="1991" t="s">
        <v>458</v>
      </c>
      <c r="L18" s="1991">
        <f>IF(C1="",'数据-汇总表'!E3,SUMIF(项目类型,C1,'数据-汇总表'!E17:E26)+SUMIF(项目类型,C1,'数据-汇总表'!I17:I26))</f>
        <v>38.93</v>
      </c>
      <c r="M18" s="1991">
        <f>IF(C1="",'数据-汇总表'!E3,SUMIF(项目类型,C1,'数据-汇总表'!E17:E26))</f>
        <v>38.93</v>
      </c>
    </row>
    <row r="19" spans="1:36" ht="15">
      <c r="A19" s="2383" t="s">
        <v>1369</v>
      </c>
      <c r="B19" s="2384" t="s">
        <v>1370</v>
      </c>
      <c r="C19" s="2385">
        <f ca="1">SUMIF(INDIRECT("'"&amp;C4&amp;"'"&amp;"!A:A"),结果表!B19,INDIRECT("'"&amp;C4&amp;"'"&amp;"!B:B"))</f>
        <v>60.2014</v>
      </c>
      <c r="D19" s="1432">
        <f ca="1">SUMIF(INDIRECT("'"&amp;D4&amp;"'"&amp;"!A:A"),结果表!B19,INDIRECT("'"&amp;D4&amp;"'"&amp;"!B:B"))</f>
        <v>48.3812</v>
      </c>
      <c r="E19" s="2383" t="s">
        <v>1371</v>
      </c>
      <c r="F19" s="2384" t="s">
        <v>1370</v>
      </c>
      <c r="G19" s="2386">
        <f ca="1">ROUND(C19*$C$18+D19*$D$18,0)</f>
        <v>54</v>
      </c>
      <c r="H19" s="2387" t="s">
        <v>1372</v>
      </c>
      <c r="I19" s="992"/>
      <c r="K19" s="1991" t="s">
        <v>462</v>
      </c>
      <c r="L19" s="1991">
        <f>IF(C1="",'数据-汇总表'!D3,SUMIF(项目类型,C1,'数据-汇总表'!D17:D26)+SUMIF(项目类型,C1,'数据-汇总表'!H17:H27))</f>
        <v>0</v>
      </c>
      <c r="M19" s="1991">
        <f>IF(C1="",'数据-汇总表'!D3,SUMIF(项目类型,C1,'数据-汇总表'!D17:D26))</f>
        <v>0</v>
      </c>
    </row>
    <row r="20" spans="1:36" ht="15">
      <c r="A20" s="2388"/>
      <c r="B20" s="2389" t="s">
        <v>1373</v>
      </c>
      <c r="C20" s="1725">
        <f ca="1">SUMIF(INDIRECT("'"&amp;C4&amp;"'"&amp;"!A:A"),结果表!B20,INDIRECT("'"&amp;C4&amp;"'"&amp;"!B:B"))</f>
        <v>15464</v>
      </c>
      <c r="D20" s="1728">
        <f ca="1">SUMIF(INDIRECT("'"&amp;D4&amp;"'"&amp;"!A:A"),结果表!B20,INDIRECT("'"&amp;D4&amp;"'"&amp;"!B:B"))</f>
        <v>12428</v>
      </c>
      <c r="E20" s="2388"/>
      <c r="F20" s="2389" t="s">
        <v>1373</v>
      </c>
      <c r="G20" s="2390">
        <f ca="1">ROUND(C20*$C$18+D20*$D$18,0)</f>
        <v>13946</v>
      </c>
      <c r="H20" s="2147" t="s">
        <v>1374</v>
      </c>
      <c r="I20" s="992"/>
    </row>
    <row r="21" spans="1:36" ht="15" customHeight="1">
      <c r="A21" s="2326"/>
      <c r="B21" s="2391" t="s">
        <v>1375</v>
      </c>
      <c r="C21" s="2392" t="e">
        <f ca="1">ROUND(C19*10000/L19,0)</f>
        <v>#DIV/0!</v>
      </c>
      <c r="D21" s="2393" t="e">
        <f ca="1">ROUND(D19*10000/L19,0)</f>
        <v>#DIV/0!</v>
      </c>
      <c r="E21" s="2326"/>
      <c r="F21" s="2391" t="s">
        <v>1375</v>
      </c>
      <c r="G21" s="2394" t="e">
        <f ca="1">ROUND(G19*10000/L19,0)</f>
        <v>#DIV/0!</v>
      </c>
      <c r="H21" s="2395" t="s">
        <v>1374</v>
      </c>
      <c r="I21" s="992"/>
    </row>
    <row r="22" spans="1:36" ht="14.25">
      <c r="A22" s="2396" t="s">
        <v>1376</v>
      </c>
      <c r="B22" s="2397"/>
      <c r="C22" s="2398"/>
      <c r="D22" s="2399">
        <f ca="1">IF(C19&lt;D19,D19/C19-1,C19/D19-1)</f>
        <v>0.24431390705480638</v>
      </c>
      <c r="E22" s="992"/>
      <c r="F22" s="992"/>
      <c r="G22" s="992"/>
      <c r="H22" s="992"/>
      <c r="I22" s="992"/>
    </row>
    <row r="23" spans="1:36" ht="12.75">
      <c r="A23" s="2364"/>
      <c r="B23" s="2364"/>
      <c r="C23" s="2364"/>
      <c r="D23" s="2364"/>
      <c r="E23" s="992"/>
      <c r="F23" s="992"/>
      <c r="G23" s="992"/>
      <c r="H23" s="992"/>
      <c r="I23" s="992"/>
    </row>
    <row r="24" spans="1:36" ht="14.25">
      <c r="A24" s="3705" t="s">
        <v>1377</v>
      </c>
      <c r="B24" s="2384" t="s">
        <v>1370</v>
      </c>
      <c r="C24" s="2386">
        <f>IF(B30=0,0,D30)</f>
        <v>0</v>
      </c>
      <c r="D24" s="2400"/>
      <c r="E24" s="992"/>
      <c r="F24" s="992"/>
      <c r="G24" s="992"/>
      <c r="H24" s="992"/>
      <c r="I24" s="992"/>
    </row>
    <row r="25" spans="1:36" ht="14.25">
      <c r="A25" s="3706"/>
      <c r="B25" s="2389" t="s">
        <v>1373</v>
      </c>
      <c r="C25" s="2401">
        <f>IF(B30=0,0,C30)</f>
        <v>0</v>
      </c>
      <c r="D25" s="2402"/>
      <c r="E25" s="992"/>
      <c r="F25" s="992"/>
      <c r="G25" s="992"/>
      <c r="H25" s="992"/>
      <c r="I25" s="992"/>
    </row>
    <row r="26" spans="1:36" ht="13.5" customHeight="1">
      <c r="A26" s="2403" t="s">
        <v>1378</v>
      </c>
      <c r="B26" s="2404" t="s">
        <v>1379</v>
      </c>
      <c r="C26" s="2404" t="s">
        <v>1380</v>
      </c>
      <c r="D26" s="2405" t="s">
        <v>1381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1382</v>
      </c>
      <c r="B30" s="2404"/>
      <c r="C30" s="2404"/>
      <c r="D30" s="2404"/>
      <c r="E30" s="2406" t="s">
        <v>1383</v>
      </c>
      <c r="F30" s="992"/>
      <c r="G30" s="992"/>
      <c r="H30" s="992"/>
      <c r="I30" s="992"/>
    </row>
    <row r="31" spans="1:36" s="2358" customFormat="1" ht="26.45" customHeight="1">
      <c r="A31" s="2407"/>
      <c r="B31" s="2408"/>
      <c r="C31" s="2408"/>
      <c r="D31" s="2408"/>
      <c r="E31" s="2408"/>
      <c r="F31" s="2408"/>
      <c r="G31" s="2408"/>
      <c r="H31" s="2408"/>
      <c r="I31" s="2502" t="s">
        <v>1384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1385</v>
      </c>
      <c r="B32" s="2410"/>
      <c r="C32" s="2411">
        <f ca="1">IF(D32="总价",G19-C24,G20-C25)</f>
        <v>13946</v>
      </c>
      <c r="D32" s="2412" t="s">
        <v>3391</v>
      </c>
      <c r="E32" s="992"/>
      <c r="F32" s="992"/>
      <c r="G32" s="992"/>
      <c r="H32" s="992"/>
      <c r="I32" s="992"/>
    </row>
    <row r="33" spans="1:15" ht="15">
      <c r="A33" s="2267" t="s">
        <v>1387</v>
      </c>
      <c r="B33" s="2413"/>
      <c r="C33" s="2414" t="s">
        <v>1743</v>
      </c>
      <c r="D33" s="2415"/>
      <c r="E33" s="2416" t="s">
        <v>1389</v>
      </c>
      <c r="F33" s="2417" t="str">
        <f>IF(D32="楼面单价","取值（单价）","取值（总价）")</f>
        <v>取值（单价）</v>
      </c>
      <c r="G33" s="992"/>
      <c r="H33" s="992"/>
      <c r="I33" s="992"/>
    </row>
    <row r="34" spans="1:15" ht="15">
      <c r="A34" s="2418"/>
      <c r="B34" s="2419" t="s">
        <v>1390</v>
      </c>
      <c r="C34" s="2420">
        <f>IF(C33="自定义",F34,C32-C35)</f>
        <v>0</v>
      </c>
      <c r="D34" s="2421">
        <f ca="1">IF(C33="自定义",ROUND(C34/C32,3),IF(C33="收益比率",SUMIF(INDIRECT("'"&amp;D33&amp;"'"&amp;"!b:b"),"土地收益比率",INDIRECT("'"&amp;D33&amp;"'"&amp;"!c:c")),SUMIF(INDIRECT("'"&amp;D33&amp;"'"&amp;"!b:b"),"土地成本比率",INDIRECT("'"&amp;D33&amp;"'"&amp;"!c:c"))))</f>
        <v>0</v>
      </c>
      <c r="E34" s="2422" t="s">
        <v>1391</v>
      </c>
      <c r="F34" s="2423"/>
      <c r="G34" s="992"/>
      <c r="H34" s="992"/>
      <c r="I34" s="992"/>
    </row>
    <row r="35" spans="1:15" ht="15">
      <c r="A35" s="2424"/>
      <c r="B35" s="2425" t="s">
        <v>1392</v>
      </c>
      <c r="C35" s="2426">
        <f>IF(C33="自定义",F35,ROUND(C32*D35,0))</f>
        <v>0</v>
      </c>
      <c r="D35" s="2427">
        <f ca="1">IF(C33="自定义",ROUND(C35/C32,3),IF(C33="收益比率",SUMIF(INDIRECT("'"&amp;D33&amp;"'"&amp;"!b:b"),"建筑物收益比率",INDIRECT("'"&amp;D33&amp;"'"&amp;"!c:c")),SUMIF(INDIRECT("'"&amp;D33&amp;"'"&amp;"!b:b"),"建筑物成本比率",INDIRECT("'"&amp;D33&amp;"'"&amp;"!c:c"))))</f>
        <v>0</v>
      </c>
      <c r="E35" s="2428" t="s">
        <v>1393</v>
      </c>
      <c r="F35" s="2429"/>
      <c r="G35" s="992"/>
      <c r="H35" s="992"/>
      <c r="I35" s="992"/>
    </row>
    <row r="36" spans="1:15" ht="15">
      <c r="A36" s="3707" t="s">
        <v>1394</v>
      </c>
      <c r="B36" s="2430" t="s">
        <v>1395</v>
      </c>
      <c r="C36" s="2431"/>
      <c r="D36" s="2432"/>
      <c r="E36" s="2433"/>
      <c r="F36" s="2434"/>
      <c r="G36" s="992"/>
      <c r="H36" s="992"/>
      <c r="I36" s="992"/>
    </row>
    <row r="37" spans="1:15" ht="15">
      <c r="A37" s="3708"/>
      <c r="B37" s="2435" t="s">
        <v>1396</v>
      </c>
      <c r="C37" s="2436"/>
      <c r="D37" s="2437"/>
      <c r="E37" s="2437"/>
      <c r="F37" s="2434"/>
      <c r="G37" s="992"/>
      <c r="H37" s="992"/>
      <c r="I37" s="992"/>
    </row>
    <row r="38" spans="1:15" ht="15">
      <c r="A38" s="3709"/>
      <c r="B38" s="2438" t="s">
        <v>1397</v>
      </c>
      <c r="C38" s="2439"/>
      <c r="D38" s="2440" t="s">
        <v>1398</v>
      </c>
      <c r="E38" s="2437"/>
      <c r="F38" s="2434"/>
      <c r="G38" s="992"/>
      <c r="H38" s="992"/>
      <c r="I38" s="992"/>
    </row>
    <row r="39" spans="1:15" ht="15">
      <c r="A39" s="2388" t="s">
        <v>1399</v>
      </c>
      <c r="B39" s="2441" t="s">
        <v>1379</v>
      </c>
      <c r="C39" s="2442" t="s">
        <v>1380</v>
      </c>
      <c r="D39" s="2442" t="s">
        <v>1400</v>
      </c>
      <c r="E39" s="2443" t="s">
        <v>1381</v>
      </c>
      <c r="F39" s="2434"/>
      <c r="G39" s="992"/>
      <c r="H39" s="992"/>
      <c r="I39" s="992"/>
    </row>
    <row r="40" spans="1:15" ht="14.25">
      <c r="A40" s="2444" t="s">
        <v>1401</v>
      </c>
      <c r="B40" s="2445"/>
      <c r="C40" s="1010"/>
      <c r="D40" s="1010"/>
      <c r="E40" s="2446"/>
      <c r="F40" s="2434"/>
      <c r="G40" s="992"/>
      <c r="H40" s="992"/>
      <c r="I40" s="992"/>
    </row>
    <row r="41" spans="1:15" ht="14.25">
      <c r="A41" s="2444" t="s">
        <v>1402</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1403</v>
      </c>
      <c r="B44" s="2453"/>
      <c r="C44" s="2453"/>
      <c r="D44" s="2454"/>
      <c r="E44" s="2454"/>
      <c r="F44" s="2455"/>
      <c r="G44" s="2455"/>
      <c r="H44" s="2455"/>
      <c r="I44" s="2455"/>
      <c r="J44" s="2506" t="s">
        <v>1404</v>
      </c>
      <c r="K44" s="2507"/>
      <c r="L44" s="2507"/>
      <c r="M44" s="2507"/>
      <c r="N44" s="2507"/>
      <c r="O44" s="2507"/>
    </row>
    <row r="45" spans="1:15" ht="14.25" customHeight="1">
      <c r="A45" s="3710" t="s">
        <v>1405</v>
      </c>
      <c r="B45" s="3711"/>
      <c r="C45" s="3712"/>
      <c r="D45" s="1990">
        <f ca="1">ROUND(H101*F45,0)</f>
        <v>3732</v>
      </c>
      <c r="E45" s="2456" t="s">
        <v>1406</v>
      </c>
      <c r="F45" s="2457">
        <v>0.56000000000000005</v>
      </c>
      <c r="G45" s="2458" t="s">
        <v>1407</v>
      </c>
      <c r="H45" s="992"/>
      <c r="I45" s="992"/>
      <c r="J45" s="3713" t="s">
        <v>1408</v>
      </c>
      <c r="K45" s="3713"/>
      <c r="L45" s="3713"/>
      <c r="M45" s="3713"/>
      <c r="N45" s="3713"/>
      <c r="O45" s="3713"/>
    </row>
    <row r="46" spans="1:15" ht="14.25" customHeight="1">
      <c r="A46" s="3714" t="s">
        <v>1409</v>
      </c>
      <c r="B46" s="3715"/>
      <c r="C46" s="3715"/>
      <c r="D46" s="3715"/>
      <c r="E46" s="3715"/>
      <c r="F46" s="3715"/>
      <c r="G46" s="3716"/>
      <c r="H46" s="2459"/>
      <c r="I46" s="993"/>
      <c r="J46" s="618">
        <v>1</v>
      </c>
      <c r="K46" s="3717" t="s">
        <v>1410</v>
      </c>
      <c r="L46" s="3717"/>
      <c r="M46" s="3718"/>
      <c r="N46" s="3718"/>
      <c r="O46" s="3718"/>
    </row>
    <row r="47" spans="1:15" ht="12" customHeight="1">
      <c r="A47" s="2460" t="s">
        <v>1411</v>
      </c>
      <c r="B47" s="2461"/>
      <c r="C47" s="2462"/>
      <c r="D47" s="2041" t="s">
        <v>1412</v>
      </c>
      <c r="E47" s="1991" t="s">
        <v>1413</v>
      </c>
      <c r="F47" s="2463" t="s">
        <v>1414</v>
      </c>
      <c r="G47" s="2464" t="s">
        <v>1415</v>
      </c>
      <c r="H47" s="2465"/>
      <c r="I47" s="993"/>
      <c r="J47" s="618">
        <v>2</v>
      </c>
      <c r="K47" s="3717" t="s">
        <v>1416</v>
      </c>
      <c r="L47" s="3717"/>
      <c r="M47" s="3723">
        <f>'数据-取费表'!B2</f>
        <v>45300</v>
      </c>
      <c r="N47" s="3723"/>
      <c r="O47" s="3723"/>
    </row>
    <row r="48" spans="1:15" ht="25.5">
      <c r="A48" s="3724" t="s">
        <v>1417</v>
      </c>
      <c r="B48" s="3725"/>
      <c r="C48" s="3725"/>
      <c r="D48" s="2145">
        <f ca="1">IF(H48="情况1",0,IF(H48="情况2",D52,IF(H48="情况3",D53,IF(H48="情况4",D54))))</f>
        <v>199</v>
      </c>
      <c r="E48" s="2045" t="str">
        <f>IF(H48="情况4","(销售额-原购置价)×税（费）率","销售额×税（费）率")</f>
        <v>(销售额-原购置价)×税（费）率</v>
      </c>
      <c r="F48" s="2467">
        <f>IF(H48="情况1","免征",'数据-取费表'!B41)</f>
        <v>5.6000000000000001E-2</v>
      </c>
      <c r="G48" s="2468" t="s">
        <v>1418</v>
      </c>
      <c r="H48" s="2469" t="s">
        <v>1419</v>
      </c>
      <c r="I48" s="2459"/>
      <c r="J48" s="618">
        <v>3</v>
      </c>
      <c r="K48" s="3717" t="s">
        <v>1420</v>
      </c>
      <c r="L48" s="3717"/>
      <c r="M48" s="3726">
        <f ca="1">H101</f>
        <v>6665</v>
      </c>
      <c r="N48" s="3726"/>
      <c r="O48" s="3726"/>
    </row>
    <row r="49" spans="1:35" ht="25.5" customHeight="1">
      <c r="A49" s="2466" t="s">
        <v>1421</v>
      </c>
      <c r="B49" s="3719" t="s">
        <v>1422</v>
      </c>
      <c r="C49" s="3719"/>
      <c r="D49" s="2470">
        <v>0</v>
      </c>
      <c r="E49" s="2051" t="s">
        <v>1423</v>
      </c>
      <c r="F49" s="2471" t="s">
        <v>124</v>
      </c>
      <c r="G49" s="3727"/>
      <c r="H49" s="2472" t="s">
        <v>1424</v>
      </c>
      <c r="I49" s="2509"/>
      <c r="J49" s="618">
        <v>4</v>
      </c>
      <c r="K49" s="3717" t="str">
        <f>IF(项目基本情况!E8="房地产抵押价值","房地产抵押价值","抵押担保权已注销时的房地产抵押价值")</f>
        <v>房地产抵押价值</v>
      </c>
      <c r="L49" s="3717"/>
      <c r="M49" s="3726">
        <f ca="1">IF(项目基本情况!E8="房地产抵押价值",H107,H109)</f>
        <v>6665</v>
      </c>
      <c r="N49" s="3726"/>
      <c r="O49" s="3726"/>
    </row>
    <row r="50" spans="1:35" ht="25.5" customHeight="1">
      <c r="A50" s="2473"/>
      <c r="B50" s="3719" t="s">
        <v>1425</v>
      </c>
      <c r="C50" s="3719"/>
      <c r="D50" s="2474"/>
      <c r="E50" s="2066"/>
      <c r="F50" s="2471"/>
      <c r="G50" s="3728"/>
      <c r="H50" s="2475" t="s">
        <v>1426</v>
      </c>
      <c r="I50" s="2509"/>
      <c r="J50" s="3713" t="s">
        <v>1427</v>
      </c>
      <c r="K50" s="3713"/>
      <c r="L50" s="3713"/>
      <c r="M50" s="3713"/>
      <c r="N50" s="3713"/>
      <c r="O50" s="3713"/>
    </row>
    <row r="51" spans="1:35" ht="20.45" customHeight="1">
      <c r="A51" s="2476"/>
      <c r="B51" s="3719" t="s">
        <v>1428</v>
      </c>
      <c r="C51" s="3719"/>
      <c r="D51" s="2041"/>
      <c r="E51" s="2055"/>
      <c r="F51" s="2471"/>
      <c r="G51" s="3729"/>
      <c r="H51" s="2475" t="s">
        <v>1429</v>
      </c>
      <c r="I51" s="2509"/>
      <c r="J51" s="2508" t="s">
        <v>1430</v>
      </c>
      <c r="K51" s="3717" t="s">
        <v>1431</v>
      </c>
      <c r="L51" s="3717"/>
      <c r="M51" s="2508" t="s">
        <v>1432</v>
      </c>
      <c r="N51" s="2508" t="s">
        <v>1433</v>
      </c>
      <c r="O51" s="2508" t="s">
        <v>1434</v>
      </c>
    </row>
    <row r="52" spans="1:35" ht="24" customHeight="1">
      <c r="A52" s="2477" t="s">
        <v>1435</v>
      </c>
      <c r="B52" s="3719" t="s">
        <v>1436</v>
      </c>
      <c r="C52" s="3719"/>
      <c r="D52" s="2041">
        <f ca="1">ROUND(D45*'数据-取费表'!B41/(1+'数据-取费表'!C42),0)</f>
        <v>199</v>
      </c>
      <c r="E52" s="2045" t="s">
        <v>1437</v>
      </c>
      <c r="F52" s="2478">
        <f>'数据-取费表'!B41</f>
        <v>5.6000000000000001E-2</v>
      </c>
      <c r="G52" s="2479"/>
      <c r="H52" s="2160"/>
      <c r="I52" s="2510"/>
      <c r="J52" s="618">
        <v>1</v>
      </c>
      <c r="K52" s="3720" t="s">
        <v>1438</v>
      </c>
      <c r="L52" s="3720"/>
      <c r="M52" s="2511">
        <f ca="1">D48</f>
        <v>199</v>
      </c>
      <c r="N52" s="618" t="str">
        <f>E48</f>
        <v>(销售额-原购置价)×税（费）率</v>
      </c>
      <c r="O52" s="2512">
        <f>F48</f>
        <v>5.6000000000000001E-2</v>
      </c>
    </row>
    <row r="53" spans="1:35" ht="12" customHeight="1">
      <c r="A53" s="2477" t="s">
        <v>1439</v>
      </c>
      <c r="B53" s="3721" t="s">
        <v>1440</v>
      </c>
      <c r="C53" s="3722"/>
      <c r="D53" s="2041">
        <f ca="1">ROUND(D45*'数据-取费表'!B41/(1+'数据-取费表'!C42),0)</f>
        <v>199</v>
      </c>
      <c r="E53" s="2045" t="s">
        <v>1437</v>
      </c>
      <c r="F53" s="2478">
        <f>'数据-取费表'!B41</f>
        <v>5.6000000000000001E-2</v>
      </c>
      <c r="G53" s="2479"/>
      <c r="H53" s="2160"/>
      <c r="I53" s="2510"/>
      <c r="J53" s="618">
        <v>2</v>
      </c>
      <c r="K53" s="3720" t="s">
        <v>1441</v>
      </c>
      <c r="L53" s="3720"/>
      <c r="M53" s="2511">
        <f t="shared" ref="M53:O54" ca="1" si="0">D55</f>
        <v>2</v>
      </c>
      <c r="N53" s="618" t="str">
        <f t="shared" si="0"/>
        <v>销售额×税（费）率</v>
      </c>
      <c r="O53" s="2512">
        <f t="shared" si="0"/>
        <v>5.0000000000000001E-4</v>
      </c>
    </row>
    <row r="54" spans="1:35" ht="12" customHeight="1">
      <c r="A54" s="2477" t="s">
        <v>1442</v>
      </c>
      <c r="B54" s="3721" t="s">
        <v>1443</v>
      </c>
      <c r="C54" s="3722"/>
      <c r="D54" s="2041">
        <f ca="1">C68</f>
        <v>199</v>
      </c>
      <c r="E54" s="2055" t="s">
        <v>1444</v>
      </c>
      <c r="F54" s="2478">
        <f>'数据-取费表'!B41</f>
        <v>5.6000000000000001E-2</v>
      </c>
      <c r="G54" s="2479"/>
      <c r="H54" s="2480"/>
      <c r="I54" s="2510"/>
      <c r="J54" s="618">
        <v>3</v>
      </c>
      <c r="K54" s="3720" t="s">
        <v>1445</v>
      </c>
      <c r="L54" s="3720"/>
      <c r="M54" s="2511" t="e">
        <f t="shared" ca="1" si="0"/>
        <v>#N/A</v>
      </c>
      <c r="N54" s="618" t="str">
        <f t="shared" si="0"/>
        <v>增值额×税（费）率</v>
      </c>
      <c r="O54" s="2513" t="str">
        <f t="shared" si="0"/>
        <v>——</v>
      </c>
    </row>
    <row r="55" spans="1:35" ht="24" customHeight="1">
      <c r="A55" s="3736" t="s">
        <v>1446</v>
      </c>
      <c r="B55" s="3725"/>
      <c r="C55" s="3725"/>
      <c r="D55" s="2145">
        <f ca="1">IF(H55="个人住宅",0,ROUND(D45*I55,0))</f>
        <v>2</v>
      </c>
      <c r="E55" s="2045" t="s">
        <v>1447</v>
      </c>
      <c r="F55" s="2478">
        <f>IF(H55="正常",I55,"免征")</f>
        <v>5.0000000000000001E-4</v>
      </c>
      <c r="G55" s="2479"/>
      <c r="H55" s="2469" t="s">
        <v>1448</v>
      </c>
      <c r="I55" s="2514">
        <f>'数据-取费表'!B49</f>
        <v>5.0000000000000001E-4</v>
      </c>
      <c r="J55" s="618" t="str">
        <f>IF(H59="非个人房产","",4)</f>
        <v/>
      </c>
      <c r="K55" s="3720" t="str">
        <f>IF(H59="非个人房产","——","个人所得税")</f>
        <v>——</v>
      </c>
      <c r="L55" s="3720"/>
      <c r="M55" s="2515" t="str">
        <f>D59</f>
        <v>——</v>
      </c>
      <c r="N55" s="599" t="str">
        <f>E59</f>
        <v>——</v>
      </c>
      <c r="O55" s="2516" t="str">
        <f>F59</f>
        <v>——</v>
      </c>
    </row>
    <row r="56" spans="1:35" ht="24.75">
      <c r="A56" s="3736" t="s">
        <v>1449</v>
      </c>
      <c r="B56" s="3725"/>
      <c r="C56" s="3725"/>
      <c r="D56" s="2145" t="e">
        <f ca="1">IF(H56="个人住宅",D57,D58)</f>
        <v>#N/A</v>
      </c>
      <c r="E56" s="2045" t="s">
        <v>1450</v>
      </c>
      <c r="F56" s="2478" t="str">
        <f>IF(H56="正常",F58,"免征")</f>
        <v>——</v>
      </c>
      <c r="G56" s="2481" t="s">
        <v>1451</v>
      </c>
      <c r="H56" s="2482" t="s">
        <v>1448</v>
      </c>
      <c r="I56" s="2491"/>
      <c r="J56" s="618" t="str">
        <f>IF(项目基本情况!K6="上海银行",IF(J55="",4,J55+1),"")</f>
        <v/>
      </c>
      <c r="K56" s="3730" t="str">
        <f>IF(项目基本情况!K6="上海银行","其他处置费用","")</f>
        <v/>
      </c>
      <c r="L56" s="3737"/>
      <c r="M56" s="2511" t="str">
        <f>IF(项目基本情况!K6="上海银行",M69,"")</f>
        <v/>
      </c>
      <c r="N56" s="3730" t="str">
        <f>IF(项目基本情况!K6="上海银行","包含处置中涉及的律师、诉讼、拍卖、评估等费用","")</f>
        <v/>
      </c>
      <c r="O56" s="3731"/>
    </row>
    <row r="57" spans="1:35" ht="12.75">
      <c r="A57" s="2477" t="s">
        <v>1421</v>
      </c>
      <c r="B57" s="3721" t="s">
        <v>1452</v>
      </c>
      <c r="C57" s="3722"/>
      <c r="D57" s="2470">
        <v>0</v>
      </c>
      <c r="E57" s="2051" t="s">
        <v>1423</v>
      </c>
      <c r="F57" s="1991"/>
      <c r="G57" s="2479"/>
      <c r="H57" s="2483"/>
      <c r="I57" s="2491"/>
      <c r="J57" s="3720">
        <f>IF(AND(J55="",J56=""),4,IF(项目基本情况!K6="上海银行",结果表!J56+1,结果表!J55+1))</f>
        <v>4</v>
      </c>
      <c r="K57" s="3720" t="s">
        <v>1453</v>
      </c>
      <c r="L57" s="2517" t="s">
        <v>1454</v>
      </c>
      <c r="M57" s="2518"/>
      <c r="N57" s="2519">
        <f ca="1">SUMIF(M52:M56,"&lt;9e307")</f>
        <v>201</v>
      </c>
      <c r="O57" s="2520"/>
      <c r="P57" s="2521">
        <f ca="1">N57/M49</f>
        <v>3.0157539384846211E-2</v>
      </c>
    </row>
    <row r="58" spans="1:35" ht="24.75">
      <c r="A58" s="2477" t="s">
        <v>1435</v>
      </c>
      <c r="B58" s="3721" t="s">
        <v>1455</v>
      </c>
      <c r="C58" s="3719"/>
      <c r="D58" s="2145" t="e">
        <f ca="1">IF(H58="转让取得",C81,C97)</f>
        <v>#N/A</v>
      </c>
      <c r="E58" s="2045" t="s">
        <v>1450</v>
      </c>
      <c r="F58" s="1991" t="s">
        <v>124</v>
      </c>
      <c r="G58" s="2479"/>
      <c r="H58" s="2482" t="s">
        <v>1456</v>
      </c>
      <c r="I58" s="2491"/>
      <c r="J58" s="3720"/>
      <c r="K58" s="3720"/>
      <c r="L58" s="2517" t="s">
        <v>1457</v>
      </c>
      <c r="M58" s="2522"/>
      <c r="N58" s="2523" t="str">
        <f ca="1">NUMBERSTRING(INT(N57*10000),2)&amp;"元整"</f>
        <v>贰佰零壹万元整</v>
      </c>
      <c r="O58" s="2524"/>
    </row>
    <row r="59" spans="1:35" ht="24">
      <c r="A59" s="3732" t="s">
        <v>1458</v>
      </c>
      <c r="B59" s="3733"/>
      <c r="C59" s="3733"/>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1451</v>
      </c>
      <c r="H59" s="2488" t="s">
        <v>1459</v>
      </c>
      <c r="I59" s="2525" t="s">
        <v>1460</v>
      </c>
      <c r="J59" s="3734">
        <f>J57+1</f>
        <v>5</v>
      </c>
      <c r="K59" s="3720" t="s">
        <v>1461</v>
      </c>
      <c r="L59" s="618" t="s">
        <v>1454</v>
      </c>
      <c r="M59" s="2526"/>
      <c r="N59" s="2527">
        <f ca="1">M49-N57</f>
        <v>6464</v>
      </c>
      <c r="O59" s="2528"/>
    </row>
    <row r="60" spans="1:35" ht="12" customHeight="1">
      <c r="A60" s="2489"/>
      <c r="B60" s="2364"/>
      <c r="C60" s="2364"/>
      <c r="D60" s="2364"/>
      <c r="E60" s="2490"/>
      <c r="F60" s="2491"/>
      <c r="G60" s="2491"/>
      <c r="H60" s="2492"/>
      <c r="I60" s="992"/>
      <c r="J60" s="3735"/>
      <c r="K60" s="3720"/>
      <c r="L60" s="2517" t="s">
        <v>1457</v>
      </c>
      <c r="M60" s="2522"/>
      <c r="N60" s="2523" t="str">
        <f ca="1">NUMBERSTRING(INT(N59*10000),2)&amp;"元整"</f>
        <v>陆仟肆佰陆拾肆万元整</v>
      </c>
      <c r="O60" s="2524"/>
    </row>
    <row r="61" spans="1:35" ht="12.75">
      <c r="A61" s="3748" t="s">
        <v>1462</v>
      </c>
      <c r="B61" s="3748"/>
      <c r="C61" s="3748"/>
      <c r="D61" s="3748"/>
      <c r="E61" s="3748"/>
      <c r="F61" s="2491"/>
      <c r="G61" s="2491"/>
      <c r="H61" s="2492"/>
      <c r="I61" s="992"/>
      <c r="J61" s="618">
        <f>J59+1</f>
        <v>6</v>
      </c>
      <c r="K61" s="3720" t="s">
        <v>1463</v>
      </c>
      <c r="L61" s="3720"/>
      <c r="M61" s="2529"/>
      <c r="N61" s="2530">
        <f ca="1">ROUND(N59*10000/'数据-汇总表'!E3,0)</f>
        <v>1660416</v>
      </c>
      <c r="O61" s="2531"/>
    </row>
    <row r="62" spans="1:35" ht="12.75">
      <c r="A62" s="3744" t="s">
        <v>1464</v>
      </c>
      <c r="B62" s="3745"/>
      <c r="C62" s="569"/>
      <c r="D62" s="569" t="s">
        <v>1465</v>
      </c>
      <c r="E62" s="2493" t="s">
        <v>1415</v>
      </c>
      <c r="F62" s="2491"/>
      <c r="G62" s="2491"/>
      <c r="H62" s="2492"/>
      <c r="I62" s="992"/>
    </row>
    <row r="63" spans="1:35" ht="12.75">
      <c r="A63" s="2494" t="s">
        <v>1466</v>
      </c>
      <c r="B63" s="628" t="s">
        <v>1467</v>
      </c>
      <c r="C63" s="2495">
        <f ca="1">ROUND((C64+C65)/(1+'数据-取费表'!C42),0)</f>
        <v>3554</v>
      </c>
      <c r="D63" s="628"/>
      <c r="E63" s="2496"/>
      <c r="F63" s="2491"/>
      <c r="G63" s="2491"/>
      <c r="H63" s="2492"/>
      <c r="I63" s="992"/>
      <c r="J63" s="3749" t="s">
        <v>1468</v>
      </c>
      <c r="K63" s="2532" t="s">
        <v>1469</v>
      </c>
      <c r="L63" s="2532">
        <f ca="1">IF(M49&gt;10000,M49*0.5%,IF(AND(M49&gt;1000,M49&lt;=10000),M49*1%,IF(AND(M49&gt;100,M49&lt;=1000),M49*3%,IF(AND(M49&gt;10,M49&lt;=100),M49*5%,M49*8%))))</f>
        <v>66.650000000000006</v>
      </c>
      <c r="M63" s="1991">
        <f ca="1">ROUND(L63,1)</f>
        <v>66.7</v>
      </c>
      <c r="N63" s="2533"/>
      <c r="Z63" s="2361"/>
      <c r="AI63" s="2362"/>
    </row>
    <row r="64" spans="1:35" ht="14.25" customHeight="1">
      <c r="A64" s="2497" t="s">
        <v>1470</v>
      </c>
      <c r="B64" s="555" t="s">
        <v>1471</v>
      </c>
      <c r="C64" s="2498">
        <f ca="1">D45</f>
        <v>3732</v>
      </c>
      <c r="D64" s="555" t="s">
        <v>124</v>
      </c>
      <c r="E64" s="2499"/>
      <c r="F64" s="2491"/>
      <c r="G64" s="2491"/>
      <c r="H64" s="2492"/>
      <c r="I64" s="992"/>
      <c r="J64" s="3749"/>
      <c r="K64" s="2532" t="s">
        <v>1472</v>
      </c>
      <c r="L64" s="2532">
        <f ca="1">IF(M49&gt;2000,M49*0.5%,IF(AND(M49&gt;1000,M49&lt;=2000),M49*0.6%,IF(AND(M49&gt;500,M49&lt;=1000),M49*0.7%,IF(AND(M49&gt;200,M49&lt;=500),M49*0.8%,IF(AND(M49&gt;100,M49&lt;=200),M49*0.9%,IF(AND(M49&gt;50,M49&lt;=100),M49*1%,IF(AND(M49&gt;20,M49&lt;=50),M49*1.5%,IF(AND(M49&gt;10,M49&lt;=20),M49*2%,IF(AND(M49&gt;1,M49&lt;=10),M49*2.5%)))))))))</f>
        <v>33.325000000000003</v>
      </c>
      <c r="M64" s="1991">
        <f t="shared" ref="M64:M65" ca="1" si="1">ROUND(L64,1)</f>
        <v>33.299999999999997</v>
      </c>
      <c r="N64" s="2160" t="s">
        <v>1473</v>
      </c>
      <c r="Z64" s="2361"/>
      <c r="AI64" s="2362"/>
    </row>
    <row r="65" spans="1:35" ht="14.25" customHeight="1">
      <c r="A65" s="2497" t="s">
        <v>1474</v>
      </c>
      <c r="B65" s="555" t="s">
        <v>1475</v>
      </c>
      <c r="C65" s="2535"/>
      <c r="D65" s="555"/>
      <c r="E65" s="2499"/>
      <c r="F65" s="2491"/>
      <c r="G65" s="2491"/>
      <c r="H65" s="2492"/>
      <c r="I65" s="992"/>
      <c r="J65" s="3749"/>
      <c r="K65" s="2532" t="s">
        <v>1476</v>
      </c>
      <c r="L65" s="2532">
        <f ca="1">IF(M49&gt;1000,M49*0.1%,IF(AND(M49&gt;500,M49&lt;=1000),M49*0.5%,IF(AND(M49&gt;50,M49&lt;=500),M49*1%,IF(AND(M49&gt;1,M49&lt;=50),M49*1.5%))))</f>
        <v>6.665</v>
      </c>
      <c r="M65" s="1991">
        <f t="shared" ca="1" si="1"/>
        <v>6.7</v>
      </c>
      <c r="N65" s="2160" t="s">
        <v>1473</v>
      </c>
      <c r="Z65" s="2361"/>
      <c r="AI65" s="2362"/>
    </row>
    <row r="66" spans="1:35" ht="14.25" customHeight="1">
      <c r="A66" s="2494" t="s">
        <v>1477</v>
      </c>
      <c r="B66" s="2536" t="s">
        <v>1478</v>
      </c>
      <c r="C66" s="2537"/>
      <c r="D66" s="2536" t="s">
        <v>124</v>
      </c>
      <c r="E66" s="2538" t="s">
        <v>1479</v>
      </c>
      <c r="F66" s="2491"/>
      <c r="G66" s="2491"/>
      <c r="H66" s="2492"/>
      <c r="I66" s="992"/>
      <c r="J66" s="3749"/>
      <c r="K66" s="2532" t="s">
        <v>1480</v>
      </c>
      <c r="L66" s="2532">
        <f ca="1">M49*0.5%</f>
        <v>33.325000000000003</v>
      </c>
      <c r="M66" s="1991">
        <f ca="1">IF(L66&gt;0.5,0.5,ROUND(L66,0))</f>
        <v>0.5</v>
      </c>
      <c r="N66" s="2160" t="s">
        <v>1481</v>
      </c>
      <c r="Z66" s="2361"/>
      <c r="AI66" s="2362"/>
    </row>
    <row r="67" spans="1:35" ht="14.25" customHeight="1">
      <c r="A67" s="2494" t="s">
        <v>1482</v>
      </c>
      <c r="B67" s="2536" t="s">
        <v>1483</v>
      </c>
      <c r="C67" s="2539">
        <f ca="1">C63-C66</f>
        <v>3554</v>
      </c>
      <c r="D67" s="555" t="s">
        <v>124</v>
      </c>
      <c r="E67" s="2499"/>
      <c r="F67" s="2491"/>
      <c r="G67" s="2491"/>
      <c r="H67" s="2492"/>
      <c r="I67" s="992"/>
      <c r="J67" s="3749"/>
      <c r="K67" s="2532" t="s">
        <v>1484</v>
      </c>
      <c r="L67" s="2532">
        <f ca="1">IF(M49&gt;=10000,(8.25+(M49-10000)*0.01%),IF(AND(M49&gt;=8000,M49&lt;10000),(7.85+(M49-8000)*0.02%),IF(AND(M49&gt;=5000,M49&lt;8000),(6.65+(M49-5000)*0.04%),IF(AND(M49&gt;=2000,M49&lt;5000),(4.25+(PM49-2000)*0.08%),IF(AND(M49&gt;=1000,M49&lt;2000),(2.75+(M49-1000)*0.15%),IF(AND(M49&gt;=100,M49&lt;1000),(0.5+(M49-100)*0.25%),IF(AND(M49&gt;0,M49&lt;100),M49*0.5%)))))))</f>
        <v>7.3160000000000007</v>
      </c>
      <c r="M67" s="1991">
        <f ca="1">ROUND(L67*0.9,1)</f>
        <v>6.6</v>
      </c>
      <c r="N67" s="2533"/>
      <c r="Z67" s="2361"/>
      <c r="AI67" s="2362"/>
    </row>
    <row r="68" spans="1:35" ht="14.25" customHeight="1">
      <c r="A68" s="2540" t="s">
        <v>1485</v>
      </c>
      <c r="B68" s="2541" t="s">
        <v>1486</v>
      </c>
      <c r="C68" s="2542">
        <f ca="1">IF(C67&lt;=0,0,ROUND(C67*D68,0))</f>
        <v>199</v>
      </c>
      <c r="D68" s="822">
        <f>'数据-取费表'!B41</f>
        <v>5.6000000000000001E-2</v>
      </c>
      <c r="E68" s="2543"/>
      <c r="F68" s="2491"/>
      <c r="G68" s="2491"/>
      <c r="H68" s="2492"/>
      <c r="I68" s="992"/>
      <c r="J68" s="3749"/>
      <c r="K68" s="2532" t="s">
        <v>1487</v>
      </c>
      <c r="L68" s="2532">
        <f ca="1">IF(M49&gt;10000,M49*0.5%,IF(AND(M49&gt;5000,M49&lt;=10000),M49*1%,IF(AND(M49&gt;1000,M49&lt;=5000),M49*2%,IF(AND(M49&gt;200,M49&lt;=1000),M49*3%,M49*5%))))</f>
        <v>66.650000000000006</v>
      </c>
      <c r="M68" s="1991">
        <f ca="1">ROUND(L68,1)</f>
        <v>66.7</v>
      </c>
      <c r="N68" s="2533"/>
      <c r="Z68" s="2361"/>
      <c r="AI68" s="2362"/>
    </row>
    <row r="69" spans="1:35" s="2359" customFormat="1" ht="16.5" customHeight="1">
      <c r="A69" s="2544"/>
      <c r="B69" s="2545"/>
      <c r="C69" s="2546"/>
      <c r="D69" s="739"/>
      <c r="E69" s="2547"/>
      <c r="F69" s="2490"/>
      <c r="G69" s="2490"/>
      <c r="H69" s="2450"/>
      <c r="I69" s="2364"/>
      <c r="J69" s="3749"/>
      <c r="K69" s="2532" t="s">
        <v>1488</v>
      </c>
      <c r="L69" s="2532"/>
      <c r="M69" s="1991">
        <f ca="1">ROUND(SUM(M63:M68),0)</f>
        <v>181</v>
      </c>
      <c r="N69" s="2610">
        <f ca="1">M69/M49</f>
        <v>2.7156789197299323E-2</v>
      </c>
      <c r="O69" s="951"/>
      <c r="P69" s="951"/>
      <c r="Q69" s="951"/>
      <c r="R69" s="951"/>
      <c r="S69" s="951"/>
      <c r="T69" s="951"/>
      <c r="U69" s="951"/>
      <c r="V69" s="951"/>
      <c r="W69" s="951"/>
      <c r="X69" s="951"/>
      <c r="Y69" s="951"/>
      <c r="Z69" s="2361"/>
      <c r="AA69" s="2361"/>
      <c r="AB69" s="2361"/>
      <c r="AC69" s="2361"/>
      <c r="AD69" s="2361"/>
      <c r="AE69" s="2361"/>
      <c r="AF69" s="2361"/>
      <c r="AG69" s="2361"/>
      <c r="AH69" s="2361"/>
    </row>
    <row r="70" spans="1:35" s="2360" customFormat="1" ht="14.25">
      <c r="A70" s="3742" t="s">
        <v>1489</v>
      </c>
      <c r="B70" s="3743"/>
      <c r="C70" s="3743"/>
      <c r="D70" s="3743"/>
      <c r="E70" s="3743"/>
      <c r="F70" s="3743"/>
      <c r="G70" s="3743"/>
      <c r="H70" s="3743"/>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744" t="s">
        <v>1464</v>
      </c>
      <c r="B71" s="3745"/>
      <c r="C71" s="569"/>
      <c r="D71" s="569" t="s">
        <v>1465</v>
      </c>
      <c r="E71" s="2548" t="s">
        <v>1415</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1466</v>
      </c>
      <c r="B72" s="2536" t="s">
        <v>1490</v>
      </c>
      <c r="C72" s="2539">
        <f ca="1">ROUND(D45/(1+'数据-取费表'!C42),0)</f>
        <v>3554</v>
      </c>
      <c r="D72" s="555"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1477</v>
      </c>
      <c r="B73" s="2463" t="s">
        <v>1491</v>
      </c>
      <c r="C73" s="2539">
        <f ca="1">C74+C78</f>
        <v>21</v>
      </c>
      <c r="D73" s="555"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1470</v>
      </c>
      <c r="B74" s="555" t="s">
        <v>1492</v>
      </c>
      <c r="C74" s="555">
        <f>ROUND(IF(G77="2016年5月1日后购买",C75/(1+'数据-取费表'!C42)+C76+C77,C75+C76+C77),0)</f>
        <v>0</v>
      </c>
      <c r="D74" s="555"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1493</v>
      </c>
      <c r="B75" s="555" t="s">
        <v>1494</v>
      </c>
      <c r="C75" s="2552"/>
      <c r="D75" s="555" t="s">
        <v>124</v>
      </c>
      <c r="E75" s="2553" t="s">
        <v>1495</v>
      </c>
      <c r="F75" s="2554"/>
      <c r="G75" s="2553" t="s">
        <v>1496</v>
      </c>
      <c r="H75" s="2555"/>
      <c r="I75" s="841"/>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1497</v>
      </c>
      <c r="B76" s="2556" t="s">
        <v>1498</v>
      </c>
      <c r="C76" s="555">
        <f>IF(F75="购房发票",ROUND(C75*H75*D76,0),0)</f>
        <v>0</v>
      </c>
      <c r="D76" s="2557">
        <v>0.05</v>
      </c>
      <c r="E76" s="3721" t="s">
        <v>1499</v>
      </c>
      <c r="F76" s="3719"/>
      <c r="G76" s="3719"/>
      <c r="H76" s="3738"/>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1500</v>
      </c>
      <c r="B77" s="555" t="s">
        <v>1501</v>
      </c>
      <c r="C77" s="555">
        <f>ROUND(IF(G77="个人住宅",0,IF(G77="2016年5月1日前购买",C75*D77,C75*D77/(1+'数据-取费表'!C42))),0)</f>
        <v>0</v>
      </c>
      <c r="D77" s="2559">
        <f>'数据-取费表'!B48+'数据-取费表'!B49</f>
        <v>3.0499999999999999E-2</v>
      </c>
      <c r="E77" s="2145" t="s">
        <v>1502</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1474</v>
      </c>
      <c r="B78" s="555" t="s">
        <v>1503</v>
      </c>
      <c r="C78" s="2562">
        <f ca="1">ROUND(D45*D78/(1+'数据-取费表'!C42),0)</f>
        <v>21</v>
      </c>
      <c r="D78" s="2563">
        <f>'数据-取费表'!B43</f>
        <v>6.0000000000000001E-3</v>
      </c>
      <c r="E78" s="3739" t="s">
        <v>1504</v>
      </c>
      <c r="F78" s="3740"/>
      <c r="G78" s="3740"/>
      <c r="H78" s="3741"/>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1482</v>
      </c>
      <c r="B79" s="2536" t="s">
        <v>1505</v>
      </c>
      <c r="C79" s="2539">
        <f ca="1">C72-C73</f>
        <v>3533</v>
      </c>
      <c r="D79" s="555"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1485</v>
      </c>
      <c r="B80" s="2536" t="s">
        <v>1506</v>
      </c>
      <c r="C80" s="2567">
        <f ca="1">IF(C79&lt;=0,0,C79/C73)</f>
        <v>168.23809523809524</v>
      </c>
      <c r="D80" s="555"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1507</v>
      </c>
      <c r="B81" s="2541" t="s">
        <v>1508</v>
      </c>
      <c r="C81" s="2568">
        <f ca="1">ROUND(IF(C79&lt;=0,0,IF(C80&gt;=200%,C79*60%-C73*35%,IF(C80&gt;=100%,C79*50%-C73*15%,IF(C80&gt;=50%,C79*40%-C73*5%,IF(C80&lt;50%,C79*30%,0))))),0)</f>
        <v>2112</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3"/>
      <c r="D82" s="723"/>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742" t="s">
        <v>1509</v>
      </c>
      <c r="B83" s="3743"/>
      <c r="C83" s="3743"/>
      <c r="D83" s="3743"/>
      <c r="E83" s="3743"/>
      <c r="F83" s="3743"/>
      <c r="G83" s="3743"/>
      <c r="H83" s="3743"/>
      <c r="I83" s="841"/>
      <c r="J83" s="3545" t="s">
        <v>3338</v>
      </c>
      <c r="K83" s="3545" t="s">
        <v>3339</v>
      </c>
      <c r="L83" s="3545" t="s">
        <v>3340</v>
      </c>
      <c r="M83" s="3545" t="s">
        <v>3337</v>
      </c>
      <c r="N83" s="3545" t="s">
        <v>3341</v>
      </c>
      <c r="O83" s="3545" t="s">
        <v>3342</v>
      </c>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744" t="s">
        <v>1464</v>
      </c>
      <c r="B84" s="3745"/>
      <c r="C84" s="569"/>
      <c r="D84" s="569" t="s">
        <v>1465</v>
      </c>
      <c r="E84" s="2548" t="s">
        <v>1415</v>
      </c>
      <c r="F84" s="2549"/>
      <c r="G84" s="2549"/>
      <c r="H84" s="2576"/>
      <c r="I84" s="841"/>
      <c r="J84" s="3546">
        <f>'数据-汇总表'!F27</f>
        <v>38.93</v>
      </c>
      <c r="K84" s="3546"/>
      <c r="L84" s="3546">
        <f>抵押物清单!T2</f>
        <v>330</v>
      </c>
      <c r="M84" s="3546">
        <f>抵押物清单!AB2</f>
        <v>1.5</v>
      </c>
      <c r="N84" s="3546">
        <f>抵押物清单!Z2</f>
        <v>842.2</v>
      </c>
      <c r="O84" s="3546">
        <f>抵押物清单!AA2</f>
        <v>150</v>
      </c>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1466</v>
      </c>
      <c r="B85" s="2536" t="s">
        <v>1490</v>
      </c>
      <c r="C85" s="2539">
        <f ca="1">ROUND(D45/(1+'数据-取费表'!C42),0)</f>
        <v>3554</v>
      </c>
      <c r="D85" s="555" t="s">
        <v>124</v>
      </c>
      <c r="E85" s="2022"/>
      <c r="F85" s="2023"/>
      <c r="G85" s="2023"/>
      <c r="H85" s="2577"/>
      <c r="I85" s="841"/>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1477</v>
      </c>
      <c r="B86" s="2463" t="s">
        <v>1491</v>
      </c>
      <c r="C86" s="2539" t="e">
        <f ca="1">IF(H88="仅含出让金",C87+C90+C91+C92+C93+C94,C87+C91+C92+C93+C94)</f>
        <v>#N/A</v>
      </c>
      <c r="D86" s="2578"/>
      <c r="E86" s="2022"/>
      <c r="F86" s="2023"/>
      <c r="G86" s="2023"/>
      <c r="H86" s="2577"/>
      <c r="I86" s="841"/>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1470</v>
      </c>
      <c r="B87" s="555" t="s">
        <v>1510</v>
      </c>
      <c r="C87" s="2562">
        <f>C88+C89</f>
        <v>4</v>
      </c>
      <c r="D87" s="2563"/>
      <c r="E87" s="2564"/>
      <c r="F87" s="2565"/>
      <c r="G87" s="2565"/>
      <c r="H87" s="2566"/>
      <c r="I87" s="841"/>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1493</v>
      </c>
      <c r="B88" s="555" t="s">
        <v>1511</v>
      </c>
      <c r="C88" s="2579">
        <f>ROUND(J84/M84*L84/10000+N84*J84/10000+K84*O84/10000,0)</f>
        <v>4</v>
      </c>
      <c r="D88" s="2563"/>
      <c r="E88" s="2580" t="s">
        <v>1512</v>
      </c>
      <c r="F88" s="2565"/>
      <c r="G88" s="2581" t="s">
        <v>1513</v>
      </c>
      <c r="H88" s="2582" t="s">
        <v>1514</v>
      </c>
      <c r="I88" s="841"/>
      <c r="J88" s="2616" t="s">
        <v>1515</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1497</v>
      </c>
      <c r="B89" s="555" t="s">
        <v>1501</v>
      </c>
      <c r="C89" s="2562">
        <f>ROUND(C88*D89,0)</f>
        <v>0</v>
      </c>
      <c r="D89" s="2563">
        <f>'数据-取费表'!B48+'数据-取费表'!B49</f>
        <v>3.0499999999999999E-2</v>
      </c>
      <c r="E89" s="2580" t="s">
        <v>1516</v>
      </c>
      <c r="F89" s="2565"/>
      <c r="G89" s="2565"/>
      <c r="H89" s="2566"/>
      <c r="I89" s="841"/>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1474</v>
      </c>
      <c r="B90" s="555" t="s">
        <v>1517</v>
      </c>
      <c r="C90" s="2579"/>
      <c r="D90" s="2563"/>
      <c r="E90" s="2580" t="str">
        <f>IF(H88="-","土地取得成本中已包含该笔费用"," ")</f>
        <v xml:space="preserve"> </v>
      </c>
      <c r="F90" s="2565"/>
      <c r="G90" s="3746" t="s">
        <v>1518</v>
      </c>
      <c r="H90" s="3747"/>
      <c r="I90" s="841"/>
      <c r="J90" s="2616" t="s">
        <v>1519</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1520</v>
      </c>
      <c r="B91" s="555" t="s">
        <v>1521</v>
      </c>
      <c r="C91" s="2562" t="e">
        <f ca="1">IF(H91="——",成本法!C33,I91)</f>
        <v>#N/A</v>
      </c>
      <c r="D91" s="2563"/>
      <c r="E91" s="3739" t="s">
        <v>1522</v>
      </c>
      <c r="F91" s="3740"/>
      <c r="G91" s="3740"/>
      <c r="H91" s="2583" t="s">
        <v>124</v>
      </c>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1523</v>
      </c>
      <c r="B92" s="555" t="s">
        <v>1524</v>
      </c>
      <c r="C92" s="2562" t="e">
        <f ca="1">ROUND((C87+C90+C91)*D92,0)</f>
        <v>#N/A</v>
      </c>
      <c r="D92" s="2584">
        <v>0.1</v>
      </c>
      <c r="E92" s="3739" t="s">
        <v>1525</v>
      </c>
      <c r="F92" s="3740"/>
      <c r="G92" s="3740"/>
      <c r="H92" s="3741"/>
      <c r="I92" s="841"/>
      <c r="J92" s="2618" t="s">
        <v>1526</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1527</v>
      </c>
      <c r="B93" s="555" t="s">
        <v>1503</v>
      </c>
      <c r="C93" s="2562">
        <f ca="1">ROUND(D45*D93/(1+'数据-取费表'!C42),0)</f>
        <v>21</v>
      </c>
      <c r="D93" s="2563">
        <f>'数据-取费表'!B43</f>
        <v>6.0000000000000001E-3</v>
      </c>
      <c r="E93" s="3739" t="s">
        <v>1504</v>
      </c>
      <c r="F93" s="3740"/>
      <c r="G93" s="3740"/>
      <c r="H93" s="3741"/>
      <c r="I93" s="841"/>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1528</v>
      </c>
      <c r="B94" s="555" t="s">
        <v>1529</v>
      </c>
      <c r="C94" s="2579" t="e">
        <f ca="1">ROUND((C87+C90+C91)*D94,0)</f>
        <v>#N/A</v>
      </c>
      <c r="D94" s="2563">
        <v>0.2</v>
      </c>
      <c r="E94" s="3750" t="s">
        <v>1530</v>
      </c>
      <c r="F94" s="3751"/>
      <c r="G94" s="3751"/>
      <c r="H94" s="3752"/>
      <c r="I94" s="841"/>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1482</v>
      </c>
      <c r="B95" s="2536" t="s">
        <v>1505</v>
      </c>
      <c r="C95" s="2539" t="e">
        <f ca="1">ROUND(C85-C86,0)</f>
        <v>#N/A</v>
      </c>
      <c r="D95" s="555" t="s">
        <v>124</v>
      </c>
      <c r="E95" s="2022"/>
      <c r="F95" s="2023"/>
      <c r="G95" s="2023"/>
      <c r="H95" s="2577"/>
      <c r="I95" s="841"/>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1485</v>
      </c>
      <c r="B96" s="2536" t="s">
        <v>1506</v>
      </c>
      <c r="C96" s="2567" t="e">
        <f ca="1">IF(C95&lt;=0,0,C95/C86)</f>
        <v>#N/A</v>
      </c>
      <c r="D96" s="555" t="s">
        <v>124</v>
      </c>
      <c r="E96" s="2145" t="e">
        <f ca="1">IF(C96&gt;=200%,"增值额超过扣除项目金额200%",IF(C96&gt;=100%,"增值额超过扣除项目金额100%，未超过200%",IF(C96&gt;=50%,"增值额超过扣除项目金额50%，未超过100%",IF(C96&lt;50%,"增值额未超过扣除项目金额50%"))))</f>
        <v>#N/A</v>
      </c>
      <c r="F96" s="2023"/>
      <c r="G96" s="2023"/>
      <c r="H96" s="2577"/>
      <c r="I96" s="841"/>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1507</v>
      </c>
      <c r="B97" s="2541" t="s">
        <v>1508</v>
      </c>
      <c r="C97" s="2568" t="e">
        <f ca="1">ROUND(IF(C95&lt;=0,0,IF(C96&gt;=200%,C95*60%-C86*35%,IF(C96&gt;=100%,C95*50%-C86*15%,IF(C96&gt;=50%,C95*40%-C86*5%,IF(C96&lt;50%,C95*30%,0))))),0)</f>
        <v>#N/A</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71"/>
      <c r="G97" s="2571"/>
      <c r="H97" s="2585"/>
      <c r="I97" s="841"/>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1531</v>
      </c>
      <c r="B99" s="2364"/>
      <c r="C99" s="2364"/>
      <c r="D99" s="2364"/>
      <c r="E99" s="2490"/>
      <c r="F99" s="2490"/>
      <c r="G99" s="2490"/>
      <c r="H99" s="2450"/>
      <c r="I99" s="992"/>
    </row>
    <row r="100" spans="1:35" ht="18.75" customHeight="1">
      <c r="A100" s="3683" t="s">
        <v>1532</v>
      </c>
      <c r="B100" s="3684"/>
      <c r="C100" s="3684"/>
      <c r="D100" s="3753"/>
      <c r="E100" s="3684" t="s">
        <v>1533</v>
      </c>
      <c r="F100" s="3684"/>
      <c r="G100" s="3684"/>
      <c r="H100" s="3753"/>
      <c r="I100" s="992"/>
    </row>
    <row r="101" spans="1:35" ht="18.75" customHeight="1">
      <c r="A101" s="3754" t="s">
        <v>1534</v>
      </c>
      <c r="B101" s="3755"/>
      <c r="C101" s="2587" t="str">
        <f>C4</f>
        <v>比较法-工业</v>
      </c>
      <c r="D101" s="2588" t="str">
        <f>D4</f>
        <v>收益法(元)</v>
      </c>
      <c r="E101" s="3756" t="s">
        <v>1535</v>
      </c>
      <c r="F101" s="3757"/>
      <c r="G101" s="2590" t="s">
        <v>1536</v>
      </c>
      <c r="H101" s="3574">
        <f ca="1">典型户型修正!S22</f>
        <v>6665</v>
      </c>
      <c r="I101" s="992"/>
    </row>
    <row r="102" spans="1:35" ht="18.75" customHeight="1">
      <c r="A102" s="3758" t="s">
        <v>1537</v>
      </c>
      <c r="B102" s="2592" t="s">
        <v>1536</v>
      </c>
      <c r="C102" s="2587">
        <f ca="1">IF(D32="楼面单价",ROUND(C19,0),C19)</f>
        <v>60</v>
      </c>
      <c r="D102" s="2588">
        <f ca="1">IF(D32="楼面单价",ROUND(D19,0),D19)</f>
        <v>48</v>
      </c>
      <c r="E102" s="3756"/>
      <c r="F102" s="3757"/>
      <c r="G102" s="2590" t="s">
        <v>99</v>
      </c>
      <c r="H102" s="2479">
        <f ca="1">I118</f>
        <v>13946</v>
      </c>
      <c r="I102" s="992"/>
    </row>
    <row r="103" spans="1:35" ht="42.75" customHeight="1">
      <c r="A103" s="3758"/>
      <c r="B103" s="2592" t="s">
        <v>99</v>
      </c>
      <c r="C103" s="2593">
        <f ca="1">C20</f>
        <v>15464</v>
      </c>
      <c r="D103" s="2594">
        <f ca="1">D20</f>
        <v>12428</v>
      </c>
      <c r="E103" s="3759" t="s">
        <v>1538</v>
      </c>
      <c r="F103" s="3760"/>
      <c r="G103" s="2595" t="s">
        <v>102</v>
      </c>
      <c r="H103" s="2591">
        <f>IF(D36="正常操作",H104+H105+H106,H105+H106)</f>
        <v>0</v>
      </c>
      <c r="I103" s="992"/>
    </row>
    <row r="104" spans="1:35" ht="18.75" customHeight="1">
      <c r="A104" s="3758" t="s">
        <v>1539</v>
      </c>
      <c r="B104" s="2596" t="s">
        <v>1536</v>
      </c>
      <c r="C104" s="2597">
        <f ca="1">H118</f>
        <v>54</v>
      </c>
      <c r="D104" s="2598"/>
      <c r="E104" s="2435" t="s">
        <v>1540</v>
      </c>
      <c r="F104" s="2599"/>
      <c r="G104" s="2595" t="s">
        <v>102</v>
      </c>
      <c r="H104" s="2600">
        <f>IF(D36="同一抵押权人同一抵押物续贷",C36&amp;"（续贷，未扣减，详见特别提示）",C36)</f>
        <v>0</v>
      </c>
      <c r="I104" s="992"/>
    </row>
    <row r="105" spans="1:35" ht="18.75" customHeight="1">
      <c r="A105" s="3766"/>
      <c r="B105" s="2601" t="s">
        <v>99</v>
      </c>
      <c r="C105" s="2602">
        <f ca="1">I118</f>
        <v>13946</v>
      </c>
      <c r="D105" s="2603"/>
      <c r="E105" s="2435" t="s">
        <v>1541</v>
      </c>
      <c r="F105" s="2599"/>
      <c r="G105" s="2595" t="s">
        <v>102</v>
      </c>
      <c r="H105" s="2604">
        <f>C37</f>
        <v>0</v>
      </c>
      <c r="I105" s="992"/>
    </row>
    <row r="106" spans="1:35" ht="18.75" customHeight="1">
      <c r="A106" s="2364" t="s">
        <v>1542</v>
      </c>
      <c r="B106" s="2364"/>
      <c r="C106" s="2364"/>
      <c r="D106" s="2364"/>
      <c r="E106" s="2605" t="s">
        <v>1543</v>
      </c>
      <c r="F106" s="2599"/>
      <c r="G106" s="2595" t="s">
        <v>102</v>
      </c>
      <c r="H106" s="2604">
        <f>C38</f>
        <v>0</v>
      </c>
      <c r="I106" s="992"/>
    </row>
    <row r="107" spans="1:35" ht="18.75" customHeight="1">
      <c r="A107" s="992"/>
      <c r="B107" s="992"/>
      <c r="C107" s="992"/>
      <c r="D107" s="992"/>
      <c r="E107" s="3767" t="str">
        <f>IF(项目基本情况!E8="已注销","——","3.房地产抵押价值")</f>
        <v>3.房地产抵押价值</v>
      </c>
      <c r="F107" s="3757"/>
      <c r="G107" s="2590" t="s">
        <v>1536</v>
      </c>
      <c r="H107" s="2591">
        <f ca="1">IF(E107="——","——",H101-H103)</f>
        <v>6665</v>
      </c>
      <c r="I107" s="992"/>
    </row>
    <row r="108" spans="1:35" ht="18.75" customHeight="1">
      <c r="A108" s="992"/>
      <c r="B108" s="992"/>
      <c r="C108" s="992"/>
      <c r="D108" s="992"/>
      <c r="E108" s="3767"/>
      <c r="F108" s="3757"/>
      <c r="G108" s="2590" t="s">
        <v>99</v>
      </c>
      <c r="H108" s="2479">
        <f ca="1">IF(H107=H101,H102,ROUND(H107*10000/'数据-汇总表'!E3,0))</f>
        <v>13946</v>
      </c>
      <c r="I108" s="992"/>
    </row>
    <row r="109" spans="1:35" ht="18.75" customHeight="1">
      <c r="A109" s="992"/>
      <c r="B109" s="992"/>
      <c r="C109" s="992"/>
      <c r="D109" s="992"/>
      <c r="E109" s="3767" t="str">
        <f>IF(项目基本情况!E8="已注销及未注销","4.抵押担保权已注销时的房地产抵押价值",IF(项目基本情况!E8="已注销","3.抵押担保权已注销时的房地产抵押价值","——"))</f>
        <v>——</v>
      </c>
      <c r="F109" s="3757"/>
      <c r="G109" s="2590" t="s">
        <v>1536</v>
      </c>
      <c r="H109" s="2606" t="str">
        <f>IF(E109="——","——",H101-H105-H106)</f>
        <v>——</v>
      </c>
      <c r="I109" s="992"/>
    </row>
    <row r="110" spans="1:35" ht="18.75" customHeight="1">
      <c r="A110" s="992"/>
      <c r="B110" s="992"/>
      <c r="C110" s="992"/>
      <c r="D110" s="992"/>
      <c r="E110" s="3767"/>
      <c r="F110" s="3757"/>
      <c r="G110" s="2590" t="s">
        <v>99</v>
      </c>
      <c r="H110" s="2479" t="str">
        <f>IF(H109="——","——",ROUND(H109*10000/'数据-汇总表'!E3,0))</f>
        <v>——</v>
      </c>
      <c r="I110" s="992"/>
    </row>
    <row r="111" spans="1:35" ht="18.75" customHeight="1">
      <c r="A111" s="992"/>
      <c r="B111" s="992"/>
      <c r="C111" s="992"/>
      <c r="D111" s="992"/>
      <c r="E111" s="3768" t="str">
        <f>IF(项目基本情况!E9="抵押净值",IF(OR(项目基本情况!E8="已注销",项目基本情况!E8="房地产抵押价值"),"4.抵押净值","5.抵押净值"),"——")</f>
        <v>4.抵押净值</v>
      </c>
      <c r="F111" s="3769"/>
      <c r="G111" s="2590" t="s">
        <v>1536</v>
      </c>
      <c r="H111" s="2591">
        <f ca="1">IF(E111="——","——",N59)</f>
        <v>6464</v>
      </c>
      <c r="I111" s="992"/>
    </row>
    <row r="112" spans="1:35" ht="18.75" customHeight="1">
      <c r="A112" s="992"/>
      <c r="B112" s="992"/>
      <c r="C112" s="992"/>
      <c r="D112" s="992"/>
      <c r="E112" s="3770"/>
      <c r="F112" s="3771"/>
      <c r="G112" s="2607" t="s">
        <v>99</v>
      </c>
      <c r="H112" s="2608">
        <f ca="1">IF(E111="——","——",N61)</f>
        <v>1660416</v>
      </c>
      <c r="I112" s="992"/>
    </row>
    <row r="113" spans="1:27" ht="18.75" customHeight="1">
      <c r="A113" s="992"/>
      <c r="B113" s="992"/>
      <c r="C113" s="992"/>
      <c r="D113" s="992"/>
      <c r="E113" s="3772" t="s">
        <v>1542</v>
      </c>
      <c r="F113" s="3772"/>
      <c r="G113" s="3772"/>
      <c r="H113" s="3772"/>
      <c r="I113" s="992"/>
    </row>
    <row r="114" spans="1:27" ht="3.75" customHeight="1">
      <c r="A114" s="2364"/>
      <c r="B114" s="2364"/>
      <c r="C114" s="2364"/>
      <c r="D114" s="2364"/>
      <c r="E114" s="2489"/>
      <c r="F114" s="2489"/>
      <c r="G114" s="2489"/>
      <c r="H114" s="2489"/>
      <c r="I114" s="2364"/>
    </row>
    <row r="115" spans="1:27" ht="18.75" customHeight="1">
      <c r="A115" s="3773" t="s">
        <v>1544</v>
      </c>
      <c r="B115" s="3774"/>
      <c r="C115" s="3774"/>
      <c r="D115" s="3774"/>
      <c r="E115" s="3774"/>
      <c r="F115" s="3774"/>
      <c r="G115" s="3774"/>
      <c r="H115" s="3774"/>
      <c r="I115" s="3775"/>
    </row>
    <row r="116" spans="1:27" ht="27" customHeight="1">
      <c r="A116" s="3689" t="s">
        <v>1545</v>
      </c>
      <c r="B116" s="3761" t="s">
        <v>1546</v>
      </c>
      <c r="C116" s="3761" t="s">
        <v>1547</v>
      </c>
      <c r="D116" s="3763" t="s">
        <v>1548</v>
      </c>
      <c r="E116" s="3764"/>
      <c r="F116" s="3765" t="s">
        <v>1549</v>
      </c>
      <c r="G116" s="3765"/>
      <c r="H116" s="3689" t="s">
        <v>1550</v>
      </c>
      <c r="I116" s="3689"/>
    </row>
    <row r="117" spans="1:27" ht="18.75" customHeight="1">
      <c r="A117" s="3689"/>
      <c r="B117" s="3762"/>
      <c r="C117" s="3762"/>
      <c r="D117" s="2374" t="s">
        <v>1551</v>
      </c>
      <c r="E117" s="2374" t="s">
        <v>1373</v>
      </c>
      <c r="F117" s="2374" t="s">
        <v>1551</v>
      </c>
      <c r="G117" s="2374" t="s">
        <v>1373</v>
      </c>
      <c r="H117" s="2374" t="s">
        <v>1551</v>
      </c>
      <c r="I117" s="2374" t="s">
        <v>1373</v>
      </c>
    </row>
    <row r="118" spans="1:27" ht="24.75" customHeight="1">
      <c r="A118" s="2609" t="str">
        <f>项目基本情况!S2</f>
        <v>北京市兴盛国际房地产</v>
      </c>
      <c r="B118" s="2374">
        <f>M18</f>
        <v>38.93</v>
      </c>
      <c r="C118" s="2374">
        <f>M19</f>
        <v>0</v>
      </c>
      <c r="D118" s="2374">
        <f>ROUND(IF(D32="总价",C34,E118*B118/10000),0)</f>
        <v>0</v>
      </c>
      <c r="E118" s="2374">
        <f>ROUND(IF(C33="自定义",IF(D32="楼面单价",C34,D118*10000/B118),I118-G118),0)</f>
        <v>0</v>
      </c>
      <c r="F118" s="2374">
        <f>ROUND(IF(D32="总价",C35,G118*B118/10000),0)</f>
        <v>0</v>
      </c>
      <c r="G118" s="2374">
        <f>ROUND(IF(D32="楼面单价",C35,F118*10000/B118),0)</f>
        <v>0</v>
      </c>
      <c r="H118" s="2374">
        <f ca="1">ROUND(IF(D32="总价",C32,I118*B118/10000),0)</f>
        <v>54</v>
      </c>
      <c r="I118" s="2374">
        <f ca="1">ROUND(IF(D32="楼面单价",C32,H118*10000/B118),0)</f>
        <v>13946</v>
      </c>
    </row>
    <row r="119" spans="1:27" ht="18.75" customHeight="1">
      <c r="A119" s="3689" t="s">
        <v>1552</v>
      </c>
      <c r="B119" s="3689"/>
      <c r="C119" s="3689"/>
      <c r="D119" s="3776" t="str">
        <f>NUMBERSTRING(INT(D118*10000),2)&amp;"元整"</f>
        <v>零元整</v>
      </c>
      <c r="E119" s="3778"/>
      <c r="F119" s="3776" t="str">
        <f>NUMBERSTRING(INT(F118*10000),2)&amp;"元整"</f>
        <v>零元整</v>
      </c>
      <c r="G119" s="3778"/>
      <c r="H119" s="3776" t="str">
        <f ca="1">NUMBERSTRING(INT(H118*10000),2)&amp;"元整"</f>
        <v>伍拾肆万元整</v>
      </c>
      <c r="I119" s="3778"/>
    </row>
    <row r="120" spans="1:27" ht="18.75" customHeight="1">
      <c r="A120" s="3779" t="str">
        <f>IF(项目基本情况!B9="房地产市场价值","",MID(E103,3,LEN(E103)-2))</f>
        <v>估价师知悉的法定优先受偿款</v>
      </c>
      <c r="B120" s="3780"/>
      <c r="C120" s="3781"/>
      <c r="D120" s="3779">
        <f>H103</f>
        <v>0</v>
      </c>
      <c r="E120" s="3780"/>
      <c r="F120" s="3780"/>
      <c r="G120" s="3780"/>
      <c r="H120" s="3780"/>
      <c r="I120" s="3781"/>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776" t="s">
        <v>1552</v>
      </c>
      <c r="B121" s="3777"/>
      <c r="C121" s="3778"/>
      <c r="D121" s="3776" t="str">
        <f>IF(D120=0,"零元整",NUMBERSTRING(INT(D120*10000),2)&amp;"元整")</f>
        <v>零元整</v>
      </c>
      <c r="E121" s="3777"/>
      <c r="F121" s="3777"/>
      <c r="G121" s="3777"/>
      <c r="H121" s="3777"/>
      <c r="I121" s="3778"/>
      <c r="AA121" s="951"/>
    </row>
    <row r="122" spans="1:27" ht="18.75" customHeight="1">
      <c r="A122" s="3769" t="str">
        <f>IF(项目基本情况!B9="房地产市场价值","",MID(E107,3,LEN(E107)-2))</f>
        <v>房地产抵押价值</v>
      </c>
      <c r="B122" s="3769"/>
      <c r="C122" s="3769"/>
      <c r="D122" s="3779">
        <f ca="1">H107</f>
        <v>6665</v>
      </c>
      <c r="E122" s="3780"/>
      <c r="F122" s="3780"/>
      <c r="G122" s="3780"/>
      <c r="H122" s="3780"/>
      <c r="I122" s="3781"/>
      <c r="AA122" s="951"/>
    </row>
    <row r="123" spans="1:27" ht="18.75" customHeight="1">
      <c r="A123" s="3689" t="s">
        <v>1552</v>
      </c>
      <c r="B123" s="3689"/>
      <c r="C123" s="3689"/>
      <c r="D123" s="3776" t="str">
        <f ca="1">NUMBERSTRING(INT(D122*10000),2)&amp;"元整"</f>
        <v>陆仟陆佰陆拾伍万元整</v>
      </c>
      <c r="E123" s="3777"/>
      <c r="F123" s="3777"/>
      <c r="G123" s="3777"/>
      <c r="H123" s="3777"/>
      <c r="I123" s="3778"/>
      <c r="AA123" s="951"/>
    </row>
    <row r="124" spans="1:27" ht="18.75" customHeight="1">
      <c r="A124" s="3769" t="str">
        <f>IF(项目基本情况!B9="房地产市场价值","",MID(E109,3,LEN(E109)-2))</f>
        <v/>
      </c>
      <c r="B124" s="3769"/>
      <c r="C124" s="3769"/>
      <c r="D124" s="3779" t="str">
        <f>H109</f>
        <v>——</v>
      </c>
      <c r="E124" s="3780"/>
      <c r="F124" s="3780"/>
      <c r="G124" s="3780"/>
      <c r="H124" s="3780"/>
      <c r="I124" s="3781"/>
      <c r="AA124" s="951"/>
    </row>
    <row r="125" spans="1:27" ht="18.75" customHeight="1">
      <c r="A125" s="3689" t="s">
        <v>1552</v>
      </c>
      <c r="B125" s="3689"/>
      <c r="C125" s="3689"/>
      <c r="D125" s="3776" t="e">
        <f>NUMBERSTRING(INT(D124*10000),2)&amp;"元整"</f>
        <v>#VALUE!</v>
      </c>
      <c r="E125" s="3777"/>
      <c r="F125" s="3777"/>
      <c r="G125" s="3777"/>
      <c r="H125" s="3777"/>
      <c r="I125" s="3778"/>
      <c r="AA125" s="951"/>
    </row>
    <row r="126" spans="1:27" ht="18.75" customHeight="1">
      <c r="A126" s="3769" t="str">
        <f>IF(项目基本情况!B9="房地产市场价值","",MID(E111,3,LEN(E111)-2))</f>
        <v>抵押净值</v>
      </c>
      <c r="B126" s="3769"/>
      <c r="C126" s="3769"/>
      <c r="D126" s="3779">
        <f ca="1">H111</f>
        <v>6464</v>
      </c>
      <c r="E126" s="3780"/>
      <c r="F126" s="3780"/>
      <c r="G126" s="3780"/>
      <c r="H126" s="3780"/>
      <c r="I126" s="3781"/>
      <c r="AA126" s="951"/>
    </row>
    <row r="127" spans="1:27" ht="18.75" customHeight="1">
      <c r="A127" s="3689" t="s">
        <v>1552</v>
      </c>
      <c r="B127" s="3689"/>
      <c r="C127" s="3689"/>
      <c r="D127" s="3776" t="str">
        <f ca="1">NUMBERSTRING(INT(D126*10000),2)&amp;"元整"</f>
        <v>陆仟肆佰陆拾肆万元整</v>
      </c>
      <c r="E127" s="3777"/>
      <c r="F127" s="3777"/>
      <c r="G127" s="3777"/>
      <c r="H127" s="3777"/>
      <c r="I127" s="3778"/>
      <c r="AA127" s="951"/>
    </row>
    <row r="128" spans="1:27" ht="21.75" customHeight="1">
      <c r="A128" s="3782" t="s">
        <v>113</v>
      </c>
      <c r="B128" s="3782"/>
      <c r="C128" s="3782"/>
      <c r="D128" s="3782"/>
      <c r="E128" s="3782"/>
      <c r="F128" s="3782"/>
      <c r="G128" s="3782"/>
      <c r="H128" s="3782"/>
      <c r="I128" s="3782"/>
      <c r="AA128" s="951"/>
    </row>
    <row r="129" spans="1:35" ht="21.75" customHeight="1">
      <c r="A129" s="2620" t="s">
        <v>1553</v>
      </c>
      <c r="B129" s="2621"/>
      <c r="C129" s="2622" t="s">
        <v>1554</v>
      </c>
      <c r="D129" s="2623"/>
      <c r="E129" s="2623"/>
      <c r="F129" s="2623"/>
      <c r="G129" s="2623"/>
      <c r="H129" s="2624"/>
      <c r="I129" s="2639"/>
      <c r="AA129" s="951"/>
    </row>
    <row r="130" spans="1:35" ht="21.75" customHeight="1">
      <c r="A130" s="2625">
        <v>1</v>
      </c>
      <c r="B130" s="2626"/>
      <c r="C130" s="2626"/>
      <c r="D130" s="2627"/>
      <c r="E130" s="2627"/>
      <c r="F130" s="2627"/>
      <c r="G130" s="2627"/>
      <c r="H130" s="2628"/>
      <c r="I130" s="2640"/>
      <c r="AA130" s="951"/>
    </row>
    <row r="131" spans="1:35" ht="21.75" customHeight="1">
      <c r="A131" s="2625">
        <v>2</v>
      </c>
      <c r="B131" s="2626"/>
      <c r="C131" s="2626"/>
      <c r="D131" s="2627"/>
      <c r="E131" s="2627"/>
      <c r="F131" s="2627"/>
      <c r="G131" s="2627"/>
      <c r="H131" s="2628"/>
      <c r="I131" s="2640"/>
      <c r="AA131" s="951"/>
    </row>
    <row r="132" spans="1:35" ht="21.75" customHeight="1">
      <c r="A132" s="2625">
        <v>3</v>
      </c>
      <c r="B132" s="2626"/>
      <c r="C132" s="2626"/>
      <c r="D132" s="2627"/>
      <c r="E132" s="2627"/>
      <c r="F132" s="2627"/>
      <c r="G132" s="2627"/>
      <c r="H132" s="2628"/>
      <c r="I132" s="2640"/>
      <c r="AA132" s="951"/>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1"/>
    </row>
    <row r="135" spans="1:35" ht="21.75" customHeight="1">
      <c r="A135" s="951"/>
      <c r="B135" s="951"/>
      <c r="C135" s="951"/>
      <c r="D135" s="951"/>
      <c r="E135" s="951"/>
      <c r="F135" s="2633" t="s">
        <v>1555</v>
      </c>
      <c r="G135" s="2634"/>
      <c r="H135" s="2634"/>
      <c r="I135" s="2642" t="s">
        <v>1556</v>
      </c>
    </row>
    <row r="136" spans="1:35" ht="21.75" customHeight="1">
      <c r="A136" s="951"/>
      <c r="B136" s="2635" t="s">
        <v>1557</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4"/>
      <c r="C138" s="2634"/>
      <c r="D138" s="2634"/>
      <c r="E138" s="2634"/>
      <c r="F138" s="2634"/>
      <c r="G138" s="2634"/>
      <c r="H138" s="2634"/>
      <c r="I138" s="2642" t="s">
        <v>1558</v>
      </c>
    </row>
    <row r="139" spans="1:35" ht="21.75" customHeight="1">
      <c r="A139" s="951"/>
      <c r="B139" s="2635" t="s">
        <v>1559</v>
      </c>
      <c r="C139" s="951"/>
      <c r="D139" s="951"/>
      <c r="E139" s="951"/>
      <c r="F139" s="951"/>
      <c r="G139" s="951"/>
      <c r="H139" s="951"/>
      <c r="I139" s="951"/>
    </row>
    <row r="140" spans="1:35" ht="21.75" customHeight="1">
      <c r="A140" s="951"/>
      <c r="B140" s="2635"/>
      <c r="C140" s="951"/>
      <c r="D140" s="951"/>
      <c r="E140" s="951"/>
      <c r="F140" s="951"/>
      <c r="G140" s="951"/>
      <c r="H140" s="951"/>
      <c r="I140" s="951"/>
    </row>
    <row r="141" spans="1:35" ht="21.75" customHeight="1">
      <c r="A141" s="951"/>
      <c r="B141" s="2634"/>
      <c r="C141" s="2634"/>
      <c r="D141" s="2634"/>
      <c r="E141" s="2634"/>
      <c r="F141" s="2634"/>
      <c r="G141" s="2634"/>
      <c r="H141" s="2634"/>
      <c r="I141" s="2642" t="s">
        <v>1558</v>
      </c>
    </row>
    <row r="142" spans="1:35" ht="21.75" customHeight="1">
      <c r="A142" s="951"/>
      <c r="B142" s="2635"/>
      <c r="C142" s="2636"/>
      <c r="D142" s="2637"/>
      <c r="E142" s="2637"/>
      <c r="F142" s="2638"/>
      <c r="G142" s="951"/>
      <c r="H142" s="951"/>
      <c r="I142" s="951"/>
    </row>
    <row r="143" spans="1:35" s="948" customFormat="1" ht="21.75" customHeight="1">
      <c r="A143" s="951"/>
      <c r="B143" s="2635"/>
      <c r="C143" s="2636"/>
      <c r="D143" s="2637"/>
      <c r="E143" s="2637"/>
      <c r="F143" s="2638"/>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1"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1"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1"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1"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1"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1"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1"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1"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1"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1"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1"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1"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1"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1"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1"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1"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1"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1"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1"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1"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1"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1"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1"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1"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1"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1"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1"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1"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1"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1"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1"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1"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1"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1"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1"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1"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1"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1"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1"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1"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1"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1"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1"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1"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1"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1"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1"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1"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1"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1"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1"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1"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1"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1"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1"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1"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1"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1"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1"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1"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1"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1"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1"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1"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1"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1"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1"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1"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1"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1"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1"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1"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1"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1"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1"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1"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1"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1"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1"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1"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1"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1"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1"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1"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1"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1"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1"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1"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1"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1"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1"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1"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1"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1"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1"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1"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1"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1"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1"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1"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1"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1"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1"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1"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70" zoomScaleNormal="70" zoomScaleSheetLayoutView="70" workbookViewId="0">
      <selection activeCell="K52" sqref="K52"/>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5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2044</v>
      </c>
      <c r="B1" s="1655" t="s">
        <v>2136</v>
      </c>
      <c r="C1" s="1508" t="s">
        <v>2046</v>
      </c>
      <c r="D1" s="1451" t="s">
        <v>623</v>
      </c>
      <c r="E1" s="1656" t="s">
        <v>3344</v>
      </c>
      <c r="F1" s="1453" t="s">
        <v>2156</v>
      </c>
      <c r="G1" s="1454" t="s">
        <v>2047</v>
      </c>
      <c r="H1" s="1455"/>
      <c r="I1" s="1455"/>
      <c r="J1" s="1455"/>
      <c r="K1" s="1506"/>
      <c r="L1" s="1507"/>
      <c r="M1" s="1508"/>
      <c r="N1" s="1508"/>
      <c r="O1" s="1508"/>
      <c r="P1" s="1660"/>
      <c r="Q1" s="1669"/>
      <c r="R1" s="1669"/>
      <c r="S1" s="1669"/>
      <c r="T1" s="1669"/>
      <c r="U1" s="1669"/>
      <c r="V1" s="1669"/>
      <c r="W1" s="1669"/>
      <c r="X1" s="1669"/>
      <c r="Y1" s="1669"/>
      <c r="Z1" s="1669"/>
      <c r="AA1" s="1669"/>
      <c r="AB1" s="1669"/>
      <c r="AC1" s="1670"/>
    </row>
    <row r="2" spans="1:29" s="1068" customFormat="1" ht="28.5" customHeight="1">
      <c r="A2" s="1456" t="s">
        <v>1561</v>
      </c>
      <c r="B2" s="1457">
        <f>IF(E1="项目模式",IF(C2="——",ROUND(C49*D3/10000,0),ROUND(C49*D3/10000,0)-D2),IF(E1="单套模式",IF(C2="——",ROUND(C49*D3/10000,4),ROUND(C49*D3/10000,4)-D2)))</f>
        <v>0</v>
      </c>
      <c r="C2" s="1458" t="s">
        <v>124</v>
      </c>
      <c r="D2" s="1634" t="e">
        <f ca="1">IF(E1="项目模式",SUMIF(INDIRECT("'"&amp;F2&amp;"'"&amp;"!A:A"),"承租人权益价值",INDIRECT("'"&amp;F2&amp;"'"&amp;"!c:c")),SUMIF(INDIRECT("'"&amp;F2&amp;"'"&amp;"!A:A"),"承租人权益价值（单套）",INDIRECT("'"&amp;F2&amp;"'"&amp;"!c:c")))</f>
        <v>#REF!</v>
      </c>
      <c r="E2" s="1459" t="s">
        <v>1562</v>
      </c>
      <c r="F2" s="1460"/>
      <c r="G2" s="1084"/>
      <c r="H2" s="1084"/>
      <c r="I2" s="1084"/>
      <c r="J2" s="1084"/>
      <c r="K2" s="1084"/>
      <c r="L2" s="1233"/>
      <c r="M2" s="1234"/>
      <c r="N2" s="1234"/>
      <c r="O2" s="1234"/>
      <c r="P2" s="1661"/>
      <c r="Q2" s="1594"/>
      <c r="R2" s="1594"/>
      <c r="S2" s="1594"/>
      <c r="T2" s="1594"/>
      <c r="U2" s="1594"/>
      <c r="V2" s="1594"/>
      <c r="W2" s="1594"/>
      <c r="X2" s="1594"/>
      <c r="Y2" s="1594"/>
      <c r="Z2" s="1594"/>
      <c r="AA2" s="1594"/>
      <c r="AB2" s="1594"/>
      <c r="AC2" s="1671"/>
    </row>
    <row r="3" spans="1:29" s="1068" customFormat="1" ht="28.5" customHeight="1">
      <c r="A3" s="381" t="s">
        <v>1563</v>
      </c>
      <c r="B3" s="1086">
        <f>IF(C2="——",C49,ROUND(B2*10000/D3,0))</f>
        <v>34715</v>
      </c>
      <c r="C3" s="1461" t="s">
        <v>2048</v>
      </c>
      <c r="D3" s="1462">
        <f>IF(D1="",'数据-汇总表'!E3,SUMIF('数据-汇总表'!$C19:$C33,D1,'数据-汇总表'!$E19:$E33))</f>
        <v>0</v>
      </c>
      <c r="E3" s="1635"/>
      <c r="F3" s="1085"/>
      <c r="G3" s="1084"/>
      <c r="H3" s="1084"/>
      <c r="I3" s="1084"/>
      <c r="J3" s="1084"/>
      <c r="K3" s="1232"/>
      <c r="L3" s="1233"/>
      <c r="M3" s="1234"/>
      <c r="N3" s="1234"/>
      <c r="O3" s="1234"/>
      <c r="P3" s="1661"/>
      <c r="Q3" s="1594"/>
      <c r="R3" s="1594"/>
      <c r="S3" s="1594"/>
      <c r="T3" s="1594"/>
      <c r="U3" s="1594"/>
      <c r="V3" s="1594"/>
      <c r="W3" s="1594"/>
      <c r="X3" s="1594"/>
      <c r="Y3" s="1594"/>
      <c r="Z3" s="1594"/>
      <c r="AA3" s="1594"/>
      <c r="AB3" s="1594"/>
      <c r="AC3" s="1635"/>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3" t="s">
        <v>2052</v>
      </c>
      <c r="AC4" s="3810" t="s">
        <v>2053</v>
      </c>
    </row>
    <row r="5" spans="1:29" ht="15">
      <c r="A5" s="1090"/>
      <c r="B5" s="1091"/>
      <c r="C5" s="3852" t="s">
        <v>3345</v>
      </c>
      <c r="D5" s="3853"/>
      <c r="E5" s="3852" t="s">
        <v>3383</v>
      </c>
      <c r="F5" s="3853"/>
      <c r="G5" s="3852" t="s">
        <v>3383</v>
      </c>
      <c r="H5" s="3853"/>
      <c r="I5" s="3852" t="s">
        <v>3388</v>
      </c>
      <c r="J5" s="3853"/>
      <c r="K5" s="1235"/>
      <c r="L5" s="1236"/>
      <c r="M5" s="1237"/>
      <c r="N5" s="1237"/>
      <c r="O5" s="1237"/>
      <c r="P5" s="3816"/>
      <c r="Q5" s="3817"/>
      <c r="R5" s="3822"/>
      <c r="S5" s="3823"/>
      <c r="T5" s="3822"/>
      <c r="U5" s="3823"/>
      <c r="V5" s="3813"/>
      <c r="W5" s="3813"/>
      <c r="X5" s="1279"/>
      <c r="Y5" s="3822"/>
      <c r="Z5" s="3823"/>
      <c r="AA5" s="3811"/>
      <c r="AB5" s="3813"/>
      <c r="AC5" s="3811"/>
    </row>
    <row r="6" spans="1:29" ht="15">
      <c r="A6" s="1092"/>
      <c r="B6" s="1093"/>
      <c r="C6" s="3843" t="s">
        <v>2060</v>
      </c>
      <c r="D6" s="3844"/>
      <c r="E6" s="3845" t="s">
        <v>2060</v>
      </c>
      <c r="F6" s="3846"/>
      <c r="G6" s="3843" t="s">
        <v>2060</v>
      </c>
      <c r="H6" s="3844"/>
      <c r="I6" s="3843" t="s">
        <v>2060</v>
      </c>
      <c r="J6" s="3844"/>
      <c r="K6" s="1235" t="s">
        <v>2061</v>
      </c>
      <c r="L6" s="1236"/>
      <c r="M6" s="1237"/>
      <c r="N6" s="1237"/>
      <c r="O6" s="1237"/>
      <c r="P6" s="3818"/>
      <c r="Q6" s="3819"/>
      <c r="R6" s="3822"/>
      <c r="S6" s="3823"/>
      <c r="T6" s="3824"/>
      <c r="U6" s="3825"/>
      <c r="V6" s="3813"/>
      <c r="W6" s="3813"/>
      <c r="X6" s="1279"/>
      <c r="Y6" s="3824"/>
      <c r="Z6" s="3825"/>
      <c r="AA6" s="3812"/>
      <c r="AB6" s="3813"/>
      <c r="AC6" s="3812"/>
    </row>
    <row r="7" spans="1:29" s="1069" customFormat="1" ht="15">
      <c r="A7" s="1094" t="s">
        <v>2062</v>
      </c>
      <c r="B7" s="1095"/>
      <c r="C7" s="1096">
        <f>'数据-取费表'!B2</f>
        <v>45300</v>
      </c>
      <c r="D7" s="1097">
        <v>100</v>
      </c>
      <c r="E7" s="1098">
        <v>45292</v>
      </c>
      <c r="F7" s="1099">
        <f>SUMIF(58:58,YEAR(E7)&amp;"-"&amp;MONTH(E7),59:59)</f>
        <v>100</v>
      </c>
      <c r="G7" s="1098">
        <v>45292</v>
      </c>
      <c r="H7" s="1097">
        <f>SUMIF(58:58,YEAR(G7)&amp;"-"&amp;MONTH(G7),59:59)</f>
        <v>100</v>
      </c>
      <c r="I7" s="1098">
        <v>45292</v>
      </c>
      <c r="J7" s="1097">
        <f>SUMIF(58:58,YEAR(I7)&amp;"-"&amp;MONTH(I7),59:59)</f>
        <v>100</v>
      </c>
      <c r="K7" s="1238"/>
      <c r="L7" s="1239"/>
      <c r="M7" s="1240"/>
      <c r="N7" s="1240"/>
      <c r="O7" s="1240"/>
      <c r="P7" s="3831" t="s">
        <v>2063</v>
      </c>
      <c r="Q7" s="3847"/>
      <c r="R7" s="1280" t="s">
        <v>2064</v>
      </c>
      <c r="S7" s="1281">
        <f t="shared" ref="S7:S15" si="0">F7</f>
        <v>100</v>
      </c>
      <c r="T7" s="1280" t="s">
        <v>2064</v>
      </c>
      <c r="U7" s="1281">
        <f t="shared" ref="U7:U15" si="1">H7</f>
        <v>100</v>
      </c>
      <c r="V7" s="1280" t="s">
        <v>2064</v>
      </c>
      <c r="W7" s="1281">
        <f t="shared" ref="W7:W15" si="2">J7</f>
        <v>100</v>
      </c>
      <c r="X7" s="1282"/>
      <c r="Y7" s="3831" t="s">
        <v>2063</v>
      </c>
      <c r="Z7" s="3832"/>
      <c r="AA7" s="1294">
        <f>D7/F7</f>
        <v>1</v>
      </c>
      <c r="AB7" s="1294">
        <f>D7/H7</f>
        <v>1</v>
      </c>
      <c r="AC7" s="1294">
        <f>D7/J7</f>
        <v>1</v>
      </c>
    </row>
    <row r="8" spans="1:29" s="1069" customFormat="1" ht="15">
      <c r="A8" s="1094" t="s">
        <v>2065</v>
      </c>
      <c r="B8" s="1095"/>
      <c r="C8" s="1101" t="s">
        <v>1448</v>
      </c>
      <c r="D8" s="1097">
        <v>100</v>
      </c>
      <c r="E8" s="1101" t="s">
        <v>2157</v>
      </c>
      <c r="F8" s="1099">
        <f>SUMIF(61:61,E8,62:62)-SUMIF(61:61,C8,62:62)+100</f>
        <v>103</v>
      </c>
      <c r="G8" s="1101" t="s">
        <v>2157</v>
      </c>
      <c r="H8" s="1097">
        <f>SUMIF(61:61,G8,62:62)-SUMIF(61:61,C8,62:62)+100</f>
        <v>103</v>
      </c>
      <c r="I8" s="1101" t="s">
        <v>2157</v>
      </c>
      <c r="J8" s="1097">
        <f>SUMIF(61:61,I8,62:62)-SUMIF(61:61,C8,62:62)+100</f>
        <v>103</v>
      </c>
      <c r="K8" s="1238"/>
      <c r="L8" s="1239"/>
      <c r="M8" s="1240"/>
      <c r="N8" s="1240"/>
      <c r="O8" s="1240"/>
      <c r="P8" s="3831" t="s">
        <v>2066</v>
      </c>
      <c r="Q8" s="3832"/>
      <c r="R8" s="1280" t="s">
        <v>2064</v>
      </c>
      <c r="S8" s="1281">
        <f t="shared" si="0"/>
        <v>103</v>
      </c>
      <c r="T8" s="1280" t="s">
        <v>2064</v>
      </c>
      <c r="U8" s="1281">
        <f t="shared" si="1"/>
        <v>103</v>
      </c>
      <c r="V8" s="1280" t="s">
        <v>2064</v>
      </c>
      <c r="W8" s="1281">
        <f t="shared" si="2"/>
        <v>103</v>
      </c>
      <c r="X8" s="1282"/>
      <c r="Y8" s="3831" t="s">
        <v>2066</v>
      </c>
      <c r="Z8" s="3832"/>
      <c r="AA8" s="1294">
        <f t="shared" ref="AA8:AA46" si="3">D8/F8</f>
        <v>0.970873786407767</v>
      </c>
      <c r="AB8" s="1294">
        <f t="shared" ref="AB8:AB46" si="4">D8/H8</f>
        <v>0.970873786407767</v>
      </c>
      <c r="AC8" s="1294">
        <f t="shared" ref="AC8:AC46" si="5">D8/J8</f>
        <v>0.970873786407767</v>
      </c>
    </row>
    <row r="9" spans="1:29" s="1069" customFormat="1">
      <c r="A9" s="1102" t="s">
        <v>2067</v>
      </c>
      <c r="B9" s="1103" t="s">
        <v>2068</v>
      </c>
      <c r="C9" s="1585" t="s">
        <v>3366</v>
      </c>
      <c r="D9" s="1105">
        <v>100</v>
      </c>
      <c r="E9" s="1532" t="s">
        <v>919</v>
      </c>
      <c r="F9" s="1465">
        <f>SUMIF(63:63,E9,64:64)-SUMIF(63:63,C9,64:64)+100</f>
        <v>100</v>
      </c>
      <c r="G9" s="1532" t="s">
        <v>919</v>
      </c>
      <c r="H9" s="1105">
        <f>SUMIF(63:63,G9,64:64)-SUMIF(63:63,C9,64:64)+100</f>
        <v>100</v>
      </c>
      <c r="I9" s="1532" t="s">
        <v>919</v>
      </c>
      <c r="J9" s="1105">
        <f>SUMIF(63:63,I9,64:64)-SUMIF(63:63,C9,64:64)+100</f>
        <v>100</v>
      </c>
      <c r="K9" s="1238"/>
      <c r="L9" s="1239"/>
      <c r="M9" s="1240"/>
      <c r="N9" s="1240"/>
      <c r="O9" s="1240"/>
      <c r="P9" s="3833"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294">
        <f t="shared" si="5"/>
        <v>1</v>
      </c>
    </row>
    <row r="10" spans="1:29" s="1070" customFormat="1" ht="27">
      <c r="A10" s="1106"/>
      <c r="B10" s="1107" t="s">
        <v>2071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833"/>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294">
        <f t="shared" si="5"/>
        <v>1</v>
      </c>
    </row>
    <row r="11" spans="1:29" ht="15" hidden="1">
      <c r="A11" s="1110"/>
      <c r="B11" s="1107" t="s">
        <v>2072</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833"/>
      <c r="Q11" s="1284" t="str">
        <f t="shared" si="6"/>
        <v>容积率</v>
      </c>
      <c r="R11" s="1280" t="s">
        <v>2064</v>
      </c>
      <c r="S11" s="1281">
        <f t="shared" si="0"/>
        <v>100</v>
      </c>
      <c r="T11" s="1280" t="s">
        <v>2064</v>
      </c>
      <c r="U11" s="1281">
        <f t="shared" si="1"/>
        <v>100</v>
      </c>
      <c r="V11" s="1280" t="s">
        <v>2064</v>
      </c>
      <c r="W11" s="1281">
        <f t="shared" si="2"/>
        <v>100</v>
      </c>
      <c r="X11" s="1282"/>
      <c r="Y11" s="3690"/>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833"/>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833"/>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15" hidden="1">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833"/>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294">
        <f t="shared" si="5"/>
        <v>1</v>
      </c>
    </row>
    <row r="15" spans="1:29" ht="71.25">
      <c r="A15" s="1124" t="s">
        <v>2073</v>
      </c>
      <c r="B15" s="1417" t="s">
        <v>2137</v>
      </c>
      <c r="C15" s="1418" t="str">
        <f>估价对象房地状况!C4</f>
        <v>估价对象位于XX商圈，周边商业氛围成熟，人流量大，商业繁华度好</v>
      </c>
      <c r="D15" s="1127">
        <v>100</v>
      </c>
      <c r="E15" s="1128"/>
      <c r="F15" s="1470">
        <f>SUMIF(76:76,E16,77:77)-SUMIF(76:76,C16,77:77)+100</f>
        <v>104</v>
      </c>
      <c r="G15" s="1250"/>
      <c r="H15" s="1127">
        <f>SUMIF(76:76,G16,77:77)-SUMIF(76:76,C16,77:77)+100</f>
        <v>104</v>
      </c>
      <c r="I15" s="1128"/>
      <c r="J15" s="1127">
        <f>SUMIF(76:76,I16,77:77)-SUMIF(76:76,C16,77:77)+100</f>
        <v>104</v>
      </c>
      <c r="K15" s="1509">
        <v>4</v>
      </c>
      <c r="L15" s="1249"/>
      <c r="M15" s="1237"/>
      <c r="N15" s="1237"/>
      <c r="O15" s="1237"/>
      <c r="P15" s="3834" t="s">
        <v>2075</v>
      </c>
      <c r="Q15" s="664" t="str">
        <f t="shared" si="6"/>
        <v>商业繁华度</v>
      </c>
      <c r="R15" s="1285" t="s">
        <v>2064</v>
      </c>
      <c r="S15" s="1286">
        <f t="shared" si="0"/>
        <v>104</v>
      </c>
      <c r="T15" s="1285" t="s">
        <v>2064</v>
      </c>
      <c r="U15" s="1286">
        <f t="shared" si="1"/>
        <v>104</v>
      </c>
      <c r="V15" s="1285" t="s">
        <v>2064</v>
      </c>
      <c r="W15" s="1286">
        <f t="shared" si="2"/>
        <v>104</v>
      </c>
      <c r="X15" s="1279"/>
      <c r="Y15" s="3839" t="s">
        <v>2075</v>
      </c>
      <c r="Z15" s="1269" t="str">
        <f t="shared" si="7"/>
        <v>商业繁华度</v>
      </c>
      <c r="AA15" s="1296">
        <f t="shared" si="3"/>
        <v>0.96153846153846156</v>
      </c>
      <c r="AB15" s="1296">
        <f t="shared" si="4"/>
        <v>0.96153846153846156</v>
      </c>
      <c r="AC15" s="1296">
        <f t="shared" si="5"/>
        <v>0.96153846153846156</v>
      </c>
    </row>
    <row r="16" spans="1:29" ht="15">
      <c r="A16" s="1110"/>
      <c r="B16" s="1419"/>
      <c r="C16" s="1130" t="s">
        <v>2443</v>
      </c>
      <c r="D16" s="1131"/>
      <c r="E16" s="1130" t="s">
        <v>2160</v>
      </c>
      <c r="F16" s="1471"/>
      <c r="G16" s="1130" t="s">
        <v>2160</v>
      </c>
      <c r="H16" s="1133"/>
      <c r="I16" s="1130" t="s">
        <v>2160</v>
      </c>
      <c r="J16" s="1131"/>
      <c r="K16" s="1510"/>
      <c r="L16" s="1249"/>
      <c r="M16" s="1237"/>
      <c r="N16" s="1237"/>
      <c r="O16" s="1237"/>
      <c r="P16" s="3835"/>
      <c r="Q16" s="664"/>
      <c r="R16" s="1285"/>
      <c r="S16" s="1286"/>
      <c r="T16" s="1285"/>
      <c r="U16" s="1286"/>
      <c r="V16" s="1285"/>
      <c r="W16" s="1286"/>
      <c r="X16" s="1279"/>
      <c r="Y16" s="3840"/>
      <c r="Z16" s="1269"/>
      <c r="AA16" s="1296">
        <v>1</v>
      </c>
      <c r="AB16" s="1296">
        <v>1</v>
      </c>
      <c r="AC16" s="1296">
        <v>1</v>
      </c>
    </row>
    <row r="17" spans="1:29" ht="85.5">
      <c r="A17" s="1110"/>
      <c r="B17" s="1420" t="s">
        <v>2076</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835"/>
      <c r="Q17" s="664" t="str">
        <f>B17</f>
        <v>交通便捷度</v>
      </c>
      <c r="R17" s="1285" t="s">
        <v>2064</v>
      </c>
      <c r="S17" s="1286">
        <f>F17</f>
        <v>100</v>
      </c>
      <c r="T17" s="1285" t="s">
        <v>2064</v>
      </c>
      <c r="U17" s="1286">
        <f>H17</f>
        <v>100</v>
      </c>
      <c r="V17" s="1285" t="s">
        <v>2064</v>
      </c>
      <c r="W17" s="1286">
        <f>J17</f>
        <v>100</v>
      </c>
      <c r="X17" s="1279"/>
      <c r="Y17" s="3840"/>
      <c r="Z17" s="1269" t="str">
        <f>Q17</f>
        <v>交通便捷度</v>
      </c>
      <c r="AA17" s="1296">
        <f t="shared" si="3"/>
        <v>1</v>
      </c>
      <c r="AB17" s="1296">
        <f t="shared" si="4"/>
        <v>1</v>
      </c>
      <c r="AC17" s="1296">
        <f t="shared" si="5"/>
        <v>1</v>
      </c>
    </row>
    <row r="18" spans="1:29" ht="15">
      <c r="A18" s="1110"/>
      <c r="B18" s="1158"/>
      <c r="C18" s="1421" t="s">
        <v>2160</v>
      </c>
      <c r="D18" s="1133"/>
      <c r="E18" s="1421" t="s">
        <v>2160</v>
      </c>
      <c r="F18" s="1473"/>
      <c r="G18" s="1421" t="s">
        <v>2160</v>
      </c>
      <c r="H18" s="1131"/>
      <c r="I18" s="1421" t="s">
        <v>2160</v>
      </c>
      <c r="J18" s="1131"/>
      <c r="K18" s="1510"/>
      <c r="L18" s="1249"/>
      <c r="M18" s="1237"/>
      <c r="N18" s="1237"/>
      <c r="O18" s="1237"/>
      <c r="P18" s="3835"/>
      <c r="Q18" s="664"/>
      <c r="R18" s="1285"/>
      <c r="S18" s="1286"/>
      <c r="T18" s="1285"/>
      <c r="U18" s="1286"/>
      <c r="V18" s="1285"/>
      <c r="W18" s="1286"/>
      <c r="X18" s="1279"/>
      <c r="Y18" s="3840"/>
      <c r="Z18" s="1269"/>
      <c r="AA18" s="1296">
        <v>1</v>
      </c>
      <c r="AB18" s="1296">
        <v>1</v>
      </c>
      <c r="AC18" s="1296">
        <v>1</v>
      </c>
    </row>
    <row r="19" spans="1:29" ht="42.75">
      <c r="A19" s="1110"/>
      <c r="B19" s="1420" t="s">
        <v>2077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835"/>
      <c r="Q19" s="664" t="str">
        <f>B19</f>
        <v>公共配套设施</v>
      </c>
      <c r="R19" s="1285" t="s">
        <v>2064</v>
      </c>
      <c r="S19" s="1286">
        <f>F19</f>
        <v>100</v>
      </c>
      <c r="T19" s="1285" t="s">
        <v>2064</v>
      </c>
      <c r="U19" s="1286">
        <f>H19</f>
        <v>100</v>
      </c>
      <c r="V19" s="1285" t="s">
        <v>2064</v>
      </c>
      <c r="W19" s="1286">
        <f>J19</f>
        <v>100</v>
      </c>
      <c r="X19" s="1279"/>
      <c r="Y19" s="3840"/>
      <c r="Z19" s="1269" t="str">
        <f>Q19</f>
        <v>公共配套设施</v>
      </c>
      <c r="AA19" s="1296">
        <f t="shared" si="3"/>
        <v>1</v>
      </c>
      <c r="AB19" s="1296">
        <f t="shared" si="4"/>
        <v>1</v>
      </c>
      <c r="AC19" s="1296">
        <f t="shared" si="5"/>
        <v>1</v>
      </c>
    </row>
    <row r="20" spans="1:29" ht="15">
      <c r="A20" s="1110"/>
      <c r="B20" s="1158"/>
      <c r="C20" s="1130" t="s">
        <v>2160</v>
      </c>
      <c r="D20" s="1131"/>
      <c r="E20" s="1130" t="s">
        <v>2160</v>
      </c>
      <c r="F20" s="1471"/>
      <c r="G20" s="1130" t="s">
        <v>2160</v>
      </c>
      <c r="H20" s="1131"/>
      <c r="I20" s="1130" t="s">
        <v>2160</v>
      </c>
      <c r="J20" s="1131"/>
      <c r="K20" s="1510"/>
      <c r="L20" s="1249"/>
      <c r="M20" s="1237"/>
      <c r="N20" s="1237"/>
      <c r="O20" s="1237"/>
      <c r="P20" s="3835"/>
      <c r="Q20" s="664"/>
      <c r="R20" s="1285"/>
      <c r="S20" s="1286"/>
      <c r="T20" s="1285"/>
      <c r="U20" s="1286"/>
      <c r="V20" s="1285"/>
      <c r="W20" s="1286"/>
      <c r="X20" s="1279"/>
      <c r="Y20" s="3840"/>
      <c r="Z20" s="1269"/>
      <c r="AA20" s="1296">
        <v>1</v>
      </c>
      <c r="AB20" s="1296">
        <v>1</v>
      </c>
      <c r="AC20" s="1296">
        <v>1</v>
      </c>
    </row>
    <row r="21" spans="1:29" ht="28.5">
      <c r="A21" s="1110"/>
      <c r="B21" s="1424" t="s">
        <v>2078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835"/>
      <c r="Q21" s="664" t="str">
        <f>B21</f>
        <v>基础设施水平</v>
      </c>
      <c r="R21" s="1285" t="s">
        <v>2064</v>
      </c>
      <c r="S21" s="1286">
        <f>F21</f>
        <v>100</v>
      </c>
      <c r="T21" s="1285" t="s">
        <v>2064</v>
      </c>
      <c r="U21" s="1286">
        <f>H21</f>
        <v>100</v>
      </c>
      <c r="V21" s="1285" t="s">
        <v>2064</v>
      </c>
      <c r="W21" s="1286">
        <f>J21</f>
        <v>100</v>
      </c>
      <c r="X21" s="1279"/>
      <c r="Y21" s="3840"/>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835"/>
      <c r="Q22" s="664"/>
      <c r="R22" s="1285"/>
      <c r="S22" s="1286"/>
      <c r="T22" s="1285"/>
      <c r="U22" s="1286"/>
      <c r="V22" s="1285"/>
      <c r="W22" s="1286"/>
      <c r="X22" s="1279"/>
      <c r="Y22" s="3840"/>
      <c r="Z22" s="1269"/>
      <c r="AA22" s="1296">
        <v>1</v>
      </c>
      <c r="AB22" s="1296">
        <v>1</v>
      </c>
      <c r="AC22" s="1296">
        <v>1</v>
      </c>
    </row>
    <row r="23" spans="1:29" ht="57">
      <c r="A23" s="1110"/>
      <c r="B23" s="1420" t="s">
        <v>2079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835"/>
      <c r="Q23" s="664" t="str">
        <f>B23</f>
        <v>自然及人文环境</v>
      </c>
      <c r="R23" s="1285" t="s">
        <v>2064</v>
      </c>
      <c r="S23" s="1286">
        <f>F23</f>
        <v>100</v>
      </c>
      <c r="T23" s="1285" t="s">
        <v>2064</v>
      </c>
      <c r="U23" s="1286">
        <f>H23</f>
        <v>100</v>
      </c>
      <c r="V23" s="1285" t="s">
        <v>2064</v>
      </c>
      <c r="W23" s="1286">
        <f>J23</f>
        <v>100</v>
      </c>
      <c r="X23" s="1279"/>
      <c r="Y23" s="3840"/>
      <c r="Z23" s="1269" t="str">
        <f>Q23</f>
        <v>自然及人文环境</v>
      </c>
      <c r="AA23" s="1296">
        <f t="shared" si="3"/>
        <v>1</v>
      </c>
      <c r="AB23" s="1296">
        <f t="shared" si="4"/>
        <v>1</v>
      </c>
      <c r="AC23" s="1296">
        <f t="shared" si="5"/>
        <v>1</v>
      </c>
    </row>
    <row r="24" spans="1:29" ht="15">
      <c r="A24" s="1110"/>
      <c r="B24" s="1158"/>
      <c r="C24" s="1130" t="s">
        <v>2160</v>
      </c>
      <c r="D24" s="1131"/>
      <c r="E24" s="1130" t="s">
        <v>2160</v>
      </c>
      <c r="F24" s="1471"/>
      <c r="G24" s="1130" t="s">
        <v>2160</v>
      </c>
      <c r="H24" s="1131"/>
      <c r="I24" s="1130" t="s">
        <v>2160</v>
      </c>
      <c r="J24" s="1131"/>
      <c r="K24" s="1510"/>
      <c r="L24" s="1249"/>
      <c r="M24" s="1237"/>
      <c r="N24" s="1237"/>
      <c r="O24" s="1237"/>
      <c r="P24" s="3835"/>
      <c r="Q24" s="664"/>
      <c r="R24" s="1285"/>
      <c r="S24" s="1286"/>
      <c r="T24" s="1285"/>
      <c r="U24" s="1286"/>
      <c r="V24" s="1285"/>
      <c r="W24" s="1286"/>
      <c r="X24" s="1279"/>
      <c r="Y24" s="3840"/>
      <c r="Z24" s="1269"/>
      <c r="AA24" s="1296">
        <v>1</v>
      </c>
      <c r="AB24" s="1296">
        <v>1</v>
      </c>
      <c r="AC24" s="1296">
        <v>1</v>
      </c>
    </row>
    <row r="25" spans="1:29" ht="15">
      <c r="A25" s="1110"/>
      <c r="B25" s="1107" t="s">
        <v>2138</v>
      </c>
      <c r="C25" s="1144" t="s">
        <v>3367</v>
      </c>
      <c r="D25" s="1119">
        <v>100</v>
      </c>
      <c r="E25" s="1144" t="s">
        <v>3367</v>
      </c>
      <c r="F25" s="1474">
        <f>SUMIF(86:86,E25,87:87)-SUMIF(86:86,C25,87:87)+100</f>
        <v>100</v>
      </c>
      <c r="G25" s="1144" t="s">
        <v>3367</v>
      </c>
      <c r="H25" s="1119">
        <f>SUMIF(86:86,G25,87:87)-SUMIF(86:86,C25,87:87)+100</f>
        <v>100</v>
      </c>
      <c r="I25" s="1144" t="s">
        <v>3367</v>
      </c>
      <c r="J25" s="1119">
        <f>SUMIF(86:86,I25,87:87)-SUMIF(86:86,C25,87:87)+100</f>
        <v>100</v>
      </c>
      <c r="K25" s="1255">
        <v>5</v>
      </c>
      <c r="L25" s="1249"/>
      <c r="M25" s="1237"/>
      <c r="N25" s="1237"/>
      <c r="O25" s="1237"/>
      <c r="P25" s="3835"/>
      <c r="Q25" s="664" t="str">
        <f t="shared" ref="Q25:Q46" si="11">B25</f>
        <v>临街状况</v>
      </c>
      <c r="R25" s="1285" t="s">
        <v>2064</v>
      </c>
      <c r="S25" s="1286">
        <f>F25</f>
        <v>100</v>
      </c>
      <c r="T25" s="1285" t="s">
        <v>2064</v>
      </c>
      <c r="U25" s="1286">
        <f>H25</f>
        <v>100</v>
      </c>
      <c r="V25" s="1285" t="s">
        <v>2064</v>
      </c>
      <c r="W25" s="1286">
        <f>J25</f>
        <v>100</v>
      </c>
      <c r="X25" s="1279"/>
      <c r="Y25" s="3840"/>
      <c r="Z25" s="1269" t="str">
        <f>Q25</f>
        <v>临街状况</v>
      </c>
      <c r="AA25" s="1296">
        <f t="shared" si="3"/>
        <v>1</v>
      </c>
      <c r="AB25" s="1296">
        <f t="shared" si="4"/>
        <v>1</v>
      </c>
      <c r="AC25" s="1296">
        <f t="shared" si="5"/>
        <v>1</v>
      </c>
    </row>
    <row r="26" spans="1:29" ht="15">
      <c r="A26" s="1110"/>
      <c r="B26" s="1425" t="s">
        <v>2139</v>
      </c>
      <c r="C26" s="1588" t="s">
        <v>3368</v>
      </c>
      <c r="D26" s="1119">
        <v>100</v>
      </c>
      <c r="E26" s="1588" t="s">
        <v>3368</v>
      </c>
      <c r="F26" s="1474">
        <f>SUMIF(88:88,E26,89:89)-SUMIF(88:88,C26,89:89)+100</f>
        <v>100</v>
      </c>
      <c r="G26" s="1588" t="s">
        <v>3368</v>
      </c>
      <c r="H26" s="1119">
        <f>SUMIF(88:88,G26,89:89)-SUMIF(88:88,C26,89:89)+100</f>
        <v>100</v>
      </c>
      <c r="I26" s="1588" t="s">
        <v>3368</v>
      </c>
      <c r="J26" s="1119">
        <f>SUMIF(88:88,I26,89:89)-SUMIF(88:88,C26,89:89)+100</f>
        <v>100</v>
      </c>
      <c r="K26" s="1254"/>
      <c r="L26" s="1249"/>
      <c r="M26" s="1237"/>
      <c r="N26" s="1237"/>
      <c r="O26" s="1237"/>
      <c r="P26" s="3835"/>
      <c r="Q26" s="664" t="str">
        <f t="shared" si="11"/>
        <v>平面位置/可视性</v>
      </c>
      <c r="R26" s="1285" t="s">
        <v>2064</v>
      </c>
      <c r="S26" s="1286">
        <f>F26</f>
        <v>100</v>
      </c>
      <c r="T26" s="1285" t="s">
        <v>2064</v>
      </c>
      <c r="U26" s="1286">
        <f>H26</f>
        <v>100</v>
      </c>
      <c r="V26" s="1285" t="s">
        <v>2064</v>
      </c>
      <c r="W26" s="1286">
        <f>J26</f>
        <v>100</v>
      </c>
      <c r="X26" s="1279"/>
      <c r="Y26" s="3840"/>
      <c r="Z26" s="1269" t="str">
        <f>Q26</f>
        <v>平面位置/可视性</v>
      </c>
      <c r="AA26" s="1296">
        <f t="shared" si="3"/>
        <v>1</v>
      </c>
      <c r="AB26" s="1296">
        <f t="shared" si="4"/>
        <v>1</v>
      </c>
      <c r="AC26" s="1296">
        <f t="shared" si="5"/>
        <v>1</v>
      </c>
    </row>
    <row r="27" spans="1:29" s="1069" customFormat="1" ht="15">
      <c r="A27" s="1113"/>
      <c r="B27" s="1420" t="s">
        <v>2140</v>
      </c>
      <c r="C27" s="1642" t="s">
        <v>2443</v>
      </c>
      <c r="D27" s="1589">
        <v>100</v>
      </c>
      <c r="E27" s="1642" t="s">
        <v>3382</v>
      </c>
      <c r="F27" s="1590">
        <f>SUMIF(90:90,E27,91:91)-SUMIF(90:90,C27,91:91)+100</f>
        <v>105</v>
      </c>
      <c r="G27" s="1642" t="s">
        <v>3382</v>
      </c>
      <c r="H27" s="1589">
        <f>SUMIF(90:90,G27,91:91)-SUMIF(90:90,C27,91:91)+100</f>
        <v>105</v>
      </c>
      <c r="I27" s="1642" t="s">
        <v>2443</v>
      </c>
      <c r="J27" s="1589">
        <f>SUMIF(90:90,I27,91:91)-SUMIF(90:90,C27,91:91)+100</f>
        <v>100</v>
      </c>
      <c r="K27" s="1255">
        <v>5</v>
      </c>
      <c r="L27" s="1239"/>
      <c r="M27" s="1240"/>
      <c r="N27" s="1240"/>
      <c r="O27" s="1240"/>
      <c r="P27" s="3835"/>
      <c r="Q27" s="1284" t="str">
        <f t="shared" si="11"/>
        <v>人流量</v>
      </c>
      <c r="R27" s="1280" t="s">
        <v>2064</v>
      </c>
      <c r="S27" s="1281">
        <f>F27</f>
        <v>105</v>
      </c>
      <c r="T27" s="1280" t="s">
        <v>2064</v>
      </c>
      <c r="U27" s="1281">
        <f>H27</f>
        <v>105</v>
      </c>
      <c r="V27" s="1280" t="s">
        <v>2064</v>
      </c>
      <c r="W27" s="1281">
        <f>J27</f>
        <v>100</v>
      </c>
      <c r="X27" s="1282"/>
      <c r="Y27" s="3840"/>
      <c r="Z27" s="1295" t="str">
        <f>Q27</f>
        <v>人流量</v>
      </c>
      <c r="AA27" s="1296">
        <f t="shared" si="3"/>
        <v>0.95238095238095233</v>
      </c>
      <c r="AB27" s="1296">
        <f t="shared" si="4"/>
        <v>0.95238095238095233</v>
      </c>
      <c r="AC27" s="1296">
        <f t="shared" si="5"/>
        <v>1</v>
      </c>
    </row>
    <row r="28" spans="1:29" ht="15">
      <c r="A28" s="1110"/>
      <c r="B28" s="1107" t="s">
        <v>2141</v>
      </c>
      <c r="C28" s="1144">
        <v>1</v>
      </c>
      <c r="D28" s="1119">
        <v>100</v>
      </c>
      <c r="E28" s="1144">
        <v>1</v>
      </c>
      <c r="F28" s="1474">
        <f>SUMIF(92:92,E28,93:93)-SUMIF(92:92,C28,93:93)+100</f>
        <v>100</v>
      </c>
      <c r="G28" s="1144" t="s">
        <v>3381</v>
      </c>
      <c r="H28" s="1119">
        <f>SUMIF(92:92,G28,93:93)-SUMIF(92:92,C28,93:93)+100</f>
        <v>85</v>
      </c>
      <c r="I28" s="1144">
        <v>1</v>
      </c>
      <c r="J28" s="1119">
        <f>SUMIF(92:92,I28,93:93)-SUMIF(92:92,C28,93:93)+100</f>
        <v>100</v>
      </c>
      <c r="K28" s="1254"/>
      <c r="L28" s="1249"/>
      <c r="M28" s="1237"/>
      <c r="N28" s="1237"/>
      <c r="O28" s="1237"/>
      <c r="P28" s="3835"/>
      <c r="Q28" s="664" t="str">
        <f t="shared" si="11"/>
        <v>楼层</v>
      </c>
      <c r="R28" s="1285" t="s">
        <v>2064</v>
      </c>
      <c r="S28" s="1286">
        <f t="shared" ref="S28:S46" si="12">F28</f>
        <v>100</v>
      </c>
      <c r="T28" s="1285" t="s">
        <v>2064</v>
      </c>
      <c r="U28" s="1286">
        <f t="shared" ref="U28:U46" si="13">H28</f>
        <v>85</v>
      </c>
      <c r="V28" s="1285" t="s">
        <v>2064</v>
      </c>
      <c r="W28" s="1286">
        <f t="shared" ref="W28:W46" si="14">J28</f>
        <v>100</v>
      </c>
      <c r="X28" s="1279"/>
      <c r="Y28" s="3840"/>
      <c r="Z28" s="1269" t="str">
        <f t="shared" ref="Z28:Z46" si="15">Q28</f>
        <v>楼层</v>
      </c>
      <c r="AA28" s="1296">
        <f t="shared" si="3"/>
        <v>1</v>
      </c>
      <c r="AB28" s="1296">
        <f t="shared" si="4"/>
        <v>1.1764705882352942</v>
      </c>
      <c r="AC28" s="1296">
        <f t="shared" si="5"/>
        <v>1</v>
      </c>
    </row>
    <row r="29" spans="1:29" ht="15" hidden="1">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835"/>
      <c r="Q29" s="664">
        <f t="shared" si="11"/>
        <v>111</v>
      </c>
      <c r="R29" s="1285" t="s">
        <v>2064</v>
      </c>
      <c r="S29" s="1286">
        <f t="shared" si="12"/>
        <v>100</v>
      </c>
      <c r="T29" s="1285" t="s">
        <v>2064</v>
      </c>
      <c r="U29" s="1286">
        <f t="shared" si="13"/>
        <v>100</v>
      </c>
      <c r="V29" s="1285" t="s">
        <v>2064</v>
      </c>
      <c r="W29" s="1286">
        <f t="shared" si="14"/>
        <v>100</v>
      </c>
      <c r="X29" s="1279"/>
      <c r="Y29" s="3840"/>
      <c r="Z29" s="1269">
        <f t="shared" si="15"/>
        <v>111</v>
      </c>
      <c r="AA29" s="1296">
        <f t="shared" si="3"/>
        <v>1</v>
      </c>
      <c r="AB29" s="1296">
        <f t="shared" si="4"/>
        <v>1</v>
      </c>
      <c r="AC29" s="1296">
        <f t="shared" si="5"/>
        <v>1</v>
      </c>
    </row>
    <row r="30" spans="1:29" ht="15" hidden="1">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835"/>
      <c r="Q30" s="664">
        <f t="shared" si="11"/>
        <v>111</v>
      </c>
      <c r="R30" s="1285" t="s">
        <v>2064</v>
      </c>
      <c r="S30" s="1286">
        <f t="shared" si="12"/>
        <v>100</v>
      </c>
      <c r="T30" s="1285" t="s">
        <v>2064</v>
      </c>
      <c r="U30" s="1286">
        <f t="shared" si="13"/>
        <v>100</v>
      </c>
      <c r="V30" s="1285" t="s">
        <v>2064</v>
      </c>
      <c r="W30" s="1286">
        <f t="shared" si="14"/>
        <v>100</v>
      </c>
      <c r="X30" s="1279"/>
      <c r="Y30" s="3840"/>
      <c r="Z30" s="1269">
        <f t="shared" si="15"/>
        <v>111</v>
      </c>
      <c r="AA30" s="1296">
        <f t="shared" si="3"/>
        <v>1</v>
      </c>
      <c r="AB30" s="1296">
        <f t="shared" si="4"/>
        <v>1</v>
      </c>
      <c r="AC30" s="1296">
        <f t="shared" si="5"/>
        <v>1</v>
      </c>
    </row>
    <row r="31" spans="1:29" ht="15" hidden="1">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835"/>
      <c r="Q31" s="664">
        <f t="shared" si="11"/>
        <v>111</v>
      </c>
      <c r="R31" s="1285" t="s">
        <v>2064</v>
      </c>
      <c r="S31" s="1286">
        <f t="shared" si="12"/>
        <v>100</v>
      </c>
      <c r="T31" s="1285" t="s">
        <v>2064</v>
      </c>
      <c r="U31" s="1286">
        <f t="shared" si="13"/>
        <v>100</v>
      </c>
      <c r="V31" s="1285" t="s">
        <v>2064</v>
      </c>
      <c r="W31" s="1286">
        <f t="shared" si="14"/>
        <v>100</v>
      </c>
      <c r="X31" s="1279"/>
      <c r="Y31" s="3840"/>
      <c r="Z31" s="1269">
        <f t="shared" si="15"/>
        <v>111</v>
      </c>
      <c r="AA31" s="1296">
        <f t="shared" si="3"/>
        <v>1</v>
      </c>
      <c r="AB31" s="1296">
        <f t="shared" si="4"/>
        <v>1</v>
      </c>
      <c r="AC31" s="1296">
        <f t="shared" si="5"/>
        <v>1</v>
      </c>
    </row>
    <row r="32" spans="1:29" ht="15">
      <c r="A32" s="1124" t="s">
        <v>2082</v>
      </c>
      <c r="B32" s="1103" t="s">
        <v>2142</v>
      </c>
      <c r="C32" s="1657" t="s">
        <v>3355</v>
      </c>
      <c r="D32" s="1160">
        <v>100</v>
      </c>
      <c r="E32" s="1657" t="s">
        <v>3353</v>
      </c>
      <c r="F32" s="1474">
        <f>SUMIF(100:100,E32,101:101)-SUMIF(100:100,C32,101:101)+100</f>
        <v>102</v>
      </c>
      <c r="G32" s="1657" t="s">
        <v>3353</v>
      </c>
      <c r="H32" s="1119">
        <f>SUMIF(100:100,G32,101:101)-SUMIF(100:100,C32,101:101)+100</f>
        <v>102</v>
      </c>
      <c r="I32" s="1657" t="s">
        <v>3353</v>
      </c>
      <c r="J32" s="1160">
        <f>SUMIF(100:100,I32,101:101)-SUMIF(100:100,C32,101:101)+100</f>
        <v>102</v>
      </c>
      <c r="K32" s="1255">
        <v>2</v>
      </c>
      <c r="L32" s="1249"/>
      <c r="M32" s="1237"/>
      <c r="N32" s="1237"/>
      <c r="O32" s="1237"/>
      <c r="P32" s="3836" t="s">
        <v>2084</v>
      </c>
      <c r="Q32" s="664" t="str">
        <f t="shared" si="11"/>
        <v>商业类型</v>
      </c>
      <c r="R32" s="1285" t="s">
        <v>2064</v>
      </c>
      <c r="S32" s="1286">
        <f t="shared" si="12"/>
        <v>102</v>
      </c>
      <c r="T32" s="1285" t="s">
        <v>2064</v>
      </c>
      <c r="U32" s="1286">
        <f t="shared" si="13"/>
        <v>102</v>
      </c>
      <c r="V32" s="1285" t="s">
        <v>2064</v>
      </c>
      <c r="W32" s="1286">
        <f t="shared" si="14"/>
        <v>102</v>
      </c>
      <c r="X32" s="1279"/>
      <c r="Y32" s="3841" t="s">
        <v>2084</v>
      </c>
      <c r="Z32" s="1269" t="str">
        <f t="shared" si="15"/>
        <v>商业类型</v>
      </c>
      <c r="AA32" s="1296">
        <f t="shared" si="3"/>
        <v>0.98039215686274506</v>
      </c>
      <c r="AB32" s="1296">
        <f t="shared" si="4"/>
        <v>0.98039215686274506</v>
      </c>
      <c r="AC32" s="1296">
        <f t="shared" si="5"/>
        <v>0.98039215686274506</v>
      </c>
    </row>
    <row r="33" spans="1:29" s="1071" customFormat="1" ht="15">
      <c r="A33" s="1166"/>
      <c r="B33" s="1107" t="s">
        <v>2085</v>
      </c>
      <c r="C33" s="1468">
        <f>D3</f>
        <v>0</v>
      </c>
      <c r="D33" s="1109">
        <v>100</v>
      </c>
      <c r="E33" s="1112">
        <v>333.66</v>
      </c>
      <c r="F33" s="1467">
        <f>LOOKUP(E33,103:103,104:104)-LOOKUP(C33,103:103,104:104)+100</f>
        <v>97</v>
      </c>
      <c r="G33" s="1111">
        <v>212.45</v>
      </c>
      <c r="H33" s="1109">
        <f>LOOKUP(G33,103:103,104:104)-LOOKUP(C33,103:103,104:104)+100</f>
        <v>98</v>
      </c>
      <c r="I33" s="1111">
        <v>147.13</v>
      </c>
      <c r="J33" s="1109">
        <f>LOOKUP(I33,103:103,104:104)-LOOKUP(C33,103:103,104:104)+100</f>
        <v>99</v>
      </c>
      <c r="K33" s="1254"/>
      <c r="L33" s="1247"/>
      <c r="M33" s="1256"/>
      <c r="N33" s="1256"/>
      <c r="O33" s="1256"/>
      <c r="P33" s="3837"/>
      <c r="Q33" s="1513" t="str">
        <f t="shared" si="11"/>
        <v>项目建筑规模</v>
      </c>
      <c r="R33" s="1287" t="s">
        <v>2064</v>
      </c>
      <c r="S33" s="1288">
        <f t="shared" si="12"/>
        <v>97</v>
      </c>
      <c r="T33" s="1287" t="s">
        <v>2064</v>
      </c>
      <c r="U33" s="1288">
        <f t="shared" si="13"/>
        <v>98</v>
      </c>
      <c r="V33" s="1287" t="s">
        <v>2064</v>
      </c>
      <c r="W33" s="1288">
        <f t="shared" si="14"/>
        <v>99</v>
      </c>
      <c r="X33" s="1289"/>
      <c r="Y33" s="3841"/>
      <c r="Z33" s="1297" t="str">
        <f t="shared" si="15"/>
        <v>项目建筑规模</v>
      </c>
      <c r="AA33" s="1296">
        <f t="shared" si="3"/>
        <v>1.0309278350515463</v>
      </c>
      <c r="AB33" s="1296">
        <f t="shared" si="4"/>
        <v>1.0204081632653061</v>
      </c>
      <c r="AC33" s="1296">
        <f t="shared" si="5"/>
        <v>1.0101010101010102</v>
      </c>
    </row>
    <row r="34" spans="1:29" ht="15">
      <c r="A34" s="1161"/>
      <c r="B34" s="1107" t="s">
        <v>2086</v>
      </c>
      <c r="C34" s="1658" t="s">
        <v>1828</v>
      </c>
      <c r="D34" s="1119">
        <v>100</v>
      </c>
      <c r="E34" s="1658" t="s">
        <v>1828</v>
      </c>
      <c r="F34" s="1474">
        <f>SUMIF(105:105,E34,106:106)-SUMIF(105:105,C34,106:106)+100</f>
        <v>100</v>
      </c>
      <c r="G34" s="1658" t="s">
        <v>1828</v>
      </c>
      <c r="H34" s="1119">
        <f>SUMIF(105:105,G34,106:106)-SUMIF(105:105,C34,106:106)+100</f>
        <v>100</v>
      </c>
      <c r="I34" s="1658" t="s">
        <v>1828</v>
      </c>
      <c r="J34" s="1119">
        <f>SUMIF(105:105,I34,106:106)-SUMIF(105:105,C34,106:106)+100</f>
        <v>100</v>
      </c>
      <c r="K34" s="1255">
        <v>2</v>
      </c>
      <c r="L34" s="1249"/>
      <c r="M34" s="1237"/>
      <c r="N34" s="1237"/>
      <c r="O34" s="1237"/>
      <c r="P34" s="3837"/>
      <c r="Q34" s="664" t="str">
        <f t="shared" si="11"/>
        <v>建筑结构</v>
      </c>
      <c r="R34" s="1285" t="s">
        <v>2064</v>
      </c>
      <c r="S34" s="1286">
        <f t="shared" si="12"/>
        <v>100</v>
      </c>
      <c r="T34" s="1285" t="s">
        <v>2064</v>
      </c>
      <c r="U34" s="1286">
        <f t="shared" si="13"/>
        <v>100</v>
      </c>
      <c r="V34" s="1285" t="s">
        <v>2064</v>
      </c>
      <c r="W34" s="1286">
        <f t="shared" si="14"/>
        <v>100</v>
      </c>
      <c r="X34" s="1279"/>
      <c r="Y34" s="3841"/>
      <c r="Z34" s="1269" t="str">
        <f t="shared" si="15"/>
        <v>建筑结构</v>
      </c>
      <c r="AA34" s="1296">
        <f t="shared" si="3"/>
        <v>1</v>
      </c>
      <c r="AB34" s="1296">
        <f t="shared" si="4"/>
        <v>1</v>
      </c>
      <c r="AC34" s="1296">
        <f t="shared" si="5"/>
        <v>1</v>
      </c>
    </row>
    <row r="35" spans="1:29" ht="15">
      <c r="A35" s="1161"/>
      <c r="B35" s="1107" t="s">
        <v>2088</v>
      </c>
      <c r="C35" s="1162" t="s">
        <v>2165</v>
      </c>
      <c r="D35" s="1119">
        <v>100</v>
      </c>
      <c r="E35" s="1162" t="s">
        <v>2165</v>
      </c>
      <c r="F35" s="1474">
        <f>SUMIF(107:107,E35,108:108)-SUMIF(107:107,C35,108:108)+100</f>
        <v>100</v>
      </c>
      <c r="G35" s="1162" t="s">
        <v>2165</v>
      </c>
      <c r="H35" s="1119">
        <f>SUMIF(107:107,G35,108:108)-SUMIF(107:107,C35,108:108)+100</f>
        <v>100</v>
      </c>
      <c r="I35" s="1162" t="s">
        <v>2165</v>
      </c>
      <c r="J35" s="1119">
        <f>SUMIF(107:107,I35,108:108)-SUMIF(107:107,C35,108:108)+100</f>
        <v>100</v>
      </c>
      <c r="K35" s="1255">
        <v>2</v>
      </c>
      <c r="L35" s="1249"/>
      <c r="M35" s="1237"/>
      <c r="N35" s="1237"/>
      <c r="O35" s="1237"/>
      <c r="P35" s="3837"/>
      <c r="Q35" s="664" t="str">
        <f t="shared" si="11"/>
        <v>公共部分装修</v>
      </c>
      <c r="R35" s="1285" t="s">
        <v>2064</v>
      </c>
      <c r="S35" s="1286">
        <f t="shared" si="12"/>
        <v>100</v>
      </c>
      <c r="T35" s="1285" t="s">
        <v>2064</v>
      </c>
      <c r="U35" s="1286">
        <f t="shared" si="13"/>
        <v>100</v>
      </c>
      <c r="V35" s="1285" t="s">
        <v>2064</v>
      </c>
      <c r="W35" s="1286">
        <f t="shared" si="14"/>
        <v>100</v>
      </c>
      <c r="X35" s="1279"/>
      <c r="Y35" s="3841"/>
      <c r="Z35" s="1269" t="str">
        <f t="shared" si="15"/>
        <v>公共部分装修</v>
      </c>
      <c r="AA35" s="1296">
        <f t="shared" si="3"/>
        <v>1</v>
      </c>
      <c r="AB35" s="1296">
        <f t="shared" si="4"/>
        <v>1</v>
      </c>
      <c r="AC35" s="1296">
        <f t="shared" si="5"/>
        <v>1</v>
      </c>
    </row>
    <row r="36" spans="1:29" ht="15">
      <c r="A36" s="1161"/>
      <c r="B36" s="1107" t="s">
        <v>1202</v>
      </c>
      <c r="C36" s="1481">
        <f>'数据-取费表'!N6</f>
        <v>0.82</v>
      </c>
      <c r="D36" s="1119">
        <v>100</v>
      </c>
      <c r="E36" s="1481">
        <f>G36</f>
        <v>0.85</v>
      </c>
      <c r="F36" s="1474">
        <f>LOOKUP(E36,110:110,111:111)-LOOKUP(C36,110:110,111:111)+100</f>
        <v>100</v>
      </c>
      <c r="G36" s="1481">
        <v>0.85</v>
      </c>
      <c r="H36" s="1474">
        <f>LOOKUP(G36,110:110,111:111)-LOOKUP(C36,110:110,111:111)+100</f>
        <v>100</v>
      </c>
      <c r="I36" s="1481">
        <v>0.83</v>
      </c>
      <c r="J36" s="1119">
        <f>LOOKUP(I36,110:110,111:111)-LOOKUP(C36,110:110,111:111)+100</f>
        <v>100</v>
      </c>
      <c r="K36" s="1255">
        <v>1</v>
      </c>
      <c r="L36" s="1249"/>
      <c r="M36" s="1237"/>
      <c r="N36" s="1237"/>
      <c r="O36" s="1237"/>
      <c r="P36" s="3837"/>
      <c r="Q36" s="664" t="str">
        <f t="shared" si="11"/>
        <v>成新度</v>
      </c>
      <c r="R36" s="1285" t="s">
        <v>2064</v>
      </c>
      <c r="S36" s="1286">
        <f t="shared" si="12"/>
        <v>100</v>
      </c>
      <c r="T36" s="1285" t="s">
        <v>2064</v>
      </c>
      <c r="U36" s="1286">
        <f t="shared" si="13"/>
        <v>100</v>
      </c>
      <c r="V36" s="1285" t="s">
        <v>2064</v>
      </c>
      <c r="W36" s="1286">
        <f t="shared" si="14"/>
        <v>100</v>
      </c>
      <c r="X36" s="1279"/>
      <c r="Y36" s="3841"/>
      <c r="Z36" s="1269" t="str">
        <f t="shared" si="15"/>
        <v>成新度</v>
      </c>
      <c r="AA36" s="1296">
        <f t="shared" si="3"/>
        <v>1</v>
      </c>
      <c r="AB36" s="1296">
        <f t="shared" si="4"/>
        <v>1</v>
      </c>
      <c r="AC36" s="1296">
        <f t="shared" si="5"/>
        <v>1</v>
      </c>
    </row>
    <row r="37" spans="1:29" s="1069" customFormat="1" ht="15" hidden="1">
      <c r="A37" s="1163"/>
      <c r="B37" s="1107" t="s">
        <v>2090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837"/>
      <c r="Q37" s="1284" t="str">
        <f t="shared" si="11"/>
        <v>市政基础设施</v>
      </c>
      <c r="R37" s="1280" t="s">
        <v>2064</v>
      </c>
      <c r="S37" s="1281">
        <f t="shared" si="12"/>
        <v>100</v>
      </c>
      <c r="T37" s="1280" t="s">
        <v>2064</v>
      </c>
      <c r="U37" s="1281">
        <f t="shared" si="13"/>
        <v>100</v>
      </c>
      <c r="V37" s="1280" t="s">
        <v>2064</v>
      </c>
      <c r="W37" s="1281">
        <f t="shared" si="14"/>
        <v>100</v>
      </c>
      <c r="X37" s="1282"/>
      <c r="Y37" s="3841"/>
      <c r="Z37" s="1295" t="str">
        <f t="shared" si="15"/>
        <v>市政基础设施</v>
      </c>
      <c r="AA37" s="1294">
        <f t="shared" si="3"/>
        <v>1</v>
      </c>
      <c r="AB37" s="1294">
        <f t="shared" si="4"/>
        <v>1</v>
      </c>
      <c r="AC37" s="1294">
        <f t="shared" si="5"/>
        <v>1</v>
      </c>
    </row>
    <row r="38" spans="1:29" ht="15" hidden="1">
      <c r="A38" s="1161"/>
      <c r="B38" s="1107" t="s">
        <v>2143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837" t="s">
        <v>2084</v>
      </c>
      <c r="Q38" s="664" t="str">
        <f t="shared" si="11"/>
        <v>业态</v>
      </c>
      <c r="R38" s="1285" t="s">
        <v>2064</v>
      </c>
      <c r="S38" s="1286">
        <f t="shared" si="12"/>
        <v>100</v>
      </c>
      <c r="T38" s="1285" t="s">
        <v>2064</v>
      </c>
      <c r="U38" s="1286">
        <f t="shared" si="13"/>
        <v>100</v>
      </c>
      <c r="V38" s="1285" t="s">
        <v>2064</v>
      </c>
      <c r="W38" s="1286">
        <f t="shared" si="14"/>
        <v>100</v>
      </c>
      <c r="X38" s="1279"/>
      <c r="Y38" s="3841" t="s">
        <v>2084</v>
      </c>
      <c r="Z38" s="1269" t="str">
        <f t="shared" si="15"/>
        <v>业态</v>
      </c>
      <c r="AA38" s="1296">
        <f t="shared" si="3"/>
        <v>1</v>
      </c>
      <c r="AB38" s="1296">
        <f t="shared" si="4"/>
        <v>1</v>
      </c>
      <c r="AC38" s="1296">
        <f t="shared" si="5"/>
        <v>1</v>
      </c>
    </row>
    <row r="39" spans="1:29" ht="15">
      <c r="A39" s="1161"/>
      <c r="B39" s="1107" t="s">
        <v>2144</v>
      </c>
      <c r="C39" s="1162" t="s">
        <v>3379</v>
      </c>
      <c r="D39" s="1119">
        <v>100</v>
      </c>
      <c r="E39" s="1162" t="s">
        <v>3379</v>
      </c>
      <c r="F39" s="1474">
        <f>SUMIF(116:116,E39,117:117)-SUMIF(116:116,C39,117:117)+100</f>
        <v>100</v>
      </c>
      <c r="G39" s="1162" t="s">
        <v>3379</v>
      </c>
      <c r="H39" s="1119">
        <f>SUMIF(116:116,G39,117:117)-SUMIF(116:116,C39,117:117)+100</f>
        <v>100</v>
      </c>
      <c r="I39" s="1162" t="s">
        <v>3379</v>
      </c>
      <c r="J39" s="1119">
        <f>SUMIF(116:116,I39,117:117)-SUMIF(116:116,C39,117:117)+100</f>
        <v>100</v>
      </c>
      <c r="K39" s="1255">
        <v>2</v>
      </c>
      <c r="L39" s="1249"/>
      <c r="M39" s="1237"/>
      <c r="N39" s="1237"/>
      <c r="O39" s="1237"/>
      <c r="P39" s="3837"/>
      <c r="Q39" s="664" t="str">
        <f t="shared" si="11"/>
        <v>层高</v>
      </c>
      <c r="R39" s="1285" t="s">
        <v>2064</v>
      </c>
      <c r="S39" s="1286">
        <f t="shared" si="12"/>
        <v>100</v>
      </c>
      <c r="T39" s="1285" t="s">
        <v>2064</v>
      </c>
      <c r="U39" s="1286">
        <f t="shared" si="13"/>
        <v>100</v>
      </c>
      <c r="V39" s="1285" t="s">
        <v>2064</v>
      </c>
      <c r="W39" s="1286">
        <f t="shared" si="14"/>
        <v>100</v>
      </c>
      <c r="X39" s="1279"/>
      <c r="Y39" s="3841"/>
      <c r="Z39" s="1269" t="str">
        <f t="shared" si="15"/>
        <v>层高</v>
      </c>
      <c r="AA39" s="1296">
        <f t="shared" si="3"/>
        <v>1</v>
      </c>
      <c r="AB39" s="1296">
        <f t="shared" si="4"/>
        <v>1</v>
      </c>
      <c r="AC39" s="1296">
        <f t="shared" si="5"/>
        <v>1</v>
      </c>
    </row>
    <row r="40" spans="1:29" ht="15" hidden="1">
      <c r="A40" s="1161"/>
      <c r="B40" s="1107" t="s">
        <v>2145</v>
      </c>
      <c r="C40" s="1659"/>
      <c r="D40" s="1119">
        <v>100</v>
      </c>
      <c r="E40" s="1659"/>
      <c r="F40" s="1474">
        <f>SUMIF(118:118,E40,119:119)-SUMIF(118:118,C40,119:119)+100</f>
        <v>100</v>
      </c>
      <c r="G40" s="1659"/>
      <c r="H40" s="1119">
        <f>SUMIF(118:118,G40,119:119)-SUMIF(118:118,C40,119:119)+100</f>
        <v>100</v>
      </c>
      <c r="I40" s="1659"/>
      <c r="J40" s="1119">
        <f>SUMIF(118:118,I40,119:119)-SUMIF(118:118,C40,119:119)+100</f>
        <v>100</v>
      </c>
      <c r="K40" s="1254"/>
      <c r="L40" s="1249"/>
      <c r="M40" s="1237"/>
      <c r="N40" s="1237"/>
      <c r="O40" s="1237"/>
      <c r="P40" s="3837"/>
      <c r="Q40" s="664" t="str">
        <f t="shared" si="11"/>
        <v>单套建筑面积</v>
      </c>
      <c r="R40" s="1285" t="s">
        <v>2064</v>
      </c>
      <c r="S40" s="1286">
        <f t="shared" si="12"/>
        <v>100</v>
      </c>
      <c r="T40" s="1285" t="s">
        <v>2064</v>
      </c>
      <c r="U40" s="1286">
        <f t="shared" si="13"/>
        <v>100</v>
      </c>
      <c r="V40" s="1285" t="s">
        <v>2064</v>
      </c>
      <c r="W40" s="1286">
        <f t="shared" si="14"/>
        <v>100</v>
      </c>
      <c r="X40" s="1279"/>
      <c r="Y40" s="3841"/>
      <c r="Z40" s="1269" t="str">
        <f t="shared" si="15"/>
        <v>单套建筑面积</v>
      </c>
      <c r="AA40" s="1296">
        <f t="shared" si="3"/>
        <v>1</v>
      </c>
      <c r="AB40" s="1296">
        <f t="shared" si="4"/>
        <v>1</v>
      </c>
      <c r="AC40" s="1296">
        <f t="shared" si="5"/>
        <v>1</v>
      </c>
    </row>
    <row r="41" spans="1:29" s="1071" customFormat="1" ht="15" hidden="1">
      <c r="A41" s="1166"/>
      <c r="B41" s="1264" t="s">
        <v>2146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837"/>
      <c r="Q41" s="1513" t="str">
        <f t="shared" si="11"/>
        <v>进深比</v>
      </c>
      <c r="R41" s="1287" t="s">
        <v>2064</v>
      </c>
      <c r="S41" s="1288">
        <f t="shared" si="12"/>
        <v>100</v>
      </c>
      <c r="T41" s="1287" t="s">
        <v>2064</v>
      </c>
      <c r="U41" s="1288">
        <f t="shared" si="13"/>
        <v>100</v>
      </c>
      <c r="V41" s="1287" t="s">
        <v>2064</v>
      </c>
      <c r="W41" s="1288">
        <f t="shared" si="14"/>
        <v>100</v>
      </c>
      <c r="X41" s="1289"/>
      <c r="Y41" s="3841"/>
      <c r="Z41" s="1297" t="str">
        <f t="shared" si="15"/>
        <v>进深比</v>
      </c>
      <c r="AA41" s="1296">
        <f t="shared" si="3"/>
        <v>1</v>
      </c>
      <c r="AB41" s="1296">
        <f t="shared" si="4"/>
        <v>1</v>
      </c>
      <c r="AC41" s="1296">
        <f t="shared" si="5"/>
        <v>1</v>
      </c>
    </row>
    <row r="42" spans="1:29" ht="15">
      <c r="A42" s="1161"/>
      <c r="B42" s="1107" t="s">
        <v>2093</v>
      </c>
      <c r="C42" s="1162" t="s">
        <v>2165</v>
      </c>
      <c r="D42" s="1119">
        <v>100</v>
      </c>
      <c r="E42" s="1162" t="s">
        <v>2165</v>
      </c>
      <c r="F42" s="1474">
        <f>SUMIF(122:122,E42,123:123)-SUMIF(122:122,C42,123:123)+100</f>
        <v>100</v>
      </c>
      <c r="G42" s="1162" t="s">
        <v>2165</v>
      </c>
      <c r="H42" s="1119">
        <f>SUMIF(122:122,G42,123:123)-SUMIF(122:122,C42,123:123)+100</f>
        <v>100</v>
      </c>
      <c r="I42" s="1162" t="s">
        <v>2165</v>
      </c>
      <c r="J42" s="1119">
        <f>SUMIF(122:122,I42,123:123)-SUMIF(122:122,C42,123:123)+100</f>
        <v>100</v>
      </c>
      <c r="K42" s="1255">
        <v>2</v>
      </c>
      <c r="L42" s="1249"/>
      <c r="M42" s="1237"/>
      <c r="N42" s="1237"/>
      <c r="O42" s="1237"/>
      <c r="P42" s="3837"/>
      <c r="Q42" s="664" t="str">
        <f t="shared" si="11"/>
        <v>内部装修</v>
      </c>
      <c r="R42" s="1285" t="s">
        <v>2064</v>
      </c>
      <c r="S42" s="1286">
        <f t="shared" si="12"/>
        <v>100</v>
      </c>
      <c r="T42" s="1285" t="s">
        <v>2064</v>
      </c>
      <c r="U42" s="1286">
        <f t="shared" si="13"/>
        <v>100</v>
      </c>
      <c r="V42" s="1285" t="s">
        <v>2064</v>
      </c>
      <c r="W42" s="1286">
        <f t="shared" si="14"/>
        <v>100</v>
      </c>
      <c r="X42" s="1279"/>
      <c r="Y42" s="3841"/>
      <c r="Z42" s="1269" t="str">
        <f t="shared" si="15"/>
        <v>内部装修</v>
      </c>
      <c r="AA42" s="1296">
        <f t="shared" si="3"/>
        <v>1</v>
      </c>
      <c r="AB42" s="1296">
        <f t="shared" si="4"/>
        <v>1</v>
      </c>
      <c r="AC42" s="1296">
        <f t="shared" si="5"/>
        <v>1</v>
      </c>
    </row>
    <row r="43" spans="1:29" ht="15">
      <c r="A43" s="1161"/>
      <c r="B43" s="1107" t="s">
        <v>2094</v>
      </c>
      <c r="C43" s="1162" t="s">
        <v>2160</v>
      </c>
      <c r="D43" s="1119">
        <v>100</v>
      </c>
      <c r="E43" s="1162" t="s">
        <v>2160</v>
      </c>
      <c r="F43" s="1474">
        <f>SUMIF(124:124,E43,125:125)-SUMIF(124:124,C43,125:125)+100</f>
        <v>100</v>
      </c>
      <c r="G43" s="1162" t="s">
        <v>2160</v>
      </c>
      <c r="H43" s="1119">
        <f>SUMIF(124:124,G43,125:125)-SUMIF(124:124,C43,125:125)+100</f>
        <v>100</v>
      </c>
      <c r="I43" s="1162" t="s">
        <v>2160</v>
      </c>
      <c r="J43" s="1119">
        <f>SUMIF(124:124,I43,125:125)-SUMIF(124:124,C43,125:125)+100</f>
        <v>100</v>
      </c>
      <c r="K43" s="1255">
        <v>2</v>
      </c>
      <c r="L43" s="1249"/>
      <c r="M43" s="1237"/>
      <c r="N43" s="1237"/>
      <c r="O43" s="1237"/>
      <c r="P43" s="3837"/>
      <c r="Q43" s="664" t="str">
        <f t="shared" si="11"/>
        <v>内部装修维护情况</v>
      </c>
      <c r="R43" s="1285" t="s">
        <v>2064</v>
      </c>
      <c r="S43" s="1286">
        <f t="shared" si="12"/>
        <v>100</v>
      </c>
      <c r="T43" s="1285" t="s">
        <v>2064</v>
      </c>
      <c r="U43" s="1286">
        <f t="shared" si="13"/>
        <v>100</v>
      </c>
      <c r="V43" s="1285" t="s">
        <v>2064</v>
      </c>
      <c r="W43" s="1286">
        <f t="shared" si="14"/>
        <v>100</v>
      </c>
      <c r="X43" s="1279"/>
      <c r="Y43" s="3841"/>
      <c r="Z43" s="1269" t="str">
        <f t="shared" si="15"/>
        <v>内部装修维护情况</v>
      </c>
      <c r="AA43" s="1296">
        <f t="shared" si="3"/>
        <v>1</v>
      </c>
      <c r="AB43" s="1296">
        <f t="shared" si="4"/>
        <v>1</v>
      </c>
      <c r="AC43" s="1296">
        <f t="shared" si="5"/>
        <v>1</v>
      </c>
    </row>
    <row r="44" spans="1:29" s="1069" customFormat="1" ht="15" hidden="1">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837"/>
      <c r="Q44" s="1284">
        <f t="shared" si="11"/>
        <v>111</v>
      </c>
      <c r="R44" s="1280" t="s">
        <v>2064</v>
      </c>
      <c r="S44" s="1281">
        <f t="shared" si="12"/>
        <v>100</v>
      </c>
      <c r="T44" s="1280" t="s">
        <v>2064</v>
      </c>
      <c r="U44" s="1281">
        <f t="shared" si="13"/>
        <v>100</v>
      </c>
      <c r="V44" s="1280" t="s">
        <v>2064</v>
      </c>
      <c r="W44" s="1281">
        <f t="shared" si="14"/>
        <v>100</v>
      </c>
      <c r="X44" s="1282"/>
      <c r="Y44" s="3841"/>
      <c r="Z44" s="1295">
        <f t="shared" si="15"/>
        <v>111</v>
      </c>
      <c r="AA44" s="1294">
        <f t="shared" si="3"/>
        <v>1</v>
      </c>
      <c r="AB44" s="1294">
        <f t="shared" si="4"/>
        <v>1</v>
      </c>
      <c r="AC44" s="1294">
        <f t="shared" si="5"/>
        <v>1</v>
      </c>
    </row>
    <row r="45" spans="1:29" ht="15" hidden="1">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837"/>
      <c r="Q45" s="664">
        <f t="shared" si="11"/>
        <v>111</v>
      </c>
      <c r="R45" s="1285" t="s">
        <v>2064</v>
      </c>
      <c r="S45" s="1286">
        <f t="shared" si="12"/>
        <v>100</v>
      </c>
      <c r="T45" s="1285" t="s">
        <v>2064</v>
      </c>
      <c r="U45" s="1286">
        <f t="shared" si="13"/>
        <v>100</v>
      </c>
      <c r="V45" s="1285" t="s">
        <v>2064</v>
      </c>
      <c r="W45" s="1286">
        <f t="shared" si="14"/>
        <v>100</v>
      </c>
      <c r="X45" s="1279"/>
      <c r="Y45" s="3841"/>
      <c r="Z45" s="1269">
        <f t="shared" si="15"/>
        <v>111</v>
      </c>
      <c r="AA45" s="1296">
        <f t="shared" si="3"/>
        <v>1</v>
      </c>
      <c r="AB45" s="1296">
        <f t="shared" si="4"/>
        <v>1</v>
      </c>
      <c r="AC45" s="1296">
        <f t="shared" si="5"/>
        <v>1</v>
      </c>
    </row>
    <row r="46" spans="1:29" ht="15" hidden="1">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838"/>
      <c r="Q46" s="664">
        <f t="shared" si="11"/>
        <v>111</v>
      </c>
      <c r="R46" s="1285" t="s">
        <v>2064</v>
      </c>
      <c r="S46" s="1286">
        <f t="shared" si="12"/>
        <v>100</v>
      </c>
      <c r="T46" s="1285" t="s">
        <v>2064</v>
      </c>
      <c r="U46" s="1286">
        <f t="shared" si="13"/>
        <v>100</v>
      </c>
      <c r="V46" s="1285" t="s">
        <v>2064</v>
      </c>
      <c r="W46" s="1286">
        <f t="shared" si="14"/>
        <v>100</v>
      </c>
      <c r="X46" s="1279"/>
      <c r="Y46" s="3842"/>
      <c r="Z46" s="1269">
        <f t="shared" si="15"/>
        <v>111</v>
      </c>
      <c r="AA46" s="1296">
        <f t="shared" si="3"/>
        <v>1</v>
      </c>
      <c r="AB46" s="1296">
        <f t="shared" si="4"/>
        <v>1</v>
      </c>
      <c r="AC46" s="1296">
        <f t="shared" si="5"/>
        <v>1</v>
      </c>
    </row>
    <row r="47" spans="1:29" ht="15">
      <c r="A47" s="1168" t="s">
        <v>2095</v>
      </c>
      <c r="B47" s="1488"/>
      <c r="C47" s="1489" t="s">
        <v>124</v>
      </c>
      <c r="D47" s="1490"/>
      <c r="E47" s="1491">
        <v>40761</v>
      </c>
      <c r="F47" s="1492"/>
      <c r="G47" s="1493">
        <v>30596</v>
      </c>
      <c r="H47" s="1494"/>
      <c r="I47" s="1491">
        <v>38402</v>
      </c>
      <c r="J47" s="1494"/>
      <c r="K47" s="1260"/>
      <c r="L47" s="1261"/>
      <c r="M47" s="1185"/>
      <c r="N47" s="1237"/>
      <c r="O47" s="1185"/>
      <c r="P47" s="3826" t="str">
        <f>A47</f>
        <v>成交单价（元/平方米）</v>
      </c>
      <c r="Q47" s="3826"/>
      <c r="R47" s="3813">
        <f>E47</f>
        <v>40761</v>
      </c>
      <c r="S47" s="3813"/>
      <c r="T47" s="3813">
        <f>G47</f>
        <v>30596</v>
      </c>
      <c r="U47" s="3813"/>
      <c r="V47" s="3813">
        <f>I47</f>
        <v>38402</v>
      </c>
      <c r="W47" s="3813"/>
      <c r="X47" s="1225"/>
      <c r="Y47" s="1298"/>
      <c r="Z47" s="1225"/>
      <c r="AA47" s="1225"/>
      <c r="AB47" s="1225"/>
      <c r="AC47" s="1225"/>
    </row>
    <row r="48" spans="1:29" ht="15">
      <c r="A48" s="1176" t="s">
        <v>2096</v>
      </c>
      <c r="B48" s="1495"/>
      <c r="C48" s="1496">
        <f>R49</f>
        <v>34715</v>
      </c>
      <c r="D48" s="1179" t="s">
        <v>2097</v>
      </c>
      <c r="E48" s="1497">
        <f>R48</f>
        <v>36628</v>
      </c>
      <c r="F48" s="1180"/>
      <c r="G48" s="1496">
        <f>T48</f>
        <v>32015</v>
      </c>
      <c r="H48" s="1180"/>
      <c r="I48" s="1497">
        <f>V48</f>
        <v>35502</v>
      </c>
      <c r="J48" s="1180"/>
      <c r="K48" s="1262">
        <f>F48+H48+J48</f>
        <v>0</v>
      </c>
      <c r="L48" s="1261"/>
      <c r="M48" s="1185"/>
      <c r="N48" s="1237"/>
      <c r="O48" s="1185"/>
      <c r="P48" s="3826" t="str">
        <f>A48</f>
        <v>比较价值（元/平方米）</v>
      </c>
      <c r="Q48" s="3826"/>
      <c r="R48" s="3827">
        <f>IF(F1="售价",ROUND(PRODUCT(R47,AA7:AA46),0),ROUND(PRODUCT(R47,AA7:AA46),1))</f>
        <v>36628</v>
      </c>
      <c r="S48" s="3827"/>
      <c r="T48" s="3827">
        <f>IF(F1="售价",ROUND(PRODUCT(T47,AB7:AB46),0),ROUND(PRODUCT(T47,AB7:AB46),1))</f>
        <v>32015</v>
      </c>
      <c r="U48" s="3827"/>
      <c r="V48" s="3827">
        <f>IF(F1="售价",ROUND(PRODUCT(V47,AC7:AC46),0),ROUND(PRODUCT(V47,AC7:AC46),1))</f>
        <v>35502</v>
      </c>
      <c r="W48" s="3827"/>
      <c r="X48" s="1225"/>
      <c r="Y48" s="1225"/>
      <c r="Z48" s="1225"/>
      <c r="AA48" s="1225"/>
      <c r="AB48" s="1225"/>
      <c r="AC48" s="1225"/>
    </row>
    <row r="49" spans="1:29" ht="15">
      <c r="A49" s="1182" t="s">
        <v>2098</v>
      </c>
      <c r="B49" s="1183"/>
      <c r="C49" s="1498">
        <f>R49</f>
        <v>34715</v>
      </c>
      <c r="D49" s="1498"/>
      <c r="E49" s="1498"/>
      <c r="F49" s="1498"/>
      <c r="G49" s="1498"/>
      <c r="H49" s="1498"/>
      <c r="I49" s="1498"/>
      <c r="J49" s="1498"/>
      <c r="K49" s="1263"/>
      <c r="L49" s="1261"/>
      <c r="M49" s="1185"/>
      <c r="N49" s="1237"/>
      <c r="O49" s="1185"/>
      <c r="P49" s="3828" t="str">
        <f>A49</f>
        <v>估价对象XX用房的比较价值（楼面单价，元/平方米）</v>
      </c>
      <c r="Q49" s="3829"/>
      <c r="R49" s="3830">
        <f>IF(F1="售价",ROUND(IF(D48="简单平均",AVERAGE(R48:V48),R48*F48+T48*H48+V48*J48),0),ROUND(IF(D48="简单平均",AVERAGE(R48:V48),R48*F48+T48*H48+V48*J48),1))</f>
        <v>34715</v>
      </c>
      <c r="S49" s="3830"/>
      <c r="T49" s="3830"/>
      <c r="U49" s="3830"/>
      <c r="V49" s="3830"/>
      <c r="W49" s="383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2"/>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2"/>
      <c r="Q51" s="1185"/>
      <c r="R51" s="1185"/>
      <c r="S51" s="1185"/>
      <c r="T51" s="1185"/>
      <c r="U51" s="1185"/>
      <c r="V51" s="1185"/>
      <c r="W51" s="1185"/>
      <c r="X51" s="1185"/>
      <c r="Y51" s="1185"/>
      <c r="Z51" s="1185"/>
      <c r="AA51" s="1185"/>
      <c r="AB51" s="1185"/>
      <c r="AC51" s="1185"/>
    </row>
    <row r="52" spans="1:29" ht="13.5" customHeight="1">
      <c r="A52" s="1185"/>
      <c r="B52" s="1185"/>
      <c r="C52" s="1187" t="s">
        <v>2099</v>
      </c>
      <c r="D52" s="709"/>
      <c r="E52" s="1188">
        <f>IF(E47&lt;E48,E48/E47-1,E47/E48-1)</f>
        <v>0.11283717374686031</v>
      </c>
      <c r="F52" s="1189" t="str">
        <f>IF(OR(E52&gt;=0.3,E52&lt;=-0.3),"超过30%","")</f>
        <v/>
      </c>
      <c r="G52" s="1188">
        <f>IF(G47&lt;G48,G48/G47-1,G47/G48-1)</f>
        <v>4.6378611583213436E-2</v>
      </c>
      <c r="H52" s="1189" t="str">
        <f>IF(OR(G52&gt;=0.3,G52&lt;=-0.3),"超过30%","")</f>
        <v/>
      </c>
      <c r="I52" s="1188">
        <f>IF(I47&lt;I48,I48/I47-1,I47/I48-1)</f>
        <v>8.1685538842882099E-2</v>
      </c>
      <c r="J52" s="1189" t="str">
        <f>IF(OR(I52&gt;=0.3,I52&lt;=-0.3),"超过30%","")</f>
        <v/>
      </c>
      <c r="K52" s="1265"/>
      <c r="L52" s="1266"/>
      <c r="M52" s="1185"/>
      <c r="N52" s="1185"/>
      <c r="O52" s="1185"/>
      <c r="P52" s="1662"/>
      <c r="Q52" s="1185"/>
      <c r="R52" s="1185"/>
      <c r="S52" s="1185"/>
      <c r="T52" s="1185"/>
      <c r="U52" s="1185"/>
      <c r="V52" s="1185"/>
      <c r="W52" s="1185"/>
      <c r="X52" s="1185"/>
      <c r="Y52" s="1185"/>
      <c r="Z52" s="1185"/>
      <c r="AA52" s="1185"/>
      <c r="AB52" s="1185"/>
      <c r="AC52" s="1185"/>
    </row>
    <row r="53" spans="1:29" ht="13.5" customHeight="1">
      <c r="A53" s="1185"/>
      <c r="B53" s="1185"/>
      <c r="C53" s="1187" t="s">
        <v>2100</v>
      </c>
      <c r="D53" s="708"/>
      <c r="E53" s="1188">
        <f>IF(E48&lt;G48,G48/E48-1,E48/G48-1)</f>
        <v>0.1440887084179292</v>
      </c>
      <c r="F53" s="1189" t="str">
        <f>IF(OR(E53&gt;=0.2,E53&lt;=-0.2),"超过20%","")</f>
        <v/>
      </c>
      <c r="G53" s="1188">
        <f>IF(G48&lt;I48,I48/G48-1,G48/I48-1)</f>
        <v>0.10891769483054814</v>
      </c>
      <c r="H53" s="1189" t="str">
        <f>IF(OR(G53&gt;=0.2,G53&lt;=-0.2),"超过20%","")</f>
        <v/>
      </c>
      <c r="I53" s="1188">
        <f>IF(I48&lt;E48,E48/I48-1,I48/E48-1)</f>
        <v>3.1716523012788045E-2</v>
      </c>
      <c r="J53" s="1189" t="str">
        <f>IF(OR(I53&gt;=0.2,I53&lt;=-0.2),"超过20%","")</f>
        <v/>
      </c>
      <c r="K53" s="1265"/>
      <c r="L53" s="1266"/>
      <c r="M53" s="1185"/>
      <c r="N53" s="1185"/>
      <c r="O53" s="1185"/>
      <c r="P53" s="1662"/>
      <c r="Q53" s="1185"/>
      <c r="R53" s="1185"/>
      <c r="S53" s="1185"/>
      <c r="T53" s="1185"/>
      <c r="U53" s="1185"/>
      <c r="V53" s="1185"/>
      <c r="W53" s="1185"/>
      <c r="X53" s="1185"/>
      <c r="Y53" s="1185"/>
      <c r="Z53" s="1185"/>
      <c r="AA53" s="1185"/>
      <c r="AB53" s="1185"/>
      <c r="AC53" s="1185"/>
    </row>
    <row r="54" spans="1:29" s="1072" customFormat="1" ht="13.5" customHeight="1">
      <c r="A54" s="1190"/>
      <c r="B54" s="1190"/>
      <c r="C54" s="1187" t="s">
        <v>2101</v>
      </c>
      <c r="D54" s="708"/>
      <c r="E54" s="1188">
        <f>IF(E47&lt;G47,G47/E47-1,E47/G47-1)</f>
        <v>0.33223297163027854</v>
      </c>
      <c r="F54" s="1189" t="str">
        <f>IF(OR(E54&gt;=0.3,E54&lt;=-0.3),"超过30%","")</f>
        <v>超过30%</v>
      </c>
      <c r="G54" s="1188">
        <f>IF(G47&lt;I47,I47/G47-1,G47/I47-1)</f>
        <v>0.25513138972414695</v>
      </c>
      <c r="H54" s="1189" t="str">
        <f>IF(OR(G54&gt;=0.3,G54&lt;=-0.3),"超过30%","")</f>
        <v/>
      </c>
      <c r="I54" s="1188">
        <f>IF(I47&lt;E47,E47/I47-1,I47/E47-1)</f>
        <v>6.1429092234779548E-2</v>
      </c>
      <c r="J54" s="1189" t="str">
        <f>IF(OR(I54&gt;=0.3,I54&lt;=-0.3),"超过30%","")</f>
        <v/>
      </c>
      <c r="K54" s="1267"/>
      <c r="L54" s="1268"/>
      <c r="M54" s="1190"/>
      <c r="N54" s="1190"/>
      <c r="O54" s="1190"/>
      <c r="P54" s="1663"/>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3"/>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2"/>
      <c r="Q56" s="1185"/>
      <c r="R56" s="1185"/>
      <c r="S56" s="1185"/>
      <c r="T56" s="1185"/>
      <c r="U56" s="1185"/>
      <c r="V56" s="1185"/>
      <c r="W56" s="1185"/>
      <c r="X56" s="1185"/>
      <c r="Y56" s="1185"/>
      <c r="Z56" s="1185"/>
      <c r="AA56" s="1185"/>
      <c r="AB56" s="1185"/>
      <c r="AC56" s="1185"/>
    </row>
    <row r="57" spans="1:29" ht="21">
      <c r="A57" s="1224" t="s">
        <v>2102</v>
      </c>
      <c r="B57" s="1225"/>
      <c r="C57" s="1226"/>
      <c r="D57" s="1226"/>
      <c r="E57" s="1226"/>
      <c r="F57" s="1227"/>
      <c r="G57" s="1227"/>
      <c r="H57" s="1226"/>
      <c r="I57" s="1226"/>
      <c r="J57" s="1226"/>
      <c r="K57" s="1275"/>
      <c r="L57" s="1444"/>
      <c r="M57" s="1277"/>
      <c r="N57" s="1277"/>
      <c r="O57" s="1277"/>
      <c r="P57" s="1664"/>
      <c r="Q57" s="1290"/>
      <c r="R57" s="1185"/>
      <c r="S57" s="1185"/>
      <c r="T57" s="1185"/>
      <c r="U57" s="1185"/>
      <c r="V57" s="1185"/>
      <c r="W57" s="1185"/>
      <c r="X57" s="1185"/>
      <c r="Y57" s="1185"/>
      <c r="Z57" s="1185"/>
      <c r="AA57" s="1185"/>
      <c r="AB57" s="1185"/>
      <c r="AC57" s="1185"/>
    </row>
    <row r="58" spans="1:29" s="1074" customFormat="1" ht="15">
      <c r="A58" s="1500" t="s">
        <v>2062</v>
      </c>
      <c r="B58" s="1501"/>
      <c r="C58" s="1502" t="str">
        <f>YEAR(C7)&amp;"-"&amp;MONTH(C7)</f>
        <v>2024-1</v>
      </c>
      <c r="D58" s="1503">
        <f>EDATE(C58,-1)</f>
        <v>45261</v>
      </c>
      <c r="E58" s="1503">
        <f t="shared" ref="E58:O58" si="16">EDATE(D58,-1)</f>
        <v>45231</v>
      </c>
      <c r="F58" s="1503">
        <f t="shared" si="16"/>
        <v>45200</v>
      </c>
      <c r="G58" s="1503">
        <f t="shared" si="16"/>
        <v>45170</v>
      </c>
      <c r="H58" s="1503">
        <f t="shared" si="16"/>
        <v>45139</v>
      </c>
      <c r="I58" s="1503">
        <f t="shared" si="16"/>
        <v>45108</v>
      </c>
      <c r="J58" s="1503">
        <f t="shared" si="16"/>
        <v>45078</v>
      </c>
      <c r="K58" s="1503">
        <f t="shared" si="16"/>
        <v>45047</v>
      </c>
      <c r="L58" s="1503">
        <f t="shared" si="16"/>
        <v>45017</v>
      </c>
      <c r="M58" s="1503">
        <f t="shared" si="16"/>
        <v>44986</v>
      </c>
      <c r="N58" s="1503">
        <f t="shared" si="16"/>
        <v>44958</v>
      </c>
      <c r="O58" s="1503">
        <f t="shared" si="16"/>
        <v>44927</v>
      </c>
      <c r="P58" s="1665"/>
      <c r="Q58" s="1409"/>
      <c r="R58" s="1409"/>
      <c r="S58" s="1409"/>
      <c r="T58" s="1409"/>
      <c r="U58" s="1409"/>
      <c r="V58" s="1409"/>
      <c r="W58" s="1409"/>
      <c r="X58" s="1409"/>
      <c r="Y58" s="1409"/>
      <c r="Z58" s="1409"/>
      <c r="AA58" s="1409"/>
      <c r="AB58" s="1409"/>
      <c r="AC58" s="1409"/>
    </row>
    <row r="59" spans="1:29" s="1069" customFormat="1" ht="15">
      <c r="A59" s="1504"/>
      <c r="B59" s="1310"/>
      <c r="C59" s="1505">
        <v>100</v>
      </c>
      <c r="D59" s="1314">
        <v>100</v>
      </c>
      <c r="E59" s="1314">
        <v>100</v>
      </c>
      <c r="F59" s="1314">
        <v>99.5</v>
      </c>
      <c r="G59" s="1314">
        <v>99.5</v>
      </c>
      <c r="H59" s="1314">
        <v>99.5</v>
      </c>
      <c r="I59" s="1314">
        <v>99</v>
      </c>
      <c r="J59" s="1314">
        <v>99</v>
      </c>
      <c r="K59" s="1314">
        <v>99</v>
      </c>
      <c r="L59" s="1314">
        <v>98.5</v>
      </c>
      <c r="M59" s="1314">
        <v>98.5</v>
      </c>
      <c r="N59" s="1314"/>
      <c r="O59" s="1512"/>
      <c r="P59" s="1666"/>
      <c r="Q59" s="1410"/>
      <c r="R59" s="1410"/>
      <c r="S59" s="1410"/>
      <c r="T59" s="1410"/>
      <c r="U59" s="1410"/>
      <c r="V59" s="1410"/>
      <c r="W59" s="1410"/>
      <c r="X59" s="1410"/>
      <c r="Y59" s="1410"/>
      <c r="Z59" s="1410"/>
      <c r="AA59" s="1410"/>
      <c r="AB59" s="1410"/>
      <c r="AC59" s="1410"/>
    </row>
    <row r="60" spans="1:29" s="1069" customFormat="1" ht="15">
      <c r="A60" s="1305" t="s">
        <v>2103</v>
      </c>
      <c r="B60" s="1306"/>
      <c r="C60" s="1307"/>
      <c r="D60" s="1308"/>
      <c r="E60" s="1308"/>
      <c r="F60" s="1308"/>
      <c r="G60" s="1308"/>
      <c r="H60" s="1308"/>
      <c r="I60" s="1308"/>
      <c r="J60" s="1308"/>
      <c r="K60" s="1308"/>
      <c r="L60" s="1308"/>
      <c r="M60" s="1356"/>
      <c r="N60" s="1308"/>
      <c r="O60" s="1356"/>
      <c r="P60" s="1666"/>
      <c r="Q60" s="1290"/>
      <c r="R60" s="1410"/>
      <c r="S60" s="1410"/>
      <c r="T60" s="1410"/>
      <c r="U60" s="1410"/>
      <c r="V60" s="1410"/>
      <c r="W60" s="1410"/>
      <c r="X60" s="1410"/>
      <c r="Y60" s="1410"/>
      <c r="Z60" s="1410"/>
      <c r="AA60" s="1410"/>
      <c r="AB60" s="1410"/>
      <c r="AC60" s="1410"/>
    </row>
    <row r="61" spans="1:29" s="1069" customFormat="1" ht="15">
      <c r="A61" s="1309" t="s">
        <v>2065</v>
      </c>
      <c r="B61" s="1310"/>
      <c r="C61" s="1311" t="s">
        <v>2104</v>
      </c>
      <c r="D61" s="1592" t="s">
        <v>3365</v>
      </c>
      <c r="E61" s="1312"/>
      <c r="F61" s="1312"/>
      <c r="G61" s="1312"/>
      <c r="H61" s="1312"/>
      <c r="I61" s="1312"/>
      <c r="J61" s="1312"/>
      <c r="K61" s="1312"/>
      <c r="L61" s="1358"/>
      <c r="M61" s="1359"/>
      <c r="N61" s="1360"/>
      <c r="O61" s="1360"/>
      <c r="P61" s="1667"/>
      <c r="Q61" s="1290"/>
      <c r="R61" s="1410"/>
      <c r="S61" s="1410"/>
      <c r="T61" s="1410"/>
      <c r="U61" s="1410"/>
      <c r="V61" s="1410"/>
      <c r="W61" s="1410"/>
      <c r="X61" s="1410"/>
      <c r="Y61" s="1410"/>
      <c r="Z61" s="1410"/>
      <c r="AA61" s="1410"/>
      <c r="AB61" s="1410"/>
      <c r="AC61" s="1410"/>
    </row>
    <row r="62" spans="1:29" s="1069" customFormat="1" ht="15">
      <c r="A62" s="1309"/>
      <c r="B62" s="1310"/>
      <c r="C62" s="1644">
        <v>100</v>
      </c>
      <c r="D62" s="1314">
        <v>103</v>
      </c>
      <c r="E62" s="1314"/>
      <c r="F62" s="1314"/>
      <c r="G62" s="1314"/>
      <c r="H62" s="1314"/>
      <c r="I62" s="1314"/>
      <c r="J62" s="1314"/>
      <c r="K62" s="1314"/>
      <c r="L62" s="1314"/>
      <c r="M62" s="1362"/>
      <c r="N62" s="1360"/>
      <c r="O62" s="1360"/>
      <c r="P62" s="1666"/>
      <c r="Q62" s="1290"/>
      <c r="R62" s="1410"/>
      <c r="S62" s="1410"/>
      <c r="T62" s="1410"/>
      <c r="U62" s="1410"/>
      <c r="V62" s="1410"/>
      <c r="W62" s="1410"/>
      <c r="X62" s="1410"/>
      <c r="Y62" s="1410"/>
      <c r="Z62" s="1410"/>
      <c r="AA62" s="1410"/>
      <c r="AB62" s="1410"/>
      <c r="AC62" s="1410"/>
    </row>
    <row r="63" spans="1:29">
      <c r="A63" s="1315" t="s">
        <v>2105</v>
      </c>
      <c r="B63" s="1316" t="s">
        <v>2068</v>
      </c>
      <c r="C63" s="1338" t="str">
        <f>C9</f>
        <v>商业</v>
      </c>
      <c r="D63" s="1258"/>
      <c r="E63" s="1258"/>
      <c r="F63" s="1258"/>
      <c r="G63" s="1258"/>
      <c r="H63" s="1258"/>
      <c r="I63" s="1258"/>
      <c r="J63" s="1258"/>
      <c r="K63" s="1363"/>
      <c r="L63" s="1364"/>
      <c r="M63" s="1365"/>
      <c r="N63" s="1366"/>
      <c r="O63" s="1366"/>
      <c r="P63" s="1668"/>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8"/>
      <c r="Q64" s="1290"/>
      <c r="R64" s="1185"/>
      <c r="S64" s="1185"/>
      <c r="T64" s="1185"/>
      <c r="U64" s="1185"/>
      <c r="V64" s="1185"/>
      <c r="W64" s="1185"/>
      <c r="X64" s="1185"/>
      <c r="Y64" s="1185"/>
      <c r="Z64" s="1185"/>
      <c r="AA64" s="1185"/>
      <c r="AB64" s="1185"/>
      <c r="AC64" s="1185"/>
    </row>
    <row r="65" spans="1:29" ht="27">
      <c r="A65" s="1317"/>
      <c r="B65" s="1320" t="s">
        <v>2071</v>
      </c>
      <c r="C65" s="1345" t="s">
        <v>3347</v>
      </c>
      <c r="D65" s="1345" t="s">
        <v>3348</v>
      </c>
      <c r="E65" s="1345"/>
      <c r="F65" s="1345"/>
      <c r="G65" s="1345"/>
      <c r="H65" s="1345"/>
      <c r="I65" s="1345"/>
      <c r="J65" s="1345"/>
      <c r="K65" s="1396"/>
      <c r="L65" s="1397"/>
      <c r="M65" s="1398"/>
      <c r="N65" s="1366"/>
      <c r="O65" s="1366"/>
      <c r="P65" s="1668"/>
      <c r="Q65" s="1290"/>
      <c r="R65" s="1185"/>
      <c r="S65" s="1185"/>
      <c r="T65" s="1185"/>
      <c r="U65" s="1185"/>
      <c r="V65" s="1185"/>
      <c r="W65" s="1185"/>
      <c r="X65" s="1185"/>
      <c r="Y65" s="1185"/>
      <c r="Z65" s="1185"/>
      <c r="AA65" s="1185"/>
      <c r="AB65" s="1185"/>
      <c r="AC65" s="1185"/>
    </row>
    <row r="66" spans="1:29" ht="15">
      <c r="A66" s="1317"/>
      <c r="B66" s="1322"/>
      <c r="C66" s="1319">
        <v>100</v>
      </c>
      <c r="D66" s="1319">
        <v>102</v>
      </c>
      <c r="E66" s="1319"/>
      <c r="F66" s="1319"/>
      <c r="G66" s="1319"/>
      <c r="H66" s="1319"/>
      <c r="I66" s="1319"/>
      <c r="J66" s="1319"/>
      <c r="K66" s="1319"/>
      <c r="L66" s="1319"/>
      <c r="M66" s="1368"/>
      <c r="N66" s="1369"/>
      <c r="O66" s="1369"/>
      <c r="P66" s="1668"/>
      <c r="Q66" s="1290"/>
      <c r="R66" s="1185"/>
      <c r="S66" s="1185"/>
      <c r="T66" s="1185"/>
      <c r="U66" s="1185"/>
      <c r="V66" s="1185"/>
      <c r="W66" s="1185"/>
      <c r="X66" s="1185"/>
      <c r="Y66" s="1185"/>
      <c r="Z66" s="1185"/>
      <c r="AA66" s="1185"/>
      <c r="AB66" s="1185"/>
      <c r="AC66" s="1185"/>
    </row>
    <row r="67" spans="1:29" ht="15">
      <c r="A67" s="1317"/>
      <c r="B67" s="1324" t="s">
        <v>2072</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8"/>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1668"/>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8"/>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3"/>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3"/>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4"/>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3"/>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5"/>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3"/>
      <c r="Q75" s="1411"/>
      <c r="R75" s="1412"/>
      <c r="S75" s="1412"/>
      <c r="T75" s="1412"/>
      <c r="U75" s="1412"/>
      <c r="V75" s="1412"/>
      <c r="W75" s="1412"/>
      <c r="X75" s="1412"/>
      <c r="Y75" s="1412"/>
      <c r="Z75" s="1412"/>
      <c r="AA75" s="1412"/>
      <c r="AB75" s="1412"/>
      <c r="AC75" s="1412"/>
    </row>
    <row r="76" spans="1:29">
      <c r="A76" s="1315" t="s">
        <v>2073</v>
      </c>
      <c r="B76" s="1316" t="s">
        <v>2074</v>
      </c>
      <c r="C76" s="1337" t="s">
        <v>2106</v>
      </c>
      <c r="D76" s="1337" t="s">
        <v>2107</v>
      </c>
      <c r="E76" s="1337" t="s">
        <v>2108</v>
      </c>
      <c r="F76" s="1337" t="s">
        <v>2109</v>
      </c>
      <c r="G76" s="1337" t="s">
        <v>2110</v>
      </c>
      <c r="H76" s="1338"/>
      <c r="I76" s="1338"/>
      <c r="J76" s="1338"/>
      <c r="K76" s="1386"/>
      <c r="L76" s="1387"/>
      <c r="M76" s="1388"/>
      <c r="N76" s="1366"/>
      <c r="O76" s="1366"/>
      <c r="P76" s="1676"/>
      <c r="Q76" s="1290"/>
      <c r="R76" s="1185"/>
      <c r="S76" s="1185"/>
      <c r="T76" s="1185"/>
      <c r="U76" s="1185"/>
      <c r="V76" s="1185"/>
      <c r="W76" s="1185"/>
      <c r="X76" s="1185"/>
      <c r="Y76" s="1185"/>
      <c r="Z76" s="1185"/>
      <c r="AA76" s="1185"/>
      <c r="AB76" s="1185"/>
      <c r="AC76" s="1185"/>
    </row>
    <row r="77" spans="1:29" ht="15">
      <c r="A77" s="1317"/>
      <c r="B77" s="1322"/>
      <c r="C77" s="1323">
        <v>100</v>
      </c>
      <c r="D77" s="1323">
        <f>C77-$K15</f>
        <v>96</v>
      </c>
      <c r="E77" s="1323">
        <f>D77-$K15</f>
        <v>92</v>
      </c>
      <c r="F77" s="1323">
        <f>E77-$K15</f>
        <v>88</v>
      </c>
      <c r="G77" s="1323">
        <f>F77-$K15</f>
        <v>84</v>
      </c>
      <c r="H77" s="1323"/>
      <c r="I77" s="1323"/>
      <c r="J77" s="1323"/>
      <c r="K77" s="1323"/>
      <c r="L77" s="1323"/>
      <c r="M77" s="1373"/>
      <c r="N77" s="1369"/>
      <c r="O77" s="1369"/>
      <c r="P77" s="1668"/>
      <c r="Q77" s="1290"/>
      <c r="R77" s="1185"/>
      <c r="S77" s="1185"/>
      <c r="T77" s="1185"/>
      <c r="U77" s="1185"/>
      <c r="V77" s="1185"/>
      <c r="W77" s="1185"/>
      <c r="X77" s="1185"/>
      <c r="Y77" s="1185"/>
      <c r="Z77" s="1185"/>
      <c r="AA77" s="1185"/>
      <c r="AB77" s="1185"/>
      <c r="AC77" s="1185"/>
    </row>
    <row r="78" spans="1:29" ht="15">
      <c r="A78" s="1317"/>
      <c r="B78" s="1320" t="s">
        <v>2076</v>
      </c>
      <c r="C78" s="1339" t="s">
        <v>2106</v>
      </c>
      <c r="D78" s="1339" t="s">
        <v>2107</v>
      </c>
      <c r="E78" s="1339" t="s">
        <v>2108</v>
      </c>
      <c r="F78" s="1339" t="s">
        <v>2109</v>
      </c>
      <c r="G78" s="1339" t="s">
        <v>2110</v>
      </c>
      <c r="H78" s="1321"/>
      <c r="I78" s="1321"/>
      <c r="J78" s="1321"/>
      <c r="K78" s="1370"/>
      <c r="L78" s="1371"/>
      <c r="M78" s="1372"/>
      <c r="N78" s="1366"/>
      <c r="O78" s="1366"/>
      <c r="P78" s="1668"/>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1668"/>
      <c r="Q79" s="1290"/>
      <c r="R79" s="1185"/>
      <c r="S79" s="1185"/>
      <c r="T79" s="1185"/>
      <c r="U79" s="1185"/>
      <c r="V79" s="1185"/>
      <c r="W79" s="1185"/>
      <c r="X79" s="1185"/>
      <c r="Y79" s="1185"/>
      <c r="Z79" s="1185"/>
      <c r="AA79" s="1185"/>
      <c r="AB79" s="1185"/>
      <c r="AC79" s="1185"/>
    </row>
    <row r="80" spans="1:29" ht="15">
      <c r="A80" s="1317"/>
      <c r="B80" s="1320" t="s">
        <v>2077</v>
      </c>
      <c r="C80" s="1339" t="s">
        <v>2106</v>
      </c>
      <c r="D80" s="1339" t="s">
        <v>2107</v>
      </c>
      <c r="E80" s="1339" t="s">
        <v>2108</v>
      </c>
      <c r="F80" s="1339" t="s">
        <v>2109</v>
      </c>
      <c r="G80" s="1339" t="s">
        <v>2110</v>
      </c>
      <c r="H80" s="1321"/>
      <c r="I80" s="1321"/>
      <c r="J80" s="1321"/>
      <c r="K80" s="1370"/>
      <c r="L80" s="1371"/>
      <c r="M80" s="1372"/>
      <c r="N80" s="1366"/>
      <c r="O80" s="1366"/>
      <c r="P80" s="1668"/>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1668"/>
      <c r="Q81" s="1290"/>
      <c r="R81" s="1185"/>
      <c r="S81" s="1185"/>
      <c r="T81" s="1185"/>
      <c r="U81" s="1185"/>
      <c r="V81" s="1185"/>
      <c r="W81" s="1185"/>
      <c r="X81" s="1185"/>
      <c r="Y81" s="1185"/>
      <c r="Z81" s="1185"/>
      <c r="AA81" s="1185"/>
      <c r="AB81" s="1185"/>
      <c r="AC81" s="1185"/>
    </row>
    <row r="82" spans="1:29" ht="15">
      <c r="A82" s="1317"/>
      <c r="B82" s="1324" t="s">
        <v>2078</v>
      </c>
      <c r="C82" s="1344" t="s">
        <v>2111</v>
      </c>
      <c r="D82" s="1344" t="s">
        <v>2112</v>
      </c>
      <c r="E82" s="1344" t="s">
        <v>2113</v>
      </c>
      <c r="F82" s="1344" t="s">
        <v>2114</v>
      </c>
      <c r="G82" s="1344" t="s">
        <v>2115</v>
      </c>
      <c r="H82" s="1321"/>
      <c r="I82" s="1321"/>
      <c r="J82" s="1321"/>
      <c r="K82" s="1321"/>
      <c r="L82" s="1321"/>
      <c r="M82" s="1517"/>
      <c r="N82" s="1369"/>
      <c r="O82" s="1369"/>
      <c r="P82" s="1668"/>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68"/>
      <c r="Q83" s="1290"/>
      <c r="R83" s="1185"/>
      <c r="S83" s="1185"/>
      <c r="T83" s="1185"/>
      <c r="U83" s="1185"/>
      <c r="V83" s="1185"/>
      <c r="W83" s="1185"/>
      <c r="X83" s="1185"/>
      <c r="Y83" s="1185"/>
      <c r="Z83" s="1185"/>
      <c r="AA83" s="1185"/>
      <c r="AB83" s="1185"/>
      <c r="AC83" s="1185"/>
    </row>
    <row r="84" spans="1:29" ht="15">
      <c r="A84" s="1317"/>
      <c r="B84" s="1320" t="s">
        <v>2079</v>
      </c>
      <c r="C84" s="1339" t="s">
        <v>2106</v>
      </c>
      <c r="D84" s="1339" t="s">
        <v>2107</v>
      </c>
      <c r="E84" s="1339" t="s">
        <v>2108</v>
      </c>
      <c r="F84" s="1339" t="s">
        <v>2109</v>
      </c>
      <c r="G84" s="1339" t="s">
        <v>2110</v>
      </c>
      <c r="H84" s="1321"/>
      <c r="I84" s="1321"/>
      <c r="J84" s="1321"/>
      <c r="K84" s="1370"/>
      <c r="L84" s="1371"/>
      <c r="M84" s="1372"/>
      <c r="N84" s="1366"/>
      <c r="O84" s="1366"/>
      <c r="P84" s="1668"/>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668"/>
      <c r="Q85" s="1290"/>
      <c r="R85" s="1185"/>
      <c r="S85" s="1185"/>
      <c r="T85" s="1185"/>
      <c r="U85" s="1185"/>
      <c r="V85" s="1185"/>
      <c r="W85" s="1185"/>
      <c r="X85" s="1185"/>
      <c r="Y85" s="1185"/>
      <c r="Z85" s="1185"/>
      <c r="AA85" s="1185"/>
      <c r="AB85" s="1185"/>
      <c r="AC85" s="1185"/>
    </row>
    <row r="86" spans="1:29" s="1069" customFormat="1" ht="15">
      <c r="A86" s="1340"/>
      <c r="B86" s="1320" t="s">
        <v>2138</v>
      </c>
      <c r="C86" s="1627" t="s">
        <v>3349</v>
      </c>
      <c r="D86" s="1627" t="s">
        <v>3350</v>
      </c>
      <c r="E86" s="1627" t="s">
        <v>3351</v>
      </c>
      <c r="F86" s="1627" t="s">
        <v>3352</v>
      </c>
      <c r="G86" s="1328"/>
      <c r="H86" s="1328"/>
      <c r="I86" s="1328"/>
      <c r="J86" s="1328"/>
      <c r="K86" s="1328"/>
      <c r="L86" s="1518"/>
      <c r="M86" s="1519"/>
      <c r="N86" s="1360"/>
      <c r="O86" s="1360"/>
      <c r="P86" s="1668"/>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69"/>
      <c r="O87" s="1369"/>
      <c r="P87" s="1668"/>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3572" t="s">
        <v>3374</v>
      </c>
      <c r="D88" s="3572" t="s">
        <v>3375</v>
      </c>
      <c r="E88" s="3572" t="s">
        <v>3376</v>
      </c>
      <c r="F88" s="3572" t="s">
        <v>3377</v>
      </c>
      <c r="G88" s="3572" t="s">
        <v>3378</v>
      </c>
      <c r="H88" s="1328"/>
      <c r="I88" s="1328"/>
      <c r="J88" s="1328"/>
      <c r="K88" s="1328"/>
      <c r="L88" s="1328"/>
      <c r="M88" s="1519"/>
      <c r="N88" s="1360"/>
      <c r="O88" s="1360"/>
      <c r="P88" s="1668"/>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C89-2</f>
        <v>98</v>
      </c>
      <c r="E89" s="1319">
        <f t="shared" ref="E89:G89" si="21">D89-2</f>
        <v>96</v>
      </c>
      <c r="F89" s="1319">
        <f t="shared" si="21"/>
        <v>94</v>
      </c>
      <c r="G89" s="1319">
        <f t="shared" si="21"/>
        <v>92</v>
      </c>
      <c r="H89" s="1319"/>
      <c r="I89" s="1319"/>
      <c r="J89" s="1319"/>
      <c r="K89" s="1319"/>
      <c r="L89" s="1319"/>
      <c r="M89" s="1319"/>
      <c r="N89" s="1369"/>
      <c r="O89" s="1369"/>
      <c r="P89" s="1668"/>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27" t="s">
        <v>3369</v>
      </c>
      <c r="D90" s="1627" t="s">
        <v>3370</v>
      </c>
      <c r="E90" s="1627" t="s">
        <v>3371</v>
      </c>
      <c r="F90" s="1627" t="s">
        <v>3372</v>
      </c>
      <c r="G90" s="1627" t="s">
        <v>3373</v>
      </c>
      <c r="H90" s="1329"/>
      <c r="I90" s="1329"/>
      <c r="J90" s="1329"/>
      <c r="K90" s="1329"/>
      <c r="L90" s="1377"/>
      <c r="M90" s="1378"/>
      <c r="N90" s="1379"/>
      <c r="O90" s="1379"/>
      <c r="P90" s="1673"/>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95</v>
      </c>
      <c r="E91" s="1323">
        <f t="shared" ref="E91:M91" si="22">D91-$K27</f>
        <v>90</v>
      </c>
      <c r="F91" s="1323">
        <f t="shared" si="22"/>
        <v>85</v>
      </c>
      <c r="G91" s="1323">
        <f t="shared" si="22"/>
        <v>80</v>
      </c>
      <c r="H91" s="1323">
        <f t="shared" si="22"/>
        <v>75</v>
      </c>
      <c r="I91" s="1323">
        <f t="shared" si="22"/>
        <v>70</v>
      </c>
      <c r="J91" s="1323">
        <f t="shared" si="22"/>
        <v>65</v>
      </c>
      <c r="K91" s="1323">
        <f t="shared" si="22"/>
        <v>60</v>
      </c>
      <c r="L91" s="1323">
        <f t="shared" si="22"/>
        <v>55</v>
      </c>
      <c r="M91" s="1323">
        <f t="shared" si="22"/>
        <v>50</v>
      </c>
      <c r="N91" s="1379"/>
      <c r="O91" s="1379"/>
      <c r="P91" s="1673"/>
      <c r="Q91" s="1411"/>
      <c r="R91" s="1412"/>
      <c r="S91" s="1412"/>
      <c r="T91" s="1412"/>
      <c r="U91" s="1412"/>
      <c r="V91" s="1412"/>
      <c r="W91" s="1412"/>
      <c r="X91" s="1412"/>
      <c r="Y91" s="1412"/>
      <c r="Z91" s="1412"/>
      <c r="AA91" s="1412"/>
      <c r="AB91" s="1412"/>
      <c r="AC91" s="1412"/>
    </row>
    <row r="92" spans="1:29" ht="15">
      <c r="A92" s="1317"/>
      <c r="B92" s="1320" t="str">
        <f>B28</f>
        <v>楼层</v>
      </c>
      <c r="C92" s="1328">
        <v>1</v>
      </c>
      <c r="D92" s="3573" t="s">
        <v>3380</v>
      </c>
      <c r="E92" s="1328"/>
      <c r="F92" s="1328"/>
      <c r="G92" s="1328"/>
      <c r="H92" s="1328"/>
      <c r="I92" s="1328"/>
      <c r="J92" s="1328"/>
      <c r="K92" s="1328"/>
      <c r="L92" s="1518"/>
      <c r="M92" s="1519"/>
      <c r="N92" s="1366"/>
      <c r="O92" s="1366"/>
      <c r="P92" s="1668"/>
      <c r="Q92" s="1290"/>
      <c r="R92" s="1185"/>
      <c r="S92" s="1185"/>
      <c r="T92" s="1185"/>
      <c r="U92" s="1185"/>
      <c r="V92" s="1185"/>
      <c r="W92" s="1185"/>
      <c r="X92" s="1185"/>
      <c r="Y92" s="1185"/>
      <c r="Z92" s="1185"/>
      <c r="AA92" s="1185"/>
      <c r="AB92" s="1185"/>
      <c r="AC92" s="1185"/>
    </row>
    <row r="93" spans="1:29" ht="15">
      <c r="A93" s="1317"/>
      <c r="B93" s="1322"/>
      <c r="C93" s="1319">
        <v>100</v>
      </c>
      <c r="D93" s="1319">
        <v>85</v>
      </c>
      <c r="E93" s="1319"/>
      <c r="F93" s="1319"/>
      <c r="G93" s="1319"/>
      <c r="H93" s="1319"/>
      <c r="I93" s="1319"/>
      <c r="J93" s="1319"/>
      <c r="K93" s="1319"/>
      <c r="L93" s="1319"/>
      <c r="M93" s="1368"/>
      <c r="N93" s="1369"/>
      <c r="O93" s="1369"/>
      <c r="P93" s="1668"/>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8"/>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8"/>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8"/>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8"/>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8"/>
      <c r="Q98" s="1290"/>
      <c r="R98" s="1185"/>
      <c r="S98" s="1185"/>
      <c r="T98" s="1185"/>
      <c r="U98" s="1185"/>
      <c r="V98" s="1185"/>
      <c r="W98" s="1185"/>
      <c r="X98" s="1185"/>
      <c r="Y98" s="1185"/>
      <c r="Z98" s="1185"/>
      <c r="AA98" s="1185"/>
      <c r="AB98" s="1185"/>
      <c r="AC98" s="1185"/>
    </row>
    <row r="99" spans="1:29" ht="15">
      <c r="A99" s="1625"/>
      <c r="B99" s="1334"/>
      <c r="C99" s="1335"/>
      <c r="D99" s="1335"/>
      <c r="E99" s="1335"/>
      <c r="F99" s="1335"/>
      <c r="G99" s="1347"/>
      <c r="H99" s="1347"/>
      <c r="I99" s="1347"/>
      <c r="J99" s="1347"/>
      <c r="K99" s="1347"/>
      <c r="L99" s="1347"/>
      <c r="M99" s="1402"/>
      <c r="N99" s="1369"/>
      <c r="O99" s="1369"/>
      <c r="P99" s="1668"/>
      <c r="Q99" s="1290"/>
      <c r="R99" s="1185"/>
      <c r="S99" s="1185"/>
      <c r="T99" s="1185"/>
      <c r="U99" s="1185"/>
      <c r="V99" s="1185"/>
      <c r="W99" s="1185"/>
      <c r="X99" s="1185"/>
      <c r="Y99" s="1185"/>
      <c r="Z99" s="1185"/>
      <c r="AA99" s="1185"/>
      <c r="AB99" s="1185"/>
      <c r="AC99" s="1185"/>
    </row>
    <row r="100" spans="1:29">
      <c r="A100" s="1315" t="s">
        <v>2082</v>
      </c>
      <c r="B100" s="1316" t="s">
        <v>2142</v>
      </c>
      <c r="C100" s="1626" t="s">
        <v>3387</v>
      </c>
      <c r="D100" s="1626" t="s">
        <v>3354</v>
      </c>
      <c r="E100" s="1626" t="s">
        <v>3356</v>
      </c>
      <c r="F100" s="1258"/>
      <c r="G100" s="1258"/>
      <c r="H100" s="1258"/>
      <c r="I100" s="1258"/>
      <c r="J100" s="1258"/>
      <c r="K100" s="1363"/>
      <c r="L100" s="1364"/>
      <c r="M100" s="1365"/>
      <c r="N100" s="1366"/>
      <c r="O100" s="1366"/>
      <c r="P100" s="1668"/>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3">C101-$K32</f>
        <v>98</v>
      </c>
      <c r="E101" s="1323">
        <f t="shared" si="23"/>
        <v>96</v>
      </c>
      <c r="F101" s="1323">
        <f t="shared" si="23"/>
        <v>94</v>
      </c>
      <c r="G101" s="1323">
        <f t="shared" si="23"/>
        <v>92</v>
      </c>
      <c r="H101" s="1323">
        <f t="shared" si="23"/>
        <v>90</v>
      </c>
      <c r="I101" s="1323">
        <f t="shared" si="23"/>
        <v>88</v>
      </c>
      <c r="J101" s="1323">
        <f t="shared" si="23"/>
        <v>86</v>
      </c>
      <c r="K101" s="1323">
        <f t="shared" si="23"/>
        <v>84</v>
      </c>
      <c r="L101" s="1323">
        <f t="shared" si="23"/>
        <v>82</v>
      </c>
      <c r="M101" s="1373">
        <f t="shared" si="23"/>
        <v>80</v>
      </c>
      <c r="N101" s="1369"/>
      <c r="O101" s="1369"/>
      <c r="P101" s="1668"/>
      <c r="Q101" s="1290"/>
      <c r="R101" s="1185"/>
      <c r="S101" s="1185"/>
      <c r="T101" s="1185"/>
      <c r="U101" s="1185"/>
      <c r="V101" s="1185"/>
      <c r="W101" s="1185"/>
      <c r="X101" s="1185"/>
      <c r="Y101" s="1185"/>
      <c r="Z101" s="1185"/>
      <c r="AA101" s="1185"/>
      <c r="AB101" s="1185"/>
      <c r="AC101" s="1185"/>
    </row>
    <row r="102" spans="1:29" ht="15">
      <c r="A102" s="1317"/>
      <c r="B102" s="1320" t="s">
        <v>2085</v>
      </c>
      <c r="C102" s="1339" t="str">
        <f>C103&amp;"(含)"&amp;"-"&amp;D103</f>
        <v>0(含)-100</v>
      </c>
      <c r="D102" s="1339" t="str">
        <f t="shared" ref="D102:L102" si="24">D103&amp;"(含)"&amp;"-"&amp;E103</f>
        <v>100(含)-200</v>
      </c>
      <c r="E102" s="1339" t="str">
        <f t="shared" si="24"/>
        <v>200(含)-300</v>
      </c>
      <c r="F102" s="1339" t="str">
        <f t="shared" si="24"/>
        <v>300(含)-400</v>
      </c>
      <c r="G102" s="1339" t="str">
        <f t="shared" si="24"/>
        <v>400(含)-500</v>
      </c>
      <c r="H102" s="1339" t="str">
        <f t="shared" si="24"/>
        <v>500(含)-600</v>
      </c>
      <c r="I102" s="1339" t="str">
        <f t="shared" si="24"/>
        <v>600(含)-</v>
      </c>
      <c r="J102" s="1339" t="str">
        <f t="shared" si="24"/>
        <v>(含)-</v>
      </c>
      <c r="K102" s="1339" t="str">
        <f t="shared" si="24"/>
        <v>(含)-</v>
      </c>
      <c r="L102" s="1339" t="str">
        <f t="shared" si="24"/>
        <v>(含)-</v>
      </c>
      <c r="M102" s="1391" t="str">
        <f>M103&amp;"(含)"&amp;"-"&amp;P103</f>
        <v>(含)-</v>
      </c>
      <c r="N102" s="1360"/>
      <c r="O102" s="1360"/>
      <c r="P102" s="1668"/>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f>C103+100</f>
        <v>100</v>
      </c>
      <c r="E103" s="1304">
        <f t="shared" ref="E103:I103" si="25">D103+100</f>
        <v>200</v>
      </c>
      <c r="F103" s="1304">
        <f t="shared" si="25"/>
        <v>300</v>
      </c>
      <c r="G103" s="1304">
        <f t="shared" si="25"/>
        <v>400</v>
      </c>
      <c r="H103" s="1304">
        <f t="shared" si="25"/>
        <v>500</v>
      </c>
      <c r="I103" s="1304">
        <f t="shared" si="25"/>
        <v>600</v>
      </c>
      <c r="J103" s="1403"/>
      <c r="K103" s="1403"/>
      <c r="L103" s="1404"/>
      <c r="M103" s="1405"/>
      <c r="N103" s="1379"/>
      <c r="O103" s="1379"/>
      <c r="P103" s="1673"/>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f>C104-1</f>
        <v>99</v>
      </c>
      <c r="E104" s="1319">
        <f t="shared" ref="E104:I104" si="26">D104-1</f>
        <v>98</v>
      </c>
      <c r="F104" s="1319">
        <f t="shared" si="26"/>
        <v>97</v>
      </c>
      <c r="G104" s="1319">
        <f t="shared" si="26"/>
        <v>96</v>
      </c>
      <c r="H104" s="1319">
        <f t="shared" si="26"/>
        <v>95</v>
      </c>
      <c r="I104" s="1319">
        <f t="shared" si="26"/>
        <v>94</v>
      </c>
      <c r="J104" s="1319"/>
      <c r="K104" s="1319"/>
      <c r="L104" s="1319"/>
      <c r="M104" s="1368"/>
      <c r="N104" s="1369"/>
      <c r="O104" s="1369"/>
      <c r="P104" s="1673"/>
      <c r="Q104" s="1411"/>
      <c r="R104" s="1412"/>
      <c r="S104" s="1412"/>
      <c r="T104" s="1412"/>
      <c r="U104" s="1412"/>
      <c r="V104" s="1412"/>
      <c r="W104" s="1412"/>
      <c r="X104" s="1412"/>
      <c r="Y104" s="1412"/>
      <c r="Z104" s="1412"/>
      <c r="AA104" s="1412"/>
      <c r="AB104" s="1412"/>
      <c r="AC104" s="1412"/>
    </row>
    <row r="105" spans="1:29">
      <c r="A105" s="1351"/>
      <c r="B105" s="1320" t="s">
        <v>2086</v>
      </c>
      <c r="C105" s="1627" t="s">
        <v>3357</v>
      </c>
      <c r="D105" s="1328"/>
      <c r="E105" s="1345"/>
      <c r="F105" s="1345"/>
      <c r="G105" s="1345"/>
      <c r="H105" s="1345"/>
      <c r="I105" s="1345"/>
      <c r="J105" s="1345"/>
      <c r="K105" s="1396"/>
      <c r="L105" s="1397"/>
      <c r="M105" s="1398"/>
      <c r="N105" s="1366"/>
      <c r="O105" s="1366"/>
      <c r="P105" s="1668"/>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73">
        <f t="shared" si="27"/>
        <v>80</v>
      </c>
      <c r="N106" s="1369"/>
      <c r="O106" s="1369"/>
      <c r="P106" s="1668"/>
      <c r="Q106" s="1290"/>
      <c r="R106" s="1185"/>
      <c r="S106" s="1185"/>
      <c r="T106" s="1185"/>
      <c r="U106" s="1185"/>
      <c r="V106" s="1185"/>
      <c r="W106" s="1185"/>
      <c r="X106" s="1185"/>
      <c r="Y106" s="1185"/>
      <c r="Z106" s="1185"/>
      <c r="AA106" s="1185"/>
      <c r="AB106" s="1185"/>
      <c r="AC106" s="1185"/>
    </row>
    <row r="107" spans="1:29">
      <c r="A107" s="1351"/>
      <c r="B107" s="1320" t="s">
        <v>2088</v>
      </c>
      <c r="C107" s="1627" t="s">
        <v>3358</v>
      </c>
      <c r="D107" s="1627" t="s">
        <v>3359</v>
      </c>
      <c r="E107" s="1627" t="s">
        <v>3360</v>
      </c>
      <c r="F107" s="3571" t="s">
        <v>3361</v>
      </c>
      <c r="G107" s="1345"/>
      <c r="H107" s="1345"/>
      <c r="I107" s="1345"/>
      <c r="J107" s="1345"/>
      <c r="K107" s="1396"/>
      <c r="L107" s="1397"/>
      <c r="M107" s="1398"/>
      <c r="N107" s="1366"/>
      <c r="O107" s="1366"/>
      <c r="P107" s="1668"/>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73">
        <f t="shared" si="28"/>
        <v>80</v>
      </c>
      <c r="N108" s="1369"/>
      <c r="O108" s="1369"/>
      <c r="P108" s="1668"/>
      <c r="Q108" s="1290"/>
      <c r="R108" s="1185"/>
      <c r="S108" s="1185"/>
      <c r="T108" s="1185"/>
      <c r="U108" s="1185"/>
      <c r="V108" s="1185"/>
      <c r="W108" s="1185"/>
      <c r="X108" s="1185"/>
      <c r="Y108" s="1185"/>
      <c r="Z108" s="1185"/>
      <c r="AA108" s="1185"/>
      <c r="AB108" s="1185"/>
      <c r="AC108" s="1185"/>
    </row>
    <row r="109" spans="1:29">
      <c r="A109" s="1351"/>
      <c r="B109" s="1320" t="s">
        <v>1202</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8"/>
      <c r="Q109" s="1290"/>
      <c r="R109" s="1185"/>
      <c r="S109" s="1185"/>
      <c r="T109" s="1185"/>
      <c r="U109" s="1185"/>
      <c r="V109" s="1185"/>
      <c r="W109" s="1185"/>
      <c r="X109" s="1185"/>
      <c r="Y109" s="1185"/>
      <c r="Z109" s="1185"/>
      <c r="AA109" s="1185"/>
      <c r="AB109" s="1185"/>
      <c r="AC109" s="1185"/>
    </row>
    <row r="110" spans="1:29">
      <c r="A110" s="1351"/>
      <c r="B110" s="1324"/>
      <c r="C110" s="842">
        <v>0.5</v>
      </c>
      <c r="D110" s="842">
        <v>0.6</v>
      </c>
      <c r="E110" s="842">
        <v>0.7</v>
      </c>
      <c r="F110" s="842">
        <v>0.8</v>
      </c>
      <c r="G110" s="842">
        <v>0.9</v>
      </c>
      <c r="H110" s="842">
        <v>1.0001</v>
      </c>
      <c r="I110" s="1579"/>
      <c r="J110" s="1579"/>
      <c r="K110" s="1580"/>
      <c r="L110" s="1581"/>
      <c r="M110" s="1582"/>
      <c r="N110" s="1366"/>
      <c r="O110" s="1366"/>
      <c r="P110" s="1668"/>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9">D111+$K36</f>
        <v>102</v>
      </c>
      <c r="F111" s="1323">
        <f t="shared" si="29"/>
        <v>103</v>
      </c>
      <c r="G111" s="1323">
        <f t="shared" si="29"/>
        <v>104</v>
      </c>
      <c r="H111" s="1323">
        <f t="shared" si="29"/>
        <v>105</v>
      </c>
      <c r="I111" s="1323">
        <f t="shared" si="29"/>
        <v>106</v>
      </c>
      <c r="J111" s="1323">
        <f t="shared" si="29"/>
        <v>107</v>
      </c>
      <c r="K111" s="1323">
        <f t="shared" si="29"/>
        <v>108</v>
      </c>
      <c r="L111" s="1323">
        <f t="shared" si="29"/>
        <v>109</v>
      </c>
      <c r="M111" s="1323">
        <f t="shared" si="29"/>
        <v>110</v>
      </c>
      <c r="N111" s="1369"/>
      <c r="O111" s="1369"/>
      <c r="P111" s="1668"/>
      <c r="Q111" s="1290"/>
      <c r="R111" s="1185"/>
      <c r="S111" s="1185"/>
      <c r="T111" s="1185"/>
      <c r="U111" s="1185"/>
      <c r="V111" s="1185"/>
      <c r="W111" s="1185"/>
      <c r="X111" s="1185"/>
      <c r="Y111" s="1185"/>
      <c r="Z111" s="1185"/>
      <c r="AA111" s="1185"/>
      <c r="AB111" s="1185"/>
      <c r="AC111" s="1185"/>
    </row>
    <row r="112" spans="1:29" s="1071" customFormat="1">
      <c r="A112" s="1348"/>
      <c r="B112" s="1320" t="s">
        <v>2090</v>
      </c>
      <c r="C112" s="1627" t="s">
        <v>3362</v>
      </c>
      <c r="D112" s="1627" t="s">
        <v>3363</v>
      </c>
      <c r="E112" s="1328"/>
      <c r="F112" s="1328"/>
      <c r="G112" s="1328"/>
      <c r="H112" s="1345"/>
      <c r="I112" s="1345"/>
      <c r="J112" s="1345"/>
      <c r="K112" s="1396"/>
      <c r="L112" s="1397"/>
      <c r="M112" s="1398"/>
      <c r="N112" s="1379"/>
      <c r="O112" s="1379"/>
      <c r="P112" s="1673"/>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30">D113-$K37</f>
        <v>100</v>
      </c>
      <c r="F113" s="1323">
        <f t="shared" si="30"/>
        <v>100</v>
      </c>
      <c r="G113" s="1323">
        <f t="shared" si="30"/>
        <v>100</v>
      </c>
      <c r="H113" s="1323">
        <f t="shared" si="30"/>
        <v>100</v>
      </c>
      <c r="I113" s="1323">
        <f t="shared" si="30"/>
        <v>100</v>
      </c>
      <c r="J113" s="1323">
        <f t="shared" si="30"/>
        <v>100</v>
      </c>
      <c r="K113" s="1323">
        <f t="shared" si="30"/>
        <v>100</v>
      </c>
      <c r="L113" s="1323">
        <f t="shared" si="30"/>
        <v>100</v>
      </c>
      <c r="M113" s="1323">
        <f t="shared" si="30"/>
        <v>100</v>
      </c>
      <c r="N113" s="1379"/>
      <c r="O113" s="1379"/>
      <c r="P113" s="1673"/>
      <c r="Q113" s="1411"/>
      <c r="R113" s="1412"/>
      <c r="S113" s="1412"/>
      <c r="T113" s="1412"/>
      <c r="U113" s="1412"/>
      <c r="V113" s="1412"/>
      <c r="W113" s="1412"/>
      <c r="X113" s="1412"/>
      <c r="Y113" s="1412"/>
      <c r="Z113" s="1412"/>
      <c r="AA113" s="1412"/>
      <c r="AB113" s="1412"/>
      <c r="AC113" s="1412"/>
    </row>
    <row r="114" spans="1:29">
      <c r="A114" s="1351"/>
      <c r="B114" s="1320" t="s">
        <v>2143</v>
      </c>
      <c r="C114" s="1328"/>
      <c r="D114" s="1328"/>
      <c r="E114" s="1345"/>
      <c r="F114" s="1345"/>
      <c r="G114" s="1345"/>
      <c r="H114" s="1345"/>
      <c r="I114" s="1345"/>
      <c r="J114" s="1345"/>
      <c r="K114" s="1396"/>
      <c r="L114" s="1397"/>
      <c r="M114" s="1398"/>
      <c r="N114" s="1366"/>
      <c r="O114" s="1366"/>
      <c r="P114" s="1668"/>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31">C115-$K38</f>
        <v>100</v>
      </c>
      <c r="E115" s="1323">
        <f t="shared" si="31"/>
        <v>100</v>
      </c>
      <c r="F115" s="1323">
        <f t="shared" si="31"/>
        <v>100</v>
      </c>
      <c r="G115" s="1323">
        <f t="shared" si="31"/>
        <v>100</v>
      </c>
      <c r="H115" s="1323">
        <f t="shared" si="31"/>
        <v>100</v>
      </c>
      <c r="I115" s="1323">
        <f t="shared" si="31"/>
        <v>100</v>
      </c>
      <c r="J115" s="1323">
        <f t="shared" si="31"/>
        <v>100</v>
      </c>
      <c r="K115" s="1323">
        <f t="shared" si="31"/>
        <v>100</v>
      </c>
      <c r="L115" s="1323">
        <f t="shared" si="31"/>
        <v>100</v>
      </c>
      <c r="M115" s="1373">
        <f t="shared" si="31"/>
        <v>100</v>
      </c>
      <c r="N115" s="1369"/>
      <c r="O115" s="1369"/>
      <c r="P115" s="1668"/>
      <c r="Q115" s="1290"/>
      <c r="R115" s="1185"/>
      <c r="S115" s="1185"/>
      <c r="T115" s="1185"/>
      <c r="U115" s="1185"/>
      <c r="V115" s="1185"/>
      <c r="W115" s="1185"/>
      <c r="X115" s="1185"/>
      <c r="Y115" s="1185"/>
      <c r="Z115" s="1185"/>
      <c r="AA115" s="1185"/>
      <c r="AB115" s="1185"/>
      <c r="AC115" s="1185"/>
    </row>
    <row r="116" spans="1:29">
      <c r="A116" s="1351"/>
      <c r="B116" s="1320" t="s">
        <v>2144</v>
      </c>
      <c r="C116" s="1627" t="s">
        <v>3364</v>
      </c>
      <c r="D116" s="1328"/>
      <c r="E116" s="1328"/>
      <c r="F116" s="1328"/>
      <c r="G116" s="1328"/>
      <c r="H116" s="1345"/>
      <c r="I116" s="1345"/>
      <c r="J116" s="1345"/>
      <c r="K116" s="1396"/>
      <c r="L116" s="1397"/>
      <c r="M116" s="1398"/>
      <c r="N116" s="1366"/>
      <c r="O116" s="1366"/>
      <c r="P116" s="1668"/>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1668"/>
      <c r="Q117" s="1290"/>
      <c r="R117" s="1185"/>
      <c r="S117" s="1185"/>
      <c r="T117" s="1185"/>
      <c r="U117" s="1185"/>
      <c r="V117" s="1185"/>
      <c r="W117" s="1185"/>
      <c r="X117" s="1185"/>
      <c r="Y117" s="1185"/>
      <c r="Z117" s="1185"/>
      <c r="AA117" s="1185"/>
      <c r="AB117" s="1185"/>
      <c r="AC117" s="1185"/>
    </row>
    <row r="118" spans="1:29">
      <c r="A118" s="1351"/>
      <c r="B118" s="1320" t="s">
        <v>2145</v>
      </c>
      <c r="C118" s="1672"/>
      <c r="D118" s="1672"/>
      <c r="E118" s="1672"/>
      <c r="F118" s="1672"/>
      <c r="G118" s="1672"/>
      <c r="H118" s="1329"/>
      <c r="I118" s="1329"/>
      <c r="J118" s="1329"/>
      <c r="K118" s="1329"/>
      <c r="L118" s="1377"/>
      <c r="M118" s="1378"/>
      <c r="N118" s="1366"/>
      <c r="O118" s="1366"/>
      <c r="P118" s="1668"/>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8"/>
      <c r="Q119" s="1290"/>
      <c r="R119" s="1185"/>
      <c r="S119" s="1185"/>
      <c r="T119" s="1185"/>
      <c r="U119" s="1185"/>
      <c r="V119" s="1185"/>
      <c r="W119" s="1185"/>
      <c r="X119" s="1185"/>
      <c r="Y119" s="1185"/>
      <c r="Z119" s="1185"/>
      <c r="AA119" s="1185"/>
      <c r="AB119" s="1185"/>
      <c r="AC119" s="1185"/>
    </row>
    <row r="120" spans="1:29" s="1071" customFormat="1">
      <c r="A120" s="1348"/>
      <c r="B120" s="1320" t="s">
        <v>2147</v>
      </c>
      <c r="C120" s="1345"/>
      <c r="D120" s="1345"/>
      <c r="E120" s="1345"/>
      <c r="F120" s="1345"/>
      <c r="G120" s="1329"/>
      <c r="H120" s="1329"/>
      <c r="I120" s="1329"/>
      <c r="J120" s="1329"/>
      <c r="K120" s="1329"/>
      <c r="L120" s="1377"/>
      <c r="M120" s="1378"/>
      <c r="N120" s="1379"/>
      <c r="O120" s="1379"/>
      <c r="P120" s="1673"/>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32">D121-$K41</f>
        <v>100</v>
      </c>
      <c r="F121" s="1323">
        <f t="shared" si="32"/>
        <v>100</v>
      </c>
      <c r="G121" s="1323">
        <f t="shared" si="32"/>
        <v>100</v>
      </c>
      <c r="H121" s="1323">
        <f t="shared" si="32"/>
        <v>100</v>
      </c>
      <c r="I121" s="1323">
        <f t="shared" si="32"/>
        <v>100</v>
      </c>
      <c r="J121" s="1323">
        <f t="shared" si="32"/>
        <v>100</v>
      </c>
      <c r="K121" s="1323">
        <f t="shared" si="32"/>
        <v>100</v>
      </c>
      <c r="L121" s="1323">
        <f t="shared" si="32"/>
        <v>100</v>
      </c>
      <c r="M121" s="1373">
        <f t="shared" si="32"/>
        <v>100</v>
      </c>
      <c r="N121" s="1379"/>
      <c r="O121" s="1379"/>
      <c r="P121" s="1673"/>
      <c r="Q121" s="1411"/>
      <c r="R121" s="1412"/>
      <c r="S121" s="1412"/>
      <c r="T121" s="1412"/>
      <c r="U121" s="1412"/>
      <c r="V121" s="1412"/>
      <c r="W121" s="1412"/>
      <c r="X121" s="1412"/>
      <c r="Y121" s="1412"/>
      <c r="Z121" s="1412"/>
      <c r="AA121" s="1412"/>
      <c r="AB121" s="1412"/>
      <c r="AC121" s="1412"/>
    </row>
    <row r="122" spans="1:29">
      <c r="A122" s="1351"/>
      <c r="B122" s="1320" t="s">
        <v>2093</v>
      </c>
      <c r="C122" s="1627" t="s">
        <v>3358</v>
      </c>
      <c r="D122" s="1627" t="s">
        <v>3359</v>
      </c>
      <c r="E122" s="1627" t="s">
        <v>3360</v>
      </c>
      <c r="F122" s="3571" t="s">
        <v>3361</v>
      </c>
      <c r="G122" s="1345"/>
      <c r="H122" s="1345"/>
      <c r="I122" s="1345"/>
      <c r="J122" s="1345"/>
      <c r="K122" s="1396"/>
      <c r="L122" s="1397"/>
      <c r="M122" s="1398"/>
      <c r="N122" s="1366"/>
      <c r="O122" s="1366"/>
      <c r="P122" s="1668"/>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3">C123-$K42</f>
        <v>98</v>
      </c>
      <c r="E123" s="1323">
        <f t="shared" si="33"/>
        <v>96</v>
      </c>
      <c r="F123" s="1323">
        <f t="shared" si="33"/>
        <v>94</v>
      </c>
      <c r="G123" s="1323">
        <f t="shared" si="33"/>
        <v>92</v>
      </c>
      <c r="H123" s="1323">
        <f t="shared" si="33"/>
        <v>90</v>
      </c>
      <c r="I123" s="1323">
        <f t="shared" si="33"/>
        <v>88</v>
      </c>
      <c r="J123" s="1323">
        <f t="shared" si="33"/>
        <v>86</v>
      </c>
      <c r="K123" s="1323">
        <f t="shared" si="33"/>
        <v>84</v>
      </c>
      <c r="L123" s="1323">
        <f t="shared" si="33"/>
        <v>82</v>
      </c>
      <c r="M123" s="1373">
        <f t="shared" si="33"/>
        <v>80</v>
      </c>
      <c r="N123" s="1369"/>
      <c r="O123" s="1369"/>
      <c r="P123" s="1668"/>
      <c r="Q123" s="1290"/>
      <c r="R123" s="1185"/>
      <c r="S123" s="1185"/>
      <c r="T123" s="1185"/>
      <c r="U123" s="1185"/>
      <c r="V123" s="1185"/>
      <c r="W123" s="1185"/>
      <c r="X123" s="1185"/>
      <c r="Y123" s="1185"/>
      <c r="Z123" s="1185"/>
      <c r="AA123" s="1185"/>
      <c r="AB123" s="1185"/>
      <c r="AC123" s="1185"/>
    </row>
    <row r="124" spans="1:29">
      <c r="A124" s="1351"/>
      <c r="B124" s="1320" t="s">
        <v>2094</v>
      </c>
      <c r="C124" s="1339" t="s">
        <v>2106</v>
      </c>
      <c r="D124" s="1339" t="s">
        <v>2107</v>
      </c>
      <c r="E124" s="1339" t="s">
        <v>2108</v>
      </c>
      <c r="F124" s="1339" t="s">
        <v>2109</v>
      </c>
      <c r="G124" s="1339" t="s">
        <v>2110</v>
      </c>
      <c r="H124" s="1321"/>
      <c r="I124" s="1321"/>
      <c r="J124" s="1321"/>
      <c r="K124" s="1370"/>
      <c r="L124" s="1371"/>
      <c r="M124" s="1372"/>
      <c r="N124" s="1366"/>
      <c r="O124" s="1366"/>
      <c r="P124" s="1673"/>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1668"/>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3"/>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3"/>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8"/>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8"/>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8"/>
      <c r="Q130" s="1290"/>
      <c r="R130" s="1185"/>
      <c r="S130" s="1185"/>
      <c r="T130" s="1185"/>
      <c r="U130" s="1185"/>
      <c r="V130" s="1185"/>
      <c r="W130" s="1185"/>
      <c r="X130" s="1185"/>
      <c r="Y130" s="1185"/>
      <c r="Z130" s="1185"/>
      <c r="AA130" s="1185"/>
      <c r="AB130" s="1185"/>
      <c r="AC130" s="1185"/>
    </row>
    <row r="131" spans="1:29" ht="15">
      <c r="A131" s="1625"/>
      <c r="B131" s="1334"/>
      <c r="C131" s="1335"/>
      <c r="D131" s="1335"/>
      <c r="E131" s="1335"/>
      <c r="F131" s="1335"/>
      <c r="G131" s="1347"/>
      <c r="H131" s="1347"/>
      <c r="I131" s="1347"/>
      <c r="J131" s="1347"/>
      <c r="K131" s="1347"/>
      <c r="L131" s="1347"/>
      <c r="M131" s="1402"/>
      <c r="N131" s="1369"/>
      <c r="O131" s="1369"/>
      <c r="P131" s="1668"/>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0"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1958" customFormat="1" ht="21">
      <c r="A1" s="1961" t="s">
        <v>1719</v>
      </c>
      <c r="B1" s="1293"/>
      <c r="C1" s="1962" t="s">
        <v>623</v>
      </c>
      <c r="D1" s="1963" t="s">
        <v>124</v>
      </c>
      <c r="E1" s="1964" t="s">
        <v>1720</v>
      </c>
      <c r="F1" s="1965" t="e">
        <f ca="1">J53</f>
        <v>#N/A</v>
      </c>
      <c r="G1" s="1966" t="e">
        <f>MATCH(C1,'数据-取费表'!A6:A16,0)+5</f>
        <v>#N/A</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1721</v>
      </c>
      <c r="B2" s="2239" t="e">
        <f ca="1">C40+J29+L46</f>
        <v>#N/A</v>
      </c>
      <c r="C2" s="1969" t="s">
        <v>1722</v>
      </c>
      <c r="D2" s="1969"/>
      <c r="E2" s="1971"/>
      <c r="F2" s="1972"/>
      <c r="G2" s="1973"/>
      <c r="H2" s="1974"/>
      <c r="I2" s="1974"/>
      <c r="J2" s="1974"/>
      <c r="K2" s="2133"/>
      <c r="L2" s="1974"/>
      <c r="M2" s="1974"/>
    </row>
    <row r="3" spans="1:37" ht="18" customHeight="1">
      <c r="A3" s="1975" t="s">
        <v>1723</v>
      </c>
      <c r="B3" s="1976">
        <f ca="1">IF(ISERROR(B2*10000/F43),0,ROUND(B2*10000/F43,0))</f>
        <v>0</v>
      </c>
      <c r="C3" s="1969" t="s">
        <v>1724</v>
      </c>
      <c r="D3" s="1969"/>
      <c r="E3" s="1971"/>
      <c r="F3" s="1972"/>
      <c r="G3" s="1973"/>
      <c r="H3" s="1977" t="s">
        <v>1725</v>
      </c>
      <c r="I3" s="2134"/>
      <c r="J3" s="2134"/>
      <c r="K3" s="2135"/>
      <c r="L3" s="2134"/>
      <c r="M3" s="2134"/>
    </row>
    <row r="4" spans="1:37" ht="18" customHeight="1">
      <c r="A4" s="1978" t="s">
        <v>1726</v>
      </c>
      <c r="B4" s="1979" t="s">
        <v>1727</v>
      </c>
      <c r="C4" s="1979" t="s">
        <v>1728</v>
      </c>
      <c r="D4" s="1979" t="s">
        <v>1729</v>
      </c>
      <c r="E4" s="1980" t="s">
        <v>1730</v>
      </c>
      <c r="F4" s="1981"/>
      <c r="G4" s="762"/>
      <c r="H4" s="1978" t="s">
        <v>1726</v>
      </c>
      <c r="I4" s="1979" t="s">
        <v>1727</v>
      </c>
      <c r="J4" s="1979" t="s">
        <v>1728</v>
      </c>
      <c r="K4" s="1979" t="s">
        <v>1729</v>
      </c>
      <c r="L4" s="1980" t="s">
        <v>1730</v>
      </c>
      <c r="M4" s="1981"/>
    </row>
    <row r="5" spans="1:37" ht="18" customHeight="1">
      <c r="A5" s="1982">
        <v>1</v>
      </c>
      <c r="B5" s="1983" t="s">
        <v>1731</v>
      </c>
      <c r="C5" s="1984" t="e">
        <f ca="1">C6+C10+C12</f>
        <v>#N/A</v>
      </c>
      <c r="D5" s="1985" t="s">
        <v>1732</v>
      </c>
      <c r="E5" s="1986"/>
      <c r="F5" s="1987"/>
      <c r="G5" s="762"/>
      <c r="H5" s="1982">
        <v>1</v>
      </c>
      <c r="I5" s="1983" t="s">
        <v>1731</v>
      </c>
      <c r="J5" s="1984" t="e">
        <f ca="1">J6+J10+J12</f>
        <v>#N/A</v>
      </c>
      <c r="K5" s="1985" t="s">
        <v>1732</v>
      </c>
      <c r="L5" s="1986"/>
      <c r="M5" s="1987"/>
    </row>
    <row r="6" spans="1:37" ht="18" customHeight="1">
      <c r="A6" s="1988" t="s">
        <v>1470</v>
      </c>
      <c r="B6" s="3788" t="s">
        <v>1733</v>
      </c>
      <c r="C6" s="1989" t="e">
        <f ca="1">ROUND(F6*F8*F7*(1-F9)/10000,0)</f>
        <v>#N/A</v>
      </c>
      <c r="D6" s="1990" t="s">
        <v>1734</v>
      </c>
      <c r="E6" s="1991" t="s">
        <v>1735</v>
      </c>
      <c r="F6" s="1992" t="e">
        <f ca="1">INDIRECT("'数据-取费表'!u"&amp;$G$1)</f>
        <v>#N/A</v>
      </c>
      <c r="G6" s="762"/>
      <c r="H6" s="1988" t="s">
        <v>1470</v>
      </c>
      <c r="I6" s="3788" t="s">
        <v>1733</v>
      </c>
      <c r="J6" s="2063" t="e">
        <f ca="1">ROUND(M6*M8*M7*(1-M9)/10000,0)</f>
        <v>#N/A</v>
      </c>
      <c r="K6" s="1990" t="s">
        <v>1736</v>
      </c>
      <c r="L6" s="1991" t="s">
        <v>1735</v>
      </c>
      <c r="M6" s="1992" t="e">
        <f ca="1">INDIRECT("'数据-取费表'!z"&amp;$G$1)</f>
        <v>#N/A</v>
      </c>
    </row>
    <row r="7" spans="1:37" ht="18" customHeight="1">
      <c r="A7" s="1993"/>
      <c r="B7" s="3789"/>
      <c r="C7" s="1994"/>
      <c r="D7" s="1995"/>
      <c r="E7" s="1996" t="s">
        <v>1737</v>
      </c>
      <c r="F7" s="1992" t="e">
        <f ca="1">IF(INDIRECT("'数据-取费表'!ah"&amp;$G$1)="",INDIRECT("'数据-取费表'!k"&amp;$G$1),INDIRECT("'数据-取费表'!ah"&amp;$G$1))</f>
        <v>#N/A</v>
      </c>
      <c r="G7" s="762"/>
      <c r="H7" s="1997"/>
      <c r="I7" s="3789"/>
      <c r="J7" s="1998"/>
      <c r="K7" s="1995"/>
      <c r="L7" s="1991" t="s">
        <v>1737</v>
      </c>
      <c r="M7" s="1992" t="e">
        <f ca="1">F7</f>
        <v>#N/A</v>
      </c>
    </row>
    <row r="8" spans="1:37" ht="18" customHeight="1">
      <c r="A8" s="1997"/>
      <c r="B8" s="3789"/>
      <c r="C8" s="1998"/>
      <c r="D8" s="1995"/>
      <c r="E8" s="1991" t="s">
        <v>1738</v>
      </c>
      <c r="F8" s="1992" t="e">
        <f ca="1">INDIRECT("'数据-取费表'!ai"&amp;$G$1)</f>
        <v>#N/A</v>
      </c>
      <c r="G8" s="762"/>
      <c r="H8" s="1997"/>
      <c r="I8" s="3789"/>
      <c r="J8" s="1998"/>
      <c r="K8" s="1995"/>
      <c r="L8" s="1991" t="s">
        <v>1738</v>
      </c>
      <c r="M8" s="1992" t="e">
        <f ca="1">INDIRECT("'数据-取费表'!ai"&amp;$G$1)</f>
        <v>#N/A</v>
      </c>
    </row>
    <row r="9" spans="1:37" ht="18" customHeight="1">
      <c r="A9" s="1997"/>
      <c r="B9" s="3790"/>
      <c r="C9" s="1998"/>
      <c r="D9" s="1995"/>
      <c r="E9" s="1991" t="s">
        <v>1739</v>
      </c>
      <c r="F9" s="1999" t="e">
        <f ca="1">INDIRECT("'数据-取费表'!w"&amp;$G$1)</f>
        <v>#N/A</v>
      </c>
      <c r="G9" s="762"/>
      <c r="H9" s="1997"/>
      <c r="I9" s="3790"/>
      <c r="J9" s="1998"/>
      <c r="K9" s="1995"/>
      <c r="L9" s="2002" t="s">
        <v>1739</v>
      </c>
      <c r="M9" s="2007" t="e">
        <f ca="1">INDIRECT("'数据-取费表'!ab"&amp;$G$1)</f>
        <v>#N/A</v>
      </c>
    </row>
    <row r="10" spans="1:37" ht="18" customHeight="1">
      <c r="A10" s="1988" t="s">
        <v>1474</v>
      </c>
      <c r="B10" s="2000" t="s">
        <v>1740</v>
      </c>
      <c r="C10" s="1002" t="e">
        <f ca="1">ROUND(IF(F10="押一",C6/12*F11,IF(F10="押二",C6/12*2*F11,IF(F10="押三",C6/12*3*F11,C11*F11))),0)</f>
        <v>#N/A</v>
      </c>
      <c r="D10" s="2001" t="s">
        <v>1741</v>
      </c>
      <c r="E10" s="2002" t="s">
        <v>1742</v>
      </c>
      <c r="F10" s="2003" t="s">
        <v>1910</v>
      </c>
      <c r="G10" s="762"/>
      <c r="H10" s="1988" t="s">
        <v>1474</v>
      </c>
      <c r="I10" s="2000" t="s">
        <v>1740</v>
      </c>
      <c r="J10" s="2063">
        <f ca="1">ROUND(IF(M10="押一",J6/12*M11,IF(M10="押二",J6/12*2*M11,IF(M10="押三",J6/12*3*M11,J11*M11))),0)</f>
        <v>0</v>
      </c>
      <c r="K10" s="2001" t="s">
        <v>1741</v>
      </c>
      <c r="L10" s="2002" t="s">
        <v>1742</v>
      </c>
      <c r="M10" s="2003"/>
    </row>
    <row r="11" spans="1:37" ht="18" customHeight="1">
      <c r="A11" s="2004"/>
      <c r="B11" s="2005" t="s">
        <v>1744</v>
      </c>
      <c r="C11" s="2006"/>
      <c r="D11" s="2240"/>
      <c r="E11" s="2002" t="s">
        <v>1745</v>
      </c>
      <c r="F11" s="2007">
        <f ca="1">'数据-取费表'!B39</f>
        <v>1.4999999999999999E-2</v>
      </c>
      <c r="G11" s="762"/>
      <c r="H11" s="2008"/>
      <c r="I11" s="2005" t="s">
        <v>1744</v>
      </c>
      <c r="J11" s="2006"/>
      <c r="K11" s="2138"/>
      <c r="L11" s="2002" t="s">
        <v>1745</v>
      </c>
      <c r="M11" s="2139">
        <f ca="1">'数据-取费表'!B39</f>
        <v>1.4999999999999999E-2</v>
      </c>
    </row>
    <row r="12" spans="1:37" ht="18" customHeight="1">
      <c r="A12" s="2009" t="s">
        <v>1520</v>
      </c>
      <c r="B12" s="2010" t="s">
        <v>1746</v>
      </c>
      <c r="C12" s="2011"/>
      <c r="D12" s="2012"/>
      <c r="E12" s="2013"/>
      <c r="F12" s="2014"/>
      <c r="G12" s="762"/>
      <c r="H12" s="2009" t="s">
        <v>1520</v>
      </c>
      <c r="I12" s="2010" t="s">
        <v>1746</v>
      </c>
      <c r="J12" s="2011"/>
      <c r="K12" s="2140"/>
      <c r="L12" s="2013"/>
      <c r="M12" s="2141"/>
    </row>
    <row r="13" spans="1:37" ht="18" customHeight="1">
      <c r="A13" s="2015">
        <v>2</v>
      </c>
      <c r="B13" s="2016" t="s">
        <v>1747</v>
      </c>
      <c r="C13" s="2017" t="e">
        <f ca="1">ROUND(C29*F13,0)</f>
        <v>#N/A</v>
      </c>
      <c r="D13" s="2018" t="s">
        <v>1748</v>
      </c>
      <c r="E13" s="2018" t="s">
        <v>1749</v>
      </c>
      <c r="F13" s="2019" t="e">
        <f ca="1">INDIRECT("'数据-取费表'!y"&amp;$G$1)</f>
        <v>#N/A</v>
      </c>
      <c r="G13" s="762"/>
      <c r="H13" s="2015">
        <v>2</v>
      </c>
      <c r="I13" s="2016" t="s">
        <v>1747</v>
      </c>
      <c r="J13" s="2142" t="e">
        <f ca="1">ROUND(J14*J15,0)</f>
        <v>#N/A</v>
      </c>
      <c r="K13" s="2041" t="s">
        <v>1748</v>
      </c>
      <c r="L13" s="2143"/>
      <c r="M13" s="2144"/>
    </row>
    <row r="14" spans="1:37" ht="18" customHeight="1">
      <c r="A14" s="2020" t="s">
        <v>1493</v>
      </c>
      <c r="B14" s="1991" t="s">
        <v>1750</v>
      </c>
      <c r="C14" s="2021" t="e">
        <f ca="1">INDIRECT("'数据-取费表'!m"&amp;$G$1)+INDIRECT("'数据-取费表'!t"&amp;$G$1)</f>
        <v>#N/A</v>
      </c>
      <c r="D14" s="2022" t="s">
        <v>1751</v>
      </c>
      <c r="E14" s="2023"/>
      <c r="F14" s="2024"/>
      <c r="G14" s="762"/>
      <c r="H14" s="2020" t="s">
        <v>1470</v>
      </c>
      <c r="I14" s="1991" t="s">
        <v>1752</v>
      </c>
      <c r="J14" s="1003" t="e">
        <f ca="1">C29</f>
        <v>#N/A</v>
      </c>
      <c r="K14" s="2145"/>
      <c r="L14" s="2146"/>
      <c r="M14" s="2147"/>
    </row>
    <row r="15" spans="1:37" s="1959" customFormat="1" ht="18" customHeight="1">
      <c r="A15" s="2020" t="s">
        <v>1497</v>
      </c>
      <c r="B15" s="1991" t="s">
        <v>1680</v>
      </c>
      <c r="C15" s="1003" t="e">
        <f ca="1">ROUND(C14*F15,0)</f>
        <v>#N/A</v>
      </c>
      <c r="D15" s="2025" t="s">
        <v>1753</v>
      </c>
      <c r="E15" s="2025" t="s">
        <v>1754</v>
      </c>
      <c r="F15" s="2026">
        <f>'数据-取费表'!B33</f>
        <v>0.05</v>
      </c>
      <c r="G15" s="2027"/>
      <c r="H15" s="2028" t="s">
        <v>1474</v>
      </c>
      <c r="I15" s="2013" t="s">
        <v>1749</v>
      </c>
      <c r="J15" s="2141" t="e">
        <f ca="1">INDIRECT("'数据-取费表'!ad"&amp;$G$1)</f>
        <v>#N/A</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1500</v>
      </c>
      <c r="B16" s="1991" t="s">
        <v>1683</v>
      </c>
      <c r="C16" s="1003" t="e">
        <f ca="1">ROUND(INDIRECT("'数据-取费表'!m"&amp;$G$1)*F16,0)</f>
        <v>#N/A</v>
      </c>
      <c r="D16" s="1991" t="s">
        <v>1753</v>
      </c>
      <c r="E16" s="1991" t="s">
        <v>1754</v>
      </c>
      <c r="F16" s="2029" t="e">
        <f ca="1">IF(INDIRECT("'数据-取费表'!c"&amp;$G$1)="住宅",'数据-取费表'!B34,0)</f>
        <v>#N/A</v>
      </c>
      <c r="G16" s="762"/>
      <c r="H16" s="2015" t="s">
        <v>1755</v>
      </c>
      <c r="I16" s="2016" t="s">
        <v>1756</v>
      </c>
      <c r="J16" s="2017" t="e">
        <f ca="1">ROUND(J17+J22+J23+J24,0)</f>
        <v>#N/A</v>
      </c>
      <c r="K16" s="2041" t="s">
        <v>1757</v>
      </c>
      <c r="L16" s="2042"/>
      <c r="M16" s="1987"/>
    </row>
    <row r="17" spans="1:37" s="1959" customFormat="1" ht="18" customHeight="1">
      <c r="A17" s="2020" t="s">
        <v>1758</v>
      </c>
      <c r="B17" s="1991" t="s">
        <v>1759</v>
      </c>
      <c r="C17" s="1003" t="e">
        <f ca="1">ROUND(F17*(F43+INDIRECT("'数据-取费表'!S"&amp;$G$1))/10000,0)</f>
        <v>#N/A</v>
      </c>
      <c r="D17" s="1991" t="s">
        <v>1760</v>
      </c>
      <c r="E17" s="1991" t="s">
        <v>1761</v>
      </c>
      <c r="F17" s="2030">
        <f>'数据-取费表'!B35</f>
        <v>200</v>
      </c>
      <c r="G17" s="2027"/>
      <c r="H17" s="2020" t="s">
        <v>1470</v>
      </c>
      <c r="I17" s="1991" t="s">
        <v>1762</v>
      </c>
      <c r="J17" s="2044" t="e">
        <f ca="1">ROUND(IF(AND(项目基本情况!B11="自然人",项目基本情况!B10="北京市"),J6*M17/(1+'数据-取费表'!C42),J18+J19+J20),2)</f>
        <v>#N/A</v>
      </c>
      <c r="K17" s="2022" t="s">
        <v>1763</v>
      </c>
      <c r="L17" s="2045" t="s">
        <v>1764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1765</v>
      </c>
      <c r="B18" s="1991" t="s">
        <v>1689</v>
      </c>
      <c r="C18" s="1003" t="e">
        <f ca="1">ROUND(C14*F18,0)</f>
        <v>#N/A</v>
      </c>
      <c r="D18" s="1991" t="s">
        <v>1753</v>
      </c>
      <c r="E18" s="1991" t="s">
        <v>1754</v>
      </c>
      <c r="F18" s="2029">
        <f>'数据-取费表'!B36</f>
        <v>1.4999999999999999E-2</v>
      </c>
      <c r="G18" s="2027"/>
      <c r="H18" s="2020" t="s">
        <v>1493</v>
      </c>
      <c r="I18" s="1991" t="s">
        <v>1766</v>
      </c>
      <c r="J18" s="1003" t="e">
        <f ca="1">ROUND(J6*M18/(1+'数据-取费表'!C42),2)</f>
        <v>#N/A</v>
      </c>
      <c r="K18" s="2045" t="s">
        <v>1767</v>
      </c>
      <c r="L18" s="1991" t="s">
        <v>1754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1470</v>
      </c>
      <c r="B19" s="1991" t="s">
        <v>1768</v>
      </c>
      <c r="C19" s="1003" t="e">
        <f ca="1">SUM(C14:C18)</f>
        <v>#N/A</v>
      </c>
      <c r="D19" s="2031" t="s">
        <v>1769</v>
      </c>
      <c r="E19" s="1005"/>
      <c r="F19" s="2030"/>
      <c r="G19" s="762"/>
      <c r="H19" s="2020" t="s">
        <v>1497</v>
      </c>
      <c r="I19" s="1991" t="s">
        <v>1770</v>
      </c>
      <c r="J19" s="1003" t="e">
        <f ca="1">IF(K19="按租金收入计税",ROUND(J6*M19/(1+'数据-取费表'!C42),2),ROUND(C29*M19*0.7,2))</f>
        <v>#N/A</v>
      </c>
      <c r="K19" s="2048" t="s">
        <v>1771</v>
      </c>
      <c r="L19" s="1991" t="s">
        <v>1754</v>
      </c>
      <c r="M19" s="2029">
        <f>IF(K19="按租金收入计税",'数据-取费表'!B51,'数据-取费表'!B50)</f>
        <v>0.12</v>
      </c>
    </row>
    <row r="20" spans="1:37" s="1959" customFormat="1" ht="18" customHeight="1">
      <c r="A20" s="2020" t="s">
        <v>1474</v>
      </c>
      <c r="B20" s="1991" t="s">
        <v>1772</v>
      </c>
      <c r="C20" s="1003" t="e">
        <f ca="1">ROUND(C19*F20,0)</f>
        <v>#N/A</v>
      </c>
      <c r="D20" s="2032" t="s">
        <v>1773</v>
      </c>
      <c r="E20" s="1991" t="s">
        <v>1754</v>
      </c>
      <c r="F20" s="2029">
        <f>'数据-取费表'!B37</f>
        <v>0.02</v>
      </c>
      <c r="G20" s="2027"/>
      <c r="H20" s="2020" t="s">
        <v>1500</v>
      </c>
      <c r="I20" s="1990" t="s">
        <v>1774</v>
      </c>
      <c r="J20" s="2050" t="e">
        <f ca="1">ROUND(M20*M21/10000,2)</f>
        <v>#N/A</v>
      </c>
      <c r="K20" s="2051" t="s">
        <v>1775</v>
      </c>
      <c r="L20" s="1991" t="s">
        <v>1776</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1520</v>
      </c>
      <c r="B21" s="1991" t="s">
        <v>1777</v>
      </c>
      <c r="C21" s="1003" t="s">
        <v>124</v>
      </c>
      <c r="D21" s="2032" t="s">
        <v>1778</v>
      </c>
      <c r="E21" s="1991" t="s">
        <v>1779</v>
      </c>
      <c r="F21" s="2029">
        <f>'数据-取费表'!B38</f>
        <v>0.02</v>
      </c>
      <c r="G21" s="2027"/>
      <c r="H21" s="2033"/>
      <c r="I21" s="2151"/>
      <c r="J21" s="2054"/>
      <c r="K21" s="2055"/>
      <c r="L21" s="1991" t="s">
        <v>1780</v>
      </c>
      <c r="M21" s="1992" t="e">
        <f ca="1">INDIRECT("'数据-取费表'!r"&amp;$G$1)</f>
        <v>#N/A</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1523</v>
      </c>
      <c r="B22" s="1991" t="s">
        <v>1781</v>
      </c>
      <c r="C22" s="1003"/>
      <c r="D22" s="2031" t="str">
        <f>IF(F23&lt;=1,"单利计息。","复利计息。")&amp;"建造成本、管理费用、销售费用产生的利息。"</f>
        <v>复利计息。建造成本、管理费用、销售费用产生的利息。</v>
      </c>
      <c r="E22" s="1005"/>
      <c r="F22" s="2030"/>
      <c r="G22" s="762"/>
      <c r="H22" s="2020" t="s">
        <v>1474</v>
      </c>
      <c r="I22" s="1991" t="s">
        <v>1782</v>
      </c>
      <c r="J22" s="1003" t="e">
        <f ca="1">ROUND(J14*M22,2)</f>
        <v>#N/A</v>
      </c>
      <c r="K22" s="2045" t="s">
        <v>1783</v>
      </c>
      <c r="L22" s="1991" t="s">
        <v>1754</v>
      </c>
      <c r="M22" s="2057" t="e">
        <f ca="1">INDIRECT("'数据-取费表'!Ak"&amp;$G$1)</f>
        <v>#N/A</v>
      </c>
    </row>
    <row r="23" spans="1:37" s="1959" customFormat="1" ht="18" customHeight="1">
      <c r="A23" s="2020" t="s">
        <v>1493</v>
      </c>
      <c r="B23" s="1991" t="s">
        <v>1784</v>
      </c>
      <c r="C23" s="1003" t="e">
        <f ca="1">IF('数据-取费表'!B22&lt;=1,ROUND(C19*F24*F23/2,0)+ROUND(C20*F24*F23/2,0),ROUND(C19*(POWER((1+F24),F23/2)-1),0)+ROUND(C20*(POWER((1+F24),F23/2)-1),0))</f>
        <v>#N/A</v>
      </c>
      <c r="D23" s="2034" t="str">
        <f>IF(F23&lt;=1,"(建造成本+管理费用)×利率×(建设周期÷2)","(建造成本+管理费用)×((1+利率)^(建设周期÷2)-1)")</f>
        <v>(建造成本+管理费用)×((1+利率)^(建设周期÷2)-1)</v>
      </c>
      <c r="E23" s="1991" t="s">
        <v>1785</v>
      </c>
      <c r="F23" s="2035">
        <f>'数据-取费表'!B20</f>
        <v>2</v>
      </c>
      <c r="G23" s="2027"/>
      <c r="H23" s="2020" t="s">
        <v>1520</v>
      </c>
      <c r="I23" s="1991" t="s">
        <v>1786</v>
      </c>
      <c r="J23" s="1003" t="e">
        <f ca="1">ROUND(J13*M23,2)</f>
        <v>#N/A</v>
      </c>
      <c r="K23" s="2045" t="s">
        <v>1787</v>
      </c>
      <c r="L23" s="1991" t="s">
        <v>1754</v>
      </c>
      <c r="M23" s="2058" t="e">
        <f ca="1">INDIRECT("'数据-取费表'!Al"&amp;$G$1)</f>
        <v>#N/A</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1497</v>
      </c>
      <c r="B24" s="1991" t="s">
        <v>1788</v>
      </c>
      <c r="C24" s="1003">
        <f ca="1">ROUND(IF('数据-取费表'!B22&lt;=1,F21*F24*F23/2,F21*(POWER((1+F24),F23/2)-1)),4)</f>
        <v>6.9999999999999999E-4</v>
      </c>
      <c r="D24" s="2034" t="str">
        <f>IF(F23&lt;=1,"销售费用×利率×(建设周期÷2)","销售费用×((1+利率)^(建设周期÷2)-1)")</f>
        <v>销售费用×((1+利率)^(建设周期÷2)-1)</v>
      </c>
      <c r="E24" s="1991" t="s">
        <v>1789</v>
      </c>
      <c r="F24" s="2036">
        <f ca="1">'数据-取费表'!B40</f>
        <v>3.4500000000000003E-2</v>
      </c>
      <c r="G24" s="2027"/>
      <c r="H24" s="2028" t="s">
        <v>1523</v>
      </c>
      <c r="I24" s="2013" t="s">
        <v>1772</v>
      </c>
      <c r="J24" s="2037" t="e">
        <f ca="1">ROUND(J5*M24,2)</f>
        <v>#N/A</v>
      </c>
      <c r="K24" s="2038" t="s">
        <v>1790</v>
      </c>
      <c r="L24" s="2013" t="s">
        <v>1754</v>
      </c>
      <c r="M24" s="2014" t="e">
        <f ca="1">INDIRECT("'数据-取费表'!Am"&amp;$G$1)</f>
        <v>#N/A</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1527</v>
      </c>
      <c r="B25" s="1991" t="s">
        <v>1791</v>
      </c>
      <c r="C25" s="1003"/>
      <c r="D25" s="2031" t="s">
        <v>1792</v>
      </c>
      <c r="E25" s="1005"/>
      <c r="F25" s="2030"/>
      <c r="G25" s="762"/>
      <c r="H25" s="2015" t="s">
        <v>1793</v>
      </c>
      <c r="I25" s="2059" t="s">
        <v>1794</v>
      </c>
      <c r="J25" s="2017" t="e">
        <f ca="1">J5-J16</f>
        <v>#N/A</v>
      </c>
      <c r="K25" s="2060" t="s">
        <v>1795</v>
      </c>
      <c r="L25" s="2061"/>
      <c r="M25" s="2062"/>
    </row>
    <row r="26" spans="1:37">
      <c r="A26" s="2020" t="s">
        <v>1493</v>
      </c>
      <c r="B26" s="1991" t="s">
        <v>1796</v>
      </c>
      <c r="C26" s="1003" t="e">
        <f ca="1">ROUND((C19+C20)*F26,0)</f>
        <v>#N/A</v>
      </c>
      <c r="D26" s="2032" t="s">
        <v>1797</v>
      </c>
      <c r="E26" s="2002" t="s">
        <v>1798</v>
      </c>
      <c r="F26" s="1999" t="e">
        <f ca="1">INDIRECT("'数据-取费表'!q"&amp;$G$1)</f>
        <v>#N/A</v>
      </c>
      <c r="G26" s="762"/>
      <c r="H26" s="1982" t="s">
        <v>1799</v>
      </c>
      <c r="I26" s="1983" t="s">
        <v>1800</v>
      </c>
      <c r="J26" s="2063" t="e">
        <f ca="1">IF(J5&lt;&gt;0,ROUND(J25*(1-((1+M28)/(1+M26))^M27)/(M26-M28),0),0)</f>
        <v>#N/A</v>
      </c>
      <c r="K26" s="2051" t="s">
        <v>1801</v>
      </c>
      <c r="L26" s="1991" t="s">
        <v>1802</v>
      </c>
      <c r="M26" s="1999" t="e">
        <f ca="1">INDIRECT("'数据-取费表'!I"&amp;$G$1)</f>
        <v>#N/A</v>
      </c>
    </row>
    <row r="27" spans="1:37" ht="18" customHeight="1">
      <c r="A27" s="2020" t="s">
        <v>1497</v>
      </c>
      <c r="B27" s="1991" t="s">
        <v>1803</v>
      </c>
      <c r="C27" s="1003" t="e">
        <f ca="1">ROUND(F21*F26,4)</f>
        <v>#N/A</v>
      </c>
      <c r="D27" s="2032" t="s">
        <v>1804</v>
      </c>
      <c r="E27" s="2025"/>
      <c r="F27" s="2026"/>
      <c r="G27" s="762"/>
      <c r="H27" s="1997"/>
      <c r="I27" s="2065"/>
      <c r="J27" s="1998"/>
      <c r="K27" s="2066" t="s">
        <v>1805</v>
      </c>
      <c r="L27" s="1991" t="s">
        <v>1806</v>
      </c>
      <c r="M27" s="2067" t="e">
        <f ca="1">INDIRECT("'数据-取费表'!ag"&amp;$G$1)</f>
        <v>#N/A</v>
      </c>
    </row>
    <row r="28" spans="1:37" s="1959" customFormat="1" ht="18" customHeight="1">
      <c r="A28" s="2020" t="s">
        <v>1528</v>
      </c>
      <c r="B28" s="1991" t="s">
        <v>1807</v>
      </c>
      <c r="C28" s="1003">
        <f>ROUND(F28/(1+'数据-取费表'!C42),4)</f>
        <v>5.33E-2</v>
      </c>
      <c r="D28" s="2032" t="s">
        <v>1808</v>
      </c>
      <c r="E28" s="1991" t="s">
        <v>1754</v>
      </c>
      <c r="F28" s="2029">
        <f>'数据-取费表'!B41</f>
        <v>5.6000000000000001E-2</v>
      </c>
      <c r="G28" s="2027"/>
      <c r="H28" s="2004"/>
      <c r="I28" s="2069"/>
      <c r="J28" s="2017"/>
      <c r="K28" s="2055"/>
      <c r="L28" s="1991" t="s">
        <v>1809</v>
      </c>
      <c r="M28" s="1999" t="e">
        <f ca="1">INDIRECT("'数据-取费表'!aa"&amp;$G$1)</f>
        <v>#N/A</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1714</v>
      </c>
      <c r="B29" s="2013" t="s">
        <v>1810</v>
      </c>
      <c r="C29" s="2037" t="e">
        <f ca="1">ROUND((C19+C20+C23+C26)/(1-F21-C24-C27-C28),0)</f>
        <v>#N/A</v>
      </c>
      <c r="D29" s="2038"/>
      <c r="E29" s="2013"/>
      <c r="F29" s="2039"/>
      <c r="G29" s="2027"/>
      <c r="H29" s="2040" t="s">
        <v>1811</v>
      </c>
      <c r="I29" s="2070" t="s">
        <v>1812</v>
      </c>
      <c r="J29" s="2071" t="e">
        <f ca="1">ROUND(J26/(1+F40)^F41,0)</f>
        <v>#N/A</v>
      </c>
      <c r="K29" s="2072" t="s">
        <v>1813</v>
      </c>
      <c r="L29" s="2073"/>
      <c r="M29" s="2074" t="e">
        <f ca="1">INDIRECT("'数据-取费表'!k"&amp;$G$1)</f>
        <v>#N/A</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1755</v>
      </c>
      <c r="B30" s="2016" t="s">
        <v>1756</v>
      </c>
      <c r="C30" s="2017" t="e">
        <f ca="1">ROUND(C31+C36+C37+C38,0)</f>
        <v>#N/A</v>
      </c>
      <c r="D30" s="2041" t="s">
        <v>1757</v>
      </c>
      <c r="E30" s="2042"/>
      <c r="F30" s="1987"/>
      <c r="G30" s="762"/>
      <c r="H30" s="2043"/>
      <c r="I30" s="2152"/>
      <c r="J30" s="2153"/>
      <c r="K30" s="2154"/>
      <c r="L30" s="2155"/>
      <c r="M30" s="2156"/>
    </row>
    <row r="31" spans="1:37" ht="18" customHeight="1">
      <c r="A31" s="2020" t="s">
        <v>1470</v>
      </c>
      <c r="B31" s="1991" t="s">
        <v>1762</v>
      </c>
      <c r="C31" s="2044" t="e">
        <f ca="1">ROUND(IF(AND(项目基本情况!B11="自然人",项目基本情况!B10="北京市"),C6*F31/(1+'数据-取费表'!C42),C32+C33+C34),2)</f>
        <v>#N/A</v>
      </c>
      <c r="D31" s="2022" t="s">
        <v>1763</v>
      </c>
      <c r="E31" s="2045" t="s">
        <v>1764</v>
      </c>
      <c r="F31" s="2046" t="str">
        <f>IF(项目基本情况!B11="企业","——",IF(M47="住宅",IF(F6*F7*F8/12/(1+'数据-取费表'!F30)&gt;100000,4%,2.5%),IF(F6*F7*F8/12/(1+'数据-取费表'!F30)&gt;100000,12%,7%)))</f>
        <v>——</v>
      </c>
      <c r="G31" s="762"/>
      <c r="H31" s="2047" t="s">
        <v>1814</v>
      </c>
      <c r="I31" s="2152"/>
      <c r="J31" s="2153"/>
      <c r="K31" s="2154"/>
      <c r="L31" s="2155"/>
      <c r="M31" s="2156"/>
    </row>
    <row r="32" spans="1:37" ht="18" customHeight="1">
      <c r="A32" s="2020" t="s">
        <v>1493</v>
      </c>
      <c r="B32" s="1991" t="s">
        <v>1766</v>
      </c>
      <c r="C32" s="1003" t="e">
        <f ca="1">IF(项目基本情况!B11="自然人","——",ROUND(C6*F32/(1+'数据-取费表'!C42),2))</f>
        <v>#N/A</v>
      </c>
      <c r="D32" s="2045" t="s">
        <v>1767</v>
      </c>
      <c r="E32" s="1991" t="s">
        <v>1754</v>
      </c>
      <c r="F32" s="2036">
        <f>'数据-取费表'!B41</f>
        <v>5.6000000000000001E-2</v>
      </c>
      <c r="G32" s="762"/>
      <c r="H32" s="2043"/>
      <c r="I32" s="2152"/>
      <c r="J32" s="2153"/>
      <c r="K32" s="2154"/>
      <c r="L32" s="2155"/>
      <c r="M32" s="2156"/>
    </row>
    <row r="33" spans="1:18" ht="18" customHeight="1">
      <c r="A33" s="2020" t="s">
        <v>1497</v>
      </c>
      <c r="B33" s="1991" t="s">
        <v>1770</v>
      </c>
      <c r="C33" s="1003" t="e">
        <f ca="1">IF(项目基本情况!B11="自然人","——",IF(D33="按租金收入计税",ROUND(C6*F33/(1+'数据-取费表'!C42),2),IF(D33="按房产原值计税",ROUND(C29*F33*0.7,2),INDIRECT("'数据-取费表'!Aj"&amp;$G$1))))</f>
        <v>#N/A</v>
      </c>
      <c r="D33" s="2048" t="s">
        <v>1771</v>
      </c>
      <c r="E33" s="1991" t="s">
        <v>1754</v>
      </c>
      <c r="F33" s="2029">
        <f>IF(D33="按票据","——",IF(D33="按租金收入计税",'数据-取费表'!B51,'数据-取费表'!B50))</f>
        <v>0.12</v>
      </c>
      <c r="G33" s="762"/>
      <c r="H33" s="2049"/>
      <c r="I33" s="2152"/>
      <c r="J33" s="2153"/>
      <c r="K33" s="2157"/>
      <c r="L33" s="2049"/>
      <c r="M33" s="2049"/>
    </row>
    <row r="34" spans="1:18" ht="18" customHeight="1">
      <c r="A34" s="1988" t="s">
        <v>1500</v>
      </c>
      <c r="B34" s="1990" t="s">
        <v>1774</v>
      </c>
      <c r="C34" s="2050" t="e">
        <f ca="1">IF(项目基本情况!B11="自然人","——",ROUND(F34*F35/10000,2))</f>
        <v>#N/A</v>
      </c>
      <c r="D34" s="2051" t="s">
        <v>1775</v>
      </c>
      <c r="E34" s="1991" t="s">
        <v>1776</v>
      </c>
      <c r="F34" s="2035">
        <f>'数据-取费表'!B52</f>
        <v>1.5</v>
      </c>
      <c r="G34" s="762"/>
      <c r="H34" s="2043"/>
      <c r="I34" s="2152"/>
      <c r="J34" s="2153"/>
      <c r="K34" s="2158"/>
      <c r="L34" s="2159"/>
      <c r="M34" s="2159"/>
    </row>
    <row r="35" spans="1:18" ht="18" customHeight="1">
      <c r="A35" s="2052"/>
      <c r="B35" s="2053"/>
      <c r="C35" s="2054"/>
      <c r="D35" s="2055"/>
      <c r="E35" s="1991" t="s">
        <v>1780</v>
      </c>
      <c r="F35" s="1992" t="e">
        <f ca="1">INDIRECT("'数据-取费表'!r"&amp;$G$1)</f>
        <v>#N/A</v>
      </c>
      <c r="G35" s="762"/>
      <c r="H35" s="2043"/>
      <c r="I35" s="2152"/>
      <c r="J35" s="2153"/>
      <c r="K35" s="2157"/>
      <c r="L35" s="2049"/>
      <c r="M35" s="2049"/>
    </row>
    <row r="36" spans="1:18" ht="18" customHeight="1">
      <c r="A36" s="2056" t="s">
        <v>1474</v>
      </c>
      <c r="B36" s="1991" t="s">
        <v>1782</v>
      </c>
      <c r="C36" s="1003" t="e">
        <f ca="1">ROUND(C29*F36,2)</f>
        <v>#N/A</v>
      </c>
      <c r="D36" s="2045" t="s">
        <v>1815</v>
      </c>
      <c r="E36" s="1991" t="s">
        <v>1754</v>
      </c>
      <c r="F36" s="2057" t="e">
        <f ca="1">INDIRECT("'数据-取费表'!Ak"&amp;$G$1)</f>
        <v>#N/A</v>
      </c>
      <c r="G36" s="762"/>
      <c r="H36" s="2049"/>
      <c r="I36" s="2152"/>
      <c r="J36" s="2153"/>
      <c r="K36" s="2160"/>
      <c r="L36" s="2049"/>
      <c r="M36" s="2049"/>
    </row>
    <row r="37" spans="1:18" ht="18" customHeight="1">
      <c r="A37" s="2020" t="s">
        <v>1520</v>
      </c>
      <c r="B37" s="1991" t="s">
        <v>1786</v>
      </c>
      <c r="C37" s="1003" t="e">
        <f ca="1">ROUND(C13*F37,2)</f>
        <v>#N/A</v>
      </c>
      <c r="D37" s="2045" t="s">
        <v>1787</v>
      </c>
      <c r="E37" s="1991" t="s">
        <v>1754</v>
      </c>
      <c r="F37" s="2058" t="e">
        <f ca="1">INDIRECT("'数据-取费表'!Al"&amp;$G$1)</f>
        <v>#N/A</v>
      </c>
      <c r="G37" s="762"/>
      <c r="H37" s="2049"/>
      <c r="I37" s="2152"/>
      <c r="J37" s="2153"/>
      <c r="K37" s="2160"/>
      <c r="L37" s="2049"/>
      <c r="M37" s="2049"/>
    </row>
    <row r="38" spans="1:18" ht="18" customHeight="1">
      <c r="A38" s="2028" t="s">
        <v>1523</v>
      </c>
      <c r="B38" s="2013" t="s">
        <v>1772</v>
      </c>
      <c r="C38" s="2037" t="e">
        <f ca="1">ROUND(C5*F38,2)</f>
        <v>#N/A</v>
      </c>
      <c r="D38" s="2038" t="s">
        <v>1790</v>
      </c>
      <c r="E38" s="2013" t="s">
        <v>1754</v>
      </c>
      <c r="F38" s="2014" t="e">
        <f ca="1">INDIRECT("'数据-取费表'!Am"&amp;$G$1)</f>
        <v>#N/A</v>
      </c>
      <c r="G38" s="762"/>
      <c r="H38" s="2049" t="e">
        <f ca="1">C39/C5</f>
        <v>#N/A</v>
      </c>
      <c r="I38" s="2152"/>
      <c r="J38" s="2153"/>
      <c r="K38" s="2161"/>
      <c r="L38" s="2049"/>
      <c r="M38" s="2049"/>
    </row>
    <row r="39" spans="1:18" ht="24.6" customHeight="1">
      <c r="A39" s="2015" t="s">
        <v>1793</v>
      </c>
      <c r="B39" s="2059" t="s">
        <v>1794</v>
      </c>
      <c r="C39" s="2017" t="e">
        <f ca="1">C5-C30</f>
        <v>#N/A</v>
      </c>
      <c r="D39" s="2060" t="s">
        <v>1795</v>
      </c>
      <c r="E39" s="2061"/>
      <c r="F39" s="2062"/>
      <c r="G39" s="762"/>
      <c r="H39" s="2049"/>
      <c r="I39" s="2152"/>
      <c r="J39" s="2153"/>
      <c r="K39" s="2161"/>
      <c r="L39" s="2049"/>
      <c r="M39" s="2049"/>
    </row>
    <row r="40" spans="1:18" ht="18" customHeight="1">
      <c r="A40" s="1982" t="s">
        <v>1799</v>
      </c>
      <c r="B40" s="1983" t="s">
        <v>1816</v>
      </c>
      <c r="C40" s="2063" t="e">
        <f ca="1">ROUND(C39*(1-((1+F42)/(1+F40))^F41)/(F40-F42),0)</f>
        <v>#N/A</v>
      </c>
      <c r="D40" s="2051" t="s">
        <v>1801</v>
      </c>
      <c r="E40" s="1991" t="s">
        <v>1802</v>
      </c>
      <c r="F40" s="1999" t="e">
        <f ca="1">INDIRECT("'数据-取费表'!I"&amp;$G$1)</f>
        <v>#N/A</v>
      </c>
      <c r="G40" s="762"/>
      <c r="H40" s="2064"/>
      <c r="I40" s="2152"/>
      <c r="J40" s="2153"/>
      <c r="K40" s="2161"/>
      <c r="L40" s="2064"/>
      <c r="M40" s="2064"/>
    </row>
    <row r="41" spans="1:18" ht="18" customHeight="1">
      <c r="A41" s="1997"/>
      <c r="B41" s="2065"/>
      <c r="C41" s="1998"/>
      <c r="D41" s="2066" t="s">
        <v>1805</v>
      </c>
      <c r="E41" s="1991" t="s">
        <v>1806</v>
      </c>
      <c r="F41" s="2067" t="e">
        <f ca="1">IF(INDIRECT("'数据-取费表'!af"&amp;$G$1)=0,INDIRECT("'数据-取费表'!ae"&amp;$G$1),INDIRECT("'数据-取费表'!af"&amp;$G$1))</f>
        <v>#N/A</v>
      </c>
      <c r="G41" s="762"/>
      <c r="H41" s="2068"/>
      <c r="I41" s="2152"/>
      <c r="J41" s="2153"/>
      <c r="K41" s="2160"/>
      <c r="L41" s="2068"/>
      <c r="M41" s="2068"/>
    </row>
    <row r="42" spans="1:18" ht="18" customHeight="1">
      <c r="A42" s="2004"/>
      <c r="B42" s="2069"/>
      <c r="C42" s="2017"/>
      <c r="D42" s="2055"/>
      <c r="E42" s="1991" t="s">
        <v>1809</v>
      </c>
      <c r="F42" s="1999" t="e">
        <f ca="1">INDIRECT("'数据-取费表'!v"&amp;$G$1)</f>
        <v>#N/A</v>
      </c>
      <c r="G42" s="762"/>
      <c r="H42" s="2068"/>
      <c r="I42" s="2152"/>
      <c r="J42" s="2153"/>
      <c r="K42" s="2160"/>
      <c r="L42" s="2068"/>
      <c r="M42" s="2068"/>
    </row>
    <row r="43" spans="1:18" ht="18" customHeight="1">
      <c r="A43" s="2040" t="s">
        <v>1811</v>
      </c>
      <c r="B43" s="2070" t="s">
        <v>1817</v>
      </c>
      <c r="C43" s="2071" t="e">
        <f ca="1">ROUND(C40*10000/F43,0)</f>
        <v>#N/A</v>
      </c>
      <c r="D43" s="2072" t="s">
        <v>1818</v>
      </c>
      <c r="E43" s="2073" t="s">
        <v>1819</v>
      </c>
      <c r="F43" s="2074" t="e">
        <f ca="1">INDIRECT("'数据-取费表'!k"&amp;$G$1)</f>
        <v>#N/A</v>
      </c>
      <c r="G43" s="762"/>
      <c r="H43" s="2068"/>
      <c r="I43" s="2068"/>
      <c r="J43" s="2068"/>
      <c r="K43" s="2160"/>
      <c r="L43" s="2068"/>
      <c r="M43" s="2068"/>
    </row>
    <row r="44" spans="1:18" s="762" customFormat="1" ht="18" customHeight="1">
      <c r="A44" s="2075"/>
      <c r="B44" s="2075"/>
      <c r="C44" s="2076"/>
      <c r="D44" s="2075"/>
      <c r="E44" s="2075"/>
      <c r="F44" s="2075"/>
      <c r="K44" s="2162"/>
    </row>
    <row r="45" spans="1:18" s="762" customFormat="1" ht="18" customHeight="1">
      <c r="A45" s="2075"/>
      <c r="B45" s="2075"/>
      <c r="C45" s="2076"/>
      <c r="D45" s="2075"/>
      <c r="E45" s="2075"/>
      <c r="F45" s="2075"/>
      <c r="J45" s="1036"/>
      <c r="O45" s="2246" t="s">
        <v>1820</v>
      </c>
      <c r="P45" s="2064"/>
      <c r="Q45" s="2064"/>
      <c r="R45" s="2064"/>
    </row>
    <row r="46" spans="1:18" s="762" customFormat="1">
      <c r="A46" s="2080" t="s">
        <v>1821</v>
      </c>
      <c r="C46" s="2081" t="e">
        <f ca="1">C68-C40</f>
        <v>#N/A</v>
      </c>
      <c r="D46" s="2082" t="str">
        <f>C2</f>
        <v>万元</v>
      </c>
      <c r="E46" s="2075"/>
      <c r="F46" s="2075"/>
      <c r="I46" s="2164" t="s">
        <v>1822</v>
      </c>
      <c r="J46" s="2165"/>
      <c r="K46" s="2166"/>
      <c r="L46" s="2167" t="e">
        <f ca="1">IF(M47="住宅",0,IF(L48&gt;J51,L60,J60))</f>
        <v>#N/A</v>
      </c>
      <c r="O46" s="2168" t="s">
        <v>1823</v>
      </c>
      <c r="P46" s="2169" t="s">
        <v>1824</v>
      </c>
      <c r="Q46" s="2213" t="s">
        <v>1825</v>
      </c>
      <c r="R46" s="2213" t="s">
        <v>1826</v>
      </c>
    </row>
    <row r="47" spans="1:18" s="762" customFormat="1">
      <c r="A47" s="2083" t="s">
        <v>1726</v>
      </c>
      <c r="B47" s="2084" t="s">
        <v>1727</v>
      </c>
      <c r="C47" s="2241" t="s">
        <v>1728</v>
      </c>
      <c r="D47" s="2084" t="s">
        <v>1729</v>
      </c>
      <c r="E47" s="2085" t="s">
        <v>1730</v>
      </c>
      <c r="F47" s="996"/>
      <c r="G47" s="2086"/>
      <c r="I47" s="2170" t="s">
        <v>1827</v>
      </c>
      <c r="J47" s="2171" t="s">
        <v>1828</v>
      </c>
      <c r="K47" s="2172" t="s">
        <v>1829</v>
      </c>
      <c r="L47" s="2173" t="e">
        <f ca="1">INDIRECT("'数据-取费表'!d"&amp;$G$1)</f>
        <v>#N/A</v>
      </c>
      <c r="M47" s="2174" t="str">
        <f>IF(ISNUMBER(FIND("住宅",C1)),"住宅","非住宅")</f>
        <v>非住宅</v>
      </c>
      <c r="O47" s="2175" t="s">
        <v>1577</v>
      </c>
      <c r="P47" s="2176" t="s">
        <v>1830</v>
      </c>
      <c r="Q47" s="2214" t="e">
        <f ca="1">C40+J29</f>
        <v>#N/A</v>
      </c>
      <c r="R47" s="2214" t="s">
        <v>1831</v>
      </c>
    </row>
    <row r="48" spans="1:18" s="762" customFormat="1" ht="27.75">
      <c r="A48" s="2087" t="s">
        <v>1832</v>
      </c>
      <c r="B48" s="1983" t="s">
        <v>1731</v>
      </c>
      <c r="C48" s="1004" t="e">
        <f ca="1">C49+C53+C55</f>
        <v>#N/A</v>
      </c>
      <c r="D48" s="2088"/>
      <c r="E48" s="2089"/>
      <c r="F48" s="2090"/>
      <c r="G48" s="2086"/>
      <c r="H48" s="2091"/>
      <c r="I48" s="2177" t="s">
        <v>1833</v>
      </c>
      <c r="J48" s="2178" t="s">
        <v>1834</v>
      </c>
      <c r="K48" s="2179" t="s">
        <v>1835</v>
      </c>
      <c r="L48" s="2180" t="e">
        <f ca="1">INDIRECT("'数据-取费表'!f"&amp;$G$1)</f>
        <v>#N/A</v>
      </c>
      <c r="O48" s="2175" t="s">
        <v>1581</v>
      </c>
      <c r="P48" s="2176" t="s">
        <v>1836</v>
      </c>
      <c r="Q48" s="2214" t="e">
        <f ca="1">J60</f>
        <v>#N/A</v>
      </c>
      <c r="R48" s="2214" t="s">
        <v>1837</v>
      </c>
    </row>
    <row r="49" spans="1:18" s="762" customFormat="1">
      <c r="A49" s="2092" t="s">
        <v>1838</v>
      </c>
      <c r="B49" s="2093" t="s">
        <v>1839</v>
      </c>
      <c r="C49" s="2094" t="e">
        <f ca="1">ROUND(F49*F51*F50*(1-F52)/10000,0)</f>
        <v>#N/A</v>
      </c>
      <c r="D49" s="2095" t="s">
        <v>1736</v>
      </c>
      <c r="E49" s="2096" t="s">
        <v>1840</v>
      </c>
      <c r="F49" s="2097"/>
      <c r="G49" s="2098"/>
      <c r="H49" s="2091"/>
      <c r="I49" s="2177" t="s">
        <v>1841</v>
      </c>
      <c r="J49" s="2247">
        <f>'数据-取费表'!N18</f>
        <v>2010</v>
      </c>
      <c r="K49" s="2179" t="s">
        <v>1842</v>
      </c>
      <c r="L49" s="2181"/>
      <c r="O49" s="2182" t="s">
        <v>1843</v>
      </c>
      <c r="P49" s="2176" t="s">
        <v>1844</v>
      </c>
      <c r="Q49" s="2214" t="e">
        <f ca="1">C29</f>
        <v>#N/A</v>
      </c>
      <c r="R49" s="2214" t="s">
        <v>1831</v>
      </c>
    </row>
    <row r="50" spans="1:18" s="762" customFormat="1">
      <c r="A50" s="2099"/>
      <c r="B50" s="2100"/>
      <c r="C50" s="2242"/>
      <c r="D50" s="2102"/>
      <c r="E50" s="2103" t="s">
        <v>1737</v>
      </c>
      <c r="F50" s="2104" t="e">
        <f ca="1">F7</f>
        <v>#N/A</v>
      </c>
      <c r="H50" s="2091"/>
      <c r="I50" s="2177" t="s">
        <v>1845</v>
      </c>
      <c r="J50" s="2183">
        <f>SUMPRODUCT((I63:I65=J47)*(J62:L62=J48)*(J63:L65))</f>
        <v>60</v>
      </c>
      <c r="K50" s="2179" t="s">
        <v>1846</v>
      </c>
      <c r="L50" s="2181"/>
      <c r="M50" s="2184"/>
      <c r="O50" s="2182" t="s">
        <v>1847</v>
      </c>
      <c r="P50" s="2176" t="s">
        <v>1848</v>
      </c>
      <c r="Q50" s="2215" t="e">
        <f ca="1">J58</f>
        <v>#N/A</v>
      </c>
      <c r="R50" s="2214"/>
    </row>
    <row r="51" spans="1:18" s="762" customFormat="1">
      <c r="A51" s="2105"/>
      <c r="B51" s="2100"/>
      <c r="C51" s="2101"/>
      <c r="D51" s="2102"/>
      <c r="E51" s="2106" t="s">
        <v>1738</v>
      </c>
      <c r="F51" s="1992" t="e">
        <f ca="1">F8</f>
        <v>#N/A</v>
      </c>
      <c r="I51" s="2185" t="s">
        <v>1849</v>
      </c>
      <c r="J51" s="2186">
        <f>IF(J49="",J50,J49+J50-YEAR('数据-取费表'!B2))</f>
        <v>46</v>
      </c>
      <c r="K51" s="2187" t="s">
        <v>1850</v>
      </c>
      <c r="L51" s="2188" t="e">
        <f ca="1">ROUND(-PV(INDIRECT("'数据-取费表'!h"&amp;$G$1),J51,(C39-C13*C76),0),0)</f>
        <v>#N/A</v>
      </c>
      <c r="M51" s="2189"/>
      <c r="O51" s="2182" t="s">
        <v>1851</v>
      </c>
      <c r="P51" s="2176" t="s">
        <v>1852</v>
      </c>
      <c r="Q51" s="2215">
        <f>J52</f>
        <v>7.4999999999999997E-2</v>
      </c>
      <c r="R51" s="2214"/>
    </row>
    <row r="52" spans="1:18" s="762" customFormat="1">
      <c r="A52" s="2105"/>
      <c r="B52" s="2100"/>
      <c r="C52" s="2101"/>
      <c r="D52" s="2102"/>
      <c r="E52" s="2106" t="s">
        <v>1739</v>
      </c>
      <c r="F52" s="2107"/>
      <c r="I52" s="2190" t="s">
        <v>1853</v>
      </c>
      <c r="J52" s="2191">
        <f>'数据-取费表'!J6+0.5%</f>
        <v>7.4999999999999997E-2</v>
      </c>
      <c r="K52" s="2190" t="s">
        <v>1854</v>
      </c>
      <c r="L52" s="2191"/>
      <c r="O52" s="2182" t="s">
        <v>1855</v>
      </c>
      <c r="P52" s="2176" t="s">
        <v>1856</v>
      </c>
      <c r="Q52" s="2214" t="e">
        <f ca="1">J53</f>
        <v>#N/A</v>
      </c>
      <c r="R52" s="2214" t="s">
        <v>1857</v>
      </c>
    </row>
    <row r="53" spans="1:18" s="762" customFormat="1" ht="24">
      <c r="A53" s="2243" t="s">
        <v>1858</v>
      </c>
      <c r="B53" s="2244" t="s">
        <v>1740</v>
      </c>
      <c r="C53" s="1002">
        <f ca="1">ROUND(IF(F53="押一",C49/12*F11,IF(F53="押二",C49/12*2*F11,IF(F53="押三",C49/12*3*F11,C54*F11))),0)</f>
        <v>0</v>
      </c>
      <c r="D53" s="2001" t="s">
        <v>1741</v>
      </c>
      <c r="E53" s="2002" t="s">
        <v>1742</v>
      </c>
      <c r="F53" s="2003"/>
      <c r="I53" s="2192" t="s">
        <v>1859</v>
      </c>
      <c r="J53" s="2193" t="e">
        <f ca="1">IF(M47="住宅",IF(D1="——",MAX(J51,L48),MAX(J51,L48-'数据-取费表'!B24)),IF(D1="——",MIN(J51,L48),MIN(J51,L48-'数据-取费表'!B24)))</f>
        <v>#N/A</v>
      </c>
      <c r="K53" s="3786" t="s">
        <v>1860</v>
      </c>
      <c r="L53" s="3787"/>
      <c r="O53" s="2175" t="s">
        <v>1682</v>
      </c>
      <c r="P53" s="2176" t="s">
        <v>1861</v>
      </c>
      <c r="Q53" s="2214" t="e">
        <f ca="1">Q47+Q48</f>
        <v>#N/A</v>
      </c>
      <c r="R53" s="2214" t="s">
        <v>1862</v>
      </c>
    </row>
    <row r="54" spans="1:18" s="762" customFormat="1">
      <c r="A54" s="2245"/>
      <c r="B54" s="2005" t="s">
        <v>1744</v>
      </c>
      <c r="C54" s="2006"/>
      <c r="D54" s="2001"/>
      <c r="E54" s="2110"/>
      <c r="F54" s="2111"/>
      <c r="I54" s="21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5"/>
      <c r="K54" s="2195"/>
      <c r="L54" s="2195"/>
      <c r="M54" s="2098"/>
      <c r="O54" s="2163" t="s">
        <v>1863</v>
      </c>
      <c r="P54" s="2196"/>
      <c r="Q54" s="2196"/>
      <c r="R54" s="2196"/>
    </row>
    <row r="55" spans="1:18" s="762" customFormat="1">
      <c r="A55" s="2009" t="s">
        <v>1520</v>
      </c>
      <c r="B55" s="2010" t="s">
        <v>1746</v>
      </c>
      <c r="C55" s="2011"/>
      <c r="D55" s="2001"/>
      <c r="E55" s="2110"/>
      <c r="F55" s="2111"/>
      <c r="I55" s="2197" t="s">
        <v>1864</v>
      </c>
      <c r="J55" s="2198" t="e">
        <f ca="1">ROUND(IF(J47="钢混",J57/J50,1-(1-2%)*(J50-J57)/J50),3)</f>
        <v>#N/A</v>
      </c>
      <c r="K55" s="2199" t="s">
        <v>1865</v>
      </c>
      <c r="L55" s="2200"/>
      <c r="O55" s="2168" t="s">
        <v>1823</v>
      </c>
      <c r="P55" s="2169" t="s">
        <v>1824</v>
      </c>
      <c r="Q55" s="2213" t="s">
        <v>1825</v>
      </c>
      <c r="R55" s="2213" t="s">
        <v>1826</v>
      </c>
    </row>
    <row r="56" spans="1:18" s="762" customFormat="1" ht="24">
      <c r="A56" s="2112">
        <v>2</v>
      </c>
      <c r="B56" s="2113" t="s">
        <v>1747</v>
      </c>
      <c r="C56" s="414" t="e">
        <f ca="1">C13</f>
        <v>#N/A</v>
      </c>
      <c r="D56" s="2114"/>
      <c r="E56" s="2115"/>
      <c r="F56" s="2111"/>
      <c r="I56" s="2201" t="s">
        <v>1866</v>
      </c>
      <c r="J56" s="2202" t="s">
        <v>1867</v>
      </c>
      <c r="K56" s="2177" t="s">
        <v>1868</v>
      </c>
      <c r="L56" s="2180" t="e">
        <f ca="1">IF(L48&lt;J51,"——",L48-J53)</f>
        <v>#N/A</v>
      </c>
      <c r="O56" s="2175" t="s">
        <v>1577</v>
      </c>
      <c r="P56" s="2176" t="s">
        <v>1830</v>
      </c>
      <c r="Q56" s="2214" t="e">
        <f ca="1">C40+J29</f>
        <v>#N/A</v>
      </c>
      <c r="R56" s="2214" t="s">
        <v>1831</v>
      </c>
    </row>
    <row r="57" spans="1:18" s="762" customFormat="1" ht="24">
      <c r="A57" s="2116"/>
      <c r="B57" s="2117" t="s">
        <v>1810</v>
      </c>
      <c r="C57" s="424" t="e">
        <f ca="1">C29</f>
        <v>#N/A</v>
      </c>
      <c r="D57" s="2118"/>
      <c r="E57" s="2119"/>
      <c r="F57" s="2120"/>
      <c r="I57" s="2203" t="s">
        <v>1869</v>
      </c>
      <c r="J57" s="2204" t="e">
        <f ca="1">IF(OR(M47="住宅",J51&lt;L48,J56="是"),"——",J51-L48)</f>
        <v>#N/A</v>
      </c>
      <c r="K57" s="2177" t="s">
        <v>1870</v>
      </c>
      <c r="L57" s="2180" t="e">
        <f ca="1">IF(L48&lt;J51,"——",IF(L55="比较法",L49,IF(L55="基准地价",L50,L51)))</f>
        <v>#N/A</v>
      </c>
      <c r="O57" s="2175" t="s">
        <v>1581</v>
      </c>
      <c r="P57" s="2176" t="s">
        <v>1871</v>
      </c>
      <c r="Q57" s="2214" t="e">
        <f ca="1">L60</f>
        <v>#N/A</v>
      </c>
      <c r="R57" s="2214" t="s">
        <v>1872</v>
      </c>
    </row>
    <row r="58" spans="1:18" s="762" customFormat="1" ht="24">
      <c r="A58" s="2121" t="s">
        <v>1755</v>
      </c>
      <c r="B58" s="2113" t="s">
        <v>1756</v>
      </c>
      <c r="C58" s="1002" t="e">
        <f ca="1">ROUND(C59+C64+C65+C66,0)</f>
        <v>#N/A</v>
      </c>
      <c r="D58" s="2122" t="s">
        <v>1757</v>
      </c>
      <c r="E58" s="2123"/>
      <c r="F58" s="2090"/>
      <c r="I58" s="2203" t="s">
        <v>1873</v>
      </c>
      <c r="J58" s="2205" t="e">
        <f ca="1">IF(J55&lt;0.4,0.4,J55)</f>
        <v>#N/A</v>
      </c>
      <c r="K58" s="2187" t="s">
        <v>1874</v>
      </c>
      <c r="L58" s="2180" t="e">
        <f ca="1">ROUND(POWER(1+L52,L47-L48)*(POWER(1+L52,L48)-1)/(POWER(1+L52,L47)-1),4)</f>
        <v>#N/A</v>
      </c>
      <c r="O58" s="2182" t="s">
        <v>1843</v>
      </c>
      <c r="P58" s="2176" t="s">
        <v>1875</v>
      </c>
      <c r="Q58" s="2214">
        <f>IF(L55="比较法",L49,IF(L55="基准地价",L50,0))</f>
        <v>0</v>
      </c>
      <c r="R58" s="2214" t="s">
        <v>1831</v>
      </c>
    </row>
    <row r="59" spans="1:18" s="762" customFormat="1" ht="24">
      <c r="A59" s="2020" t="s">
        <v>1470</v>
      </c>
      <c r="B59" s="2117" t="s">
        <v>1762</v>
      </c>
      <c r="C59" s="2044" t="e">
        <f ca="1">ROUND(IF(AND(项目基本情况!B11="自然人",项目基本情况!B10="北京市"),C49*F59/(1+'数据-取费表'!C42),C60+C61+C62),0)</f>
        <v>#N/A</v>
      </c>
      <c r="D59" s="2124" t="s">
        <v>1763</v>
      </c>
      <c r="E59" s="2125" t="s">
        <v>1764</v>
      </c>
      <c r="F59" s="2046" t="str">
        <f>IF(项目基本情况!B11="企业","——",IF('数据-取费表'!B10="住宅",IF(F49*F50*F51/12/(1+'数据-取费表'!F30)&gt;100000,4%,2.5%),IF(F49*F50*F51/12/(1+'数据-取费表'!F30)&gt;100000,12%,7%)))</f>
        <v>——</v>
      </c>
      <c r="I59" s="2203" t="s">
        <v>1876</v>
      </c>
      <c r="J59" s="2204" t="e">
        <f ca="1">IF(OR(M47="住宅",J51&lt;L48,J56="是"),"——",ROUND(C29*J58,0))</f>
        <v>#N/A</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#N/A</v>
      </c>
      <c r="M59" s="2174" t="e">
        <f ca="1">ROUND(POWER(1+L52,L47-(J51+'数据-取费表'!B24))*(POWER(1+L52,(J51+'数据-取费表'!B24))-1)/(POWER(1+L52,L47)-1),4)</f>
        <v>#N/A</v>
      </c>
      <c r="N59" s="2174" t="e">
        <f ca="1">ROUND(POWER(1+L52,L47-(J51+'数据-取费表'!B20))*(POWER(1+L52,(J51+'数据-取费表'!B20))-1)/(POWER(1+L52,L47)-1),4)</f>
        <v>#N/A</v>
      </c>
      <c r="O59" s="2182" t="s">
        <v>1847</v>
      </c>
      <c r="P59" s="2176" t="s">
        <v>1877</v>
      </c>
      <c r="Q59" s="2215">
        <f>L52</f>
        <v>0</v>
      </c>
      <c r="R59" s="2214"/>
    </row>
    <row r="60" spans="1:18" s="762" customFormat="1" ht="15.75">
      <c r="A60" s="2020" t="s">
        <v>1493</v>
      </c>
      <c r="B60" s="2117" t="s">
        <v>1766</v>
      </c>
      <c r="C60" s="1003" t="e">
        <f ca="1">IF(项目基本情况!B11="自然人","——",ROUND(C48*F60/(1+'数据-取费表'!C42),2))</f>
        <v>#N/A</v>
      </c>
      <c r="D60" s="2125" t="s">
        <v>1767</v>
      </c>
      <c r="E60" s="2117" t="s">
        <v>1754</v>
      </c>
      <c r="F60" s="2036">
        <f t="shared" ref="F60:F66" si="0">F32</f>
        <v>5.6000000000000001E-2</v>
      </c>
      <c r="I60" s="2206" t="s">
        <v>1878</v>
      </c>
      <c r="J60" s="2207" t="e">
        <f ca="1">IF(OR(M47="住宅",J51&lt;L48,J56="是"),"0",ROUND(J59/(1+J52)^J53,0))</f>
        <v>#N/A</v>
      </c>
      <c r="K60" s="2208" t="s">
        <v>1879</v>
      </c>
      <c r="L60" s="2207" t="e">
        <f ca="1">IF(OR(M47="住宅",L48&lt;J51),0,ROUND(L57*(L58/L59-1),0))</f>
        <v>#N/A</v>
      </c>
      <c r="O60" s="2182" t="s">
        <v>1851</v>
      </c>
      <c r="P60" s="2176" t="s">
        <v>1880</v>
      </c>
      <c r="Q60" s="2214" t="e">
        <f ca="1">L58</f>
        <v>#N/A</v>
      </c>
      <c r="R60" s="2214" t="s">
        <v>1881</v>
      </c>
    </row>
    <row r="61" spans="1:18" s="762" customFormat="1">
      <c r="A61" s="2020" t="s">
        <v>1497</v>
      </c>
      <c r="B61" s="2117" t="s">
        <v>1770</v>
      </c>
      <c r="C61" s="1003" t="e">
        <f ca="1">IF(项目基本情况!B11="自然人","——",IF(D61="按租金收入计税",ROUND(C49*F61/(1+'数据-取费表'!C42),2),IF(D61="按房产原值计税",ROUND(C57*F61*0.7,2),INDIRECT("'数据-取费表'!Aj"&amp;$G$1))))</f>
        <v>#N/A</v>
      </c>
      <c r="D61" s="2048" t="s">
        <v>1771</v>
      </c>
      <c r="E61" s="2117" t="s">
        <v>1754</v>
      </c>
      <c r="F61" s="2029">
        <f t="shared" si="0"/>
        <v>0.12</v>
      </c>
      <c r="I61" s="2064"/>
      <c r="J61" s="2064"/>
      <c r="K61" s="2064"/>
      <c r="L61" s="2064"/>
      <c r="O61" s="2182" t="s">
        <v>1855</v>
      </c>
      <c r="P61" s="2176" t="str">
        <f>K59</f>
        <v>建筑物剩余耐用年限下的土地年期修正系数Kn</v>
      </c>
      <c r="Q61" s="2214" t="e">
        <f ca="1">L59</f>
        <v>#N/A</v>
      </c>
      <c r="R61" s="2214" t="s">
        <v>1882</v>
      </c>
    </row>
    <row r="62" spans="1:18" s="762" customFormat="1">
      <c r="A62" s="2020" t="s">
        <v>1500</v>
      </c>
      <c r="B62" s="2126" t="s">
        <v>1774</v>
      </c>
      <c r="C62" s="2050" t="e">
        <f ca="1">IF(项目基本情况!B11="自然人","——",ROUND(F62*F63/10000,2))</f>
        <v>#N/A</v>
      </c>
      <c r="D62" s="2127" t="s">
        <v>1775</v>
      </c>
      <c r="E62" s="2117" t="s">
        <v>1776</v>
      </c>
      <c r="F62" s="2035">
        <f t="shared" si="0"/>
        <v>1.5</v>
      </c>
      <c r="I62" s="2209" t="s">
        <v>1883</v>
      </c>
      <c r="J62" s="2210" t="s">
        <v>1884</v>
      </c>
      <c r="K62" s="2210" t="s">
        <v>1885</v>
      </c>
      <c r="L62" s="2210" t="s">
        <v>1886</v>
      </c>
      <c r="M62" s="2211" t="s">
        <v>1887</v>
      </c>
      <c r="O62" s="2175" t="s">
        <v>1682</v>
      </c>
      <c r="P62" s="2176" t="s">
        <v>1861</v>
      </c>
      <c r="Q62" s="2214" t="e">
        <f ca="1">Q56+Q57</f>
        <v>#N/A</v>
      </c>
      <c r="R62" s="2214" t="s">
        <v>1862</v>
      </c>
    </row>
    <row r="63" spans="1:18" s="762" customFormat="1">
      <c r="A63" s="2033"/>
      <c r="B63" s="2128"/>
      <c r="C63" s="2054"/>
      <c r="D63" s="2129"/>
      <c r="E63" s="2117" t="s">
        <v>1780</v>
      </c>
      <c r="F63" s="1992" t="e">
        <f t="shared" ca="1" si="0"/>
        <v>#N/A</v>
      </c>
      <c r="I63" s="2209" t="s">
        <v>1888</v>
      </c>
      <c r="J63" s="2210">
        <v>70</v>
      </c>
      <c r="K63" s="2210">
        <v>50</v>
      </c>
      <c r="L63" s="2210">
        <v>80</v>
      </c>
      <c r="M63" s="2212">
        <v>0.02</v>
      </c>
      <c r="O63" s="2163" t="s">
        <v>1889</v>
      </c>
      <c r="P63" s="2196"/>
      <c r="Q63" s="2196"/>
      <c r="R63" s="2196"/>
    </row>
    <row r="64" spans="1:18" s="762" customFormat="1">
      <c r="A64" s="2020" t="s">
        <v>1474</v>
      </c>
      <c r="B64" s="2117" t="s">
        <v>1782</v>
      </c>
      <c r="C64" s="1003" t="e">
        <f ca="1">ROUND(C57*F64,2)</f>
        <v>#N/A</v>
      </c>
      <c r="D64" s="2125" t="s">
        <v>1815</v>
      </c>
      <c r="E64" s="2117" t="s">
        <v>1754</v>
      </c>
      <c r="F64" s="2057" t="e">
        <f t="shared" ca="1" si="0"/>
        <v>#N/A</v>
      </c>
      <c r="I64" s="2209" t="s">
        <v>1890</v>
      </c>
      <c r="J64" s="2210">
        <v>50</v>
      </c>
      <c r="K64" s="2210">
        <v>35</v>
      </c>
      <c r="L64" s="2210">
        <v>60</v>
      </c>
      <c r="M64" s="2211">
        <v>0</v>
      </c>
      <c r="O64" s="2168" t="s">
        <v>1823</v>
      </c>
      <c r="P64" s="2169" t="s">
        <v>1824</v>
      </c>
      <c r="Q64" s="2213" t="s">
        <v>1825</v>
      </c>
      <c r="R64" s="2213" t="s">
        <v>1826</v>
      </c>
    </row>
    <row r="65" spans="1:18" s="762" customFormat="1">
      <c r="A65" s="2020" t="s">
        <v>1520</v>
      </c>
      <c r="B65" s="2117" t="s">
        <v>1786</v>
      </c>
      <c r="C65" s="1003" t="e">
        <f ca="1">ROUND(C56*F65,2)</f>
        <v>#N/A</v>
      </c>
      <c r="D65" s="2125" t="s">
        <v>1787</v>
      </c>
      <c r="E65" s="2117" t="s">
        <v>1754</v>
      </c>
      <c r="F65" s="2058" t="e">
        <f t="shared" ca="1" si="0"/>
        <v>#N/A</v>
      </c>
      <c r="I65" s="2209" t="s">
        <v>1891</v>
      </c>
      <c r="J65" s="2210">
        <v>40</v>
      </c>
      <c r="K65" s="2210">
        <v>30</v>
      </c>
      <c r="L65" s="2210">
        <v>50</v>
      </c>
      <c r="M65" s="2212">
        <v>0.02</v>
      </c>
      <c r="O65" s="2175" t="s">
        <v>1577</v>
      </c>
      <c r="P65" s="2176" t="s">
        <v>1830</v>
      </c>
      <c r="Q65" s="2214" t="e">
        <f ca="1">C40+J29</f>
        <v>#N/A</v>
      </c>
      <c r="R65" s="2214" t="s">
        <v>1831</v>
      </c>
    </row>
    <row r="66" spans="1:18" s="762" customFormat="1" ht="15.75">
      <c r="A66" s="2020" t="s">
        <v>1523</v>
      </c>
      <c r="B66" s="2117" t="s">
        <v>1772</v>
      </c>
      <c r="C66" s="1003" t="e">
        <f ca="1">ROUND(C48*F66,2)</f>
        <v>#N/A</v>
      </c>
      <c r="D66" s="2125" t="s">
        <v>1790</v>
      </c>
      <c r="E66" s="2117" t="s">
        <v>1754</v>
      </c>
      <c r="F66" s="1999" t="e">
        <f t="shared" ca="1" si="0"/>
        <v>#N/A</v>
      </c>
      <c r="O66" s="2175" t="s">
        <v>1581</v>
      </c>
      <c r="P66" s="2176" t="s">
        <v>1871</v>
      </c>
      <c r="Q66" s="2214" t="e">
        <f ca="1">L60</f>
        <v>#N/A</v>
      </c>
      <c r="R66" s="2214" t="s">
        <v>1872</v>
      </c>
    </row>
    <row r="67" spans="1:18" s="762" customFormat="1" ht="15.75">
      <c r="A67" s="2112" t="s">
        <v>1793</v>
      </c>
      <c r="B67" s="2216" t="s">
        <v>1794</v>
      </c>
      <c r="C67" s="1002" t="e">
        <f ca="1">C48-C58</f>
        <v>#N/A</v>
      </c>
      <c r="D67" s="2124" t="s">
        <v>1795</v>
      </c>
      <c r="E67" s="2217"/>
      <c r="F67" s="2218"/>
      <c r="O67" s="2182" t="s">
        <v>1843</v>
      </c>
      <c r="P67" s="2176" t="s">
        <v>1875</v>
      </c>
      <c r="Q67" s="2238" t="e">
        <f ca="1">L51</f>
        <v>#N/A</v>
      </c>
      <c r="R67" s="2214" t="s">
        <v>1892</v>
      </c>
    </row>
    <row r="68" spans="1:18" s="762" customFormat="1" ht="15.75">
      <c r="A68" s="2219" t="s">
        <v>1799</v>
      </c>
      <c r="B68" s="2220" t="s">
        <v>1816</v>
      </c>
      <c r="C68" s="2063" t="e">
        <f ca="1">ROUND(C67*(1-((1+F70)/(1+F68))^F69)/(F68-F70),0)</f>
        <v>#N/A</v>
      </c>
      <c r="D68" s="2127" t="s">
        <v>1801</v>
      </c>
      <c r="E68" s="2117" t="s">
        <v>1802</v>
      </c>
      <c r="F68" s="1999" t="e">
        <f ca="1">F40</f>
        <v>#N/A</v>
      </c>
      <c r="O68" s="2182" t="s">
        <v>1847</v>
      </c>
      <c r="P68" s="2237" t="s">
        <v>1893</v>
      </c>
      <c r="Q68" s="2214" t="e">
        <f ca="1">ROUND(Q69-Q70*Q71,0)</f>
        <v>#N/A</v>
      </c>
      <c r="R68" s="2214" t="s">
        <v>1894</v>
      </c>
    </row>
    <row r="69" spans="1:18" s="762" customFormat="1">
      <c r="A69" s="2221"/>
      <c r="B69" s="2222"/>
      <c r="C69" s="1998"/>
      <c r="D69" s="2223" t="s">
        <v>1805</v>
      </c>
      <c r="E69" s="2117" t="s">
        <v>1806</v>
      </c>
      <c r="F69" s="2067" t="e">
        <f ca="1">F41</f>
        <v>#N/A</v>
      </c>
      <c r="O69" s="2182" t="s">
        <v>1895</v>
      </c>
      <c r="P69" s="2237" t="s">
        <v>1896</v>
      </c>
      <c r="Q69" s="2214" t="e">
        <f ca="1">C39</f>
        <v>#N/A</v>
      </c>
      <c r="R69" s="2214" t="s">
        <v>1831</v>
      </c>
    </row>
    <row r="70" spans="1:18" s="762" customFormat="1">
      <c r="A70" s="2224"/>
      <c r="B70" s="2225"/>
      <c r="C70" s="2017"/>
      <c r="D70" s="2129"/>
      <c r="E70" s="2117" t="s">
        <v>1809</v>
      </c>
      <c r="F70" s="2107"/>
      <c r="O70" s="2182" t="s">
        <v>1897</v>
      </c>
      <c r="P70" s="2237" t="s">
        <v>1898</v>
      </c>
      <c r="Q70" s="2214" t="e">
        <f ca="1">C13</f>
        <v>#N/A</v>
      </c>
      <c r="R70" s="2214" t="s">
        <v>1831</v>
      </c>
    </row>
    <row r="71" spans="1:18" s="762" customFormat="1">
      <c r="A71" s="2226" t="s">
        <v>1811</v>
      </c>
      <c r="B71" s="2227" t="s">
        <v>1817</v>
      </c>
      <c r="C71" s="2071" t="e">
        <f ca="1">ROUND(C68*10000/F71,0)</f>
        <v>#N/A</v>
      </c>
      <c r="D71" s="2228" t="s">
        <v>1818</v>
      </c>
      <c r="E71" s="2229" t="s">
        <v>1819</v>
      </c>
      <c r="F71" s="2074" t="e">
        <f ca="1">F43</f>
        <v>#N/A</v>
      </c>
      <c r="O71" s="2182" t="s">
        <v>1899</v>
      </c>
      <c r="P71" s="2237" t="s">
        <v>1900</v>
      </c>
      <c r="Q71" s="2215" t="e">
        <f ca="1">C76</f>
        <v>#N/A</v>
      </c>
      <c r="R71" s="2214"/>
    </row>
    <row r="72" spans="1:18" s="762" customFormat="1">
      <c r="B72" s="1036"/>
      <c r="C72" s="1036"/>
      <c r="O72" s="2182" t="s">
        <v>1851</v>
      </c>
      <c r="P72" s="2176" t="s">
        <v>1877</v>
      </c>
      <c r="Q72" s="2215">
        <f>L52</f>
        <v>0</v>
      </c>
      <c r="R72" s="2214"/>
    </row>
    <row r="73" spans="1:18" ht="15.75">
      <c r="A73" s="762"/>
      <c r="B73" s="1036"/>
      <c r="C73" s="1036"/>
      <c r="D73" s="762"/>
      <c r="E73" s="762"/>
      <c r="F73" s="762"/>
      <c r="O73" s="2182" t="s">
        <v>1855</v>
      </c>
      <c r="P73" s="2176" t="s">
        <v>1880</v>
      </c>
      <c r="Q73" s="2214" t="e">
        <f ca="1">L58</f>
        <v>#N/A</v>
      </c>
      <c r="R73" s="2214" t="s">
        <v>1881</v>
      </c>
    </row>
    <row r="74" spans="1:18">
      <c r="A74" s="762"/>
      <c r="B74" s="456" t="s">
        <v>1901</v>
      </c>
      <c r="C74" s="2230"/>
      <c r="D74" s="762"/>
      <c r="E74" s="762"/>
      <c r="F74" s="762"/>
      <c r="O74" s="2182" t="s">
        <v>1902</v>
      </c>
      <c r="P74" s="2176" t="str">
        <f>K59</f>
        <v>建筑物剩余耐用年限下的土地年期修正系数Kn</v>
      </c>
      <c r="Q74" s="2214" t="e">
        <f ca="1">L59</f>
        <v>#N/A</v>
      </c>
      <c r="R74" s="2214" t="s">
        <v>1882</v>
      </c>
    </row>
    <row r="75" spans="1:18">
      <c r="A75" s="762"/>
      <c r="B75" s="2231" t="s">
        <v>1903</v>
      </c>
      <c r="C75" s="2232" t="e">
        <f ca="1">ROUND(C13*C76,0)</f>
        <v>#N/A</v>
      </c>
      <c r="D75" s="762"/>
      <c r="E75" s="762"/>
      <c r="F75" s="762"/>
      <c r="K75" s="2162"/>
      <c r="L75" s="762"/>
      <c r="O75" s="2175" t="s">
        <v>1682</v>
      </c>
      <c r="P75" s="2176" t="s">
        <v>1861</v>
      </c>
      <c r="Q75" s="2214" t="e">
        <f ca="1">Q65+Q66</f>
        <v>#N/A</v>
      </c>
      <c r="R75" s="2214" t="s">
        <v>1862</v>
      </c>
    </row>
    <row r="76" spans="1:18">
      <c r="B76" s="546" t="s">
        <v>1904</v>
      </c>
      <c r="C76" s="2233" t="e">
        <f ca="1">INDIRECT("'数据-取费表'!j"&amp;$G$1)</f>
        <v>#N/A</v>
      </c>
      <c r="I76" s="762"/>
      <c r="J76" s="762"/>
      <c r="K76" s="2162"/>
      <c r="L76" s="762"/>
    </row>
    <row r="77" spans="1:18">
      <c r="B77" s="2234" t="s">
        <v>1905</v>
      </c>
      <c r="C77" s="2235"/>
      <c r="I77" s="762"/>
      <c r="J77" s="762"/>
      <c r="K77" s="2162"/>
      <c r="L77" s="762"/>
    </row>
    <row r="78" spans="1:18">
      <c r="B78" s="454" t="s">
        <v>1906</v>
      </c>
      <c r="C78" s="2236"/>
    </row>
    <row r="79" spans="1:18">
      <c r="B79" s="2231" t="s">
        <v>1907</v>
      </c>
      <c r="C79" s="457" t="e">
        <f ca="1">1-C80</f>
        <v>#N/A</v>
      </c>
    </row>
    <row r="80" spans="1:18">
      <c r="B80" s="2231" t="s">
        <v>1908</v>
      </c>
      <c r="C80" s="457" t="e">
        <f ca="1">ROUND(C75/C39,3)</f>
        <v>#N/A</v>
      </c>
    </row>
    <row r="81" spans="2:3">
      <c r="B81" s="454" t="s">
        <v>1909</v>
      </c>
      <c r="C81" s="424"/>
    </row>
    <row r="82" spans="2:3">
      <c r="B82" s="456" t="s">
        <v>1658</v>
      </c>
      <c r="C82" s="458" t="e">
        <f ca="1">1-C83</f>
        <v>#N/A</v>
      </c>
    </row>
    <row r="83" spans="2:3">
      <c r="B83" s="456" t="s">
        <v>1659</v>
      </c>
      <c r="C83" s="457"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92" t="s">
        <v>82</v>
      </c>
    </row>
    <row r="2" spans="1:1">
      <c r="A2" s="3493"/>
    </row>
    <row r="3" spans="1:1" ht="18">
      <c r="A3" s="3494" t="str">
        <f>项目基本情况!B5&amp;"："</f>
        <v>：</v>
      </c>
    </row>
    <row r="4" spans="1:1" ht="18">
      <c r="A4" s="3495" t="str">
        <f>"受贵公司委托，我公司对"&amp;项目基本情况!S1&amp;"进行了预评估。"</f>
        <v>受贵公司委托，我公司对北京市兴盛国际房地产抵押价值进行了预评估。</v>
      </c>
    </row>
    <row r="5" spans="1:1" ht="18.75">
      <c r="A5" s="3496" t="s">
        <v>83</v>
      </c>
    </row>
    <row r="6" spans="1:1" ht="18.75">
      <c r="A6" s="3497" t="s">
        <v>84</v>
      </c>
    </row>
    <row r="7" spans="1:1" ht="54">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估价对象为北京市兴盛国际房地产，为所有。根据《国有土地使用证》[]，估价对象（分摊）出让国有建设用地使用权面积为0平方米，建筑面积为38.93平方米。</v>
      </c>
    </row>
    <row r="8" spans="1:1" ht="57.75">
      <c r="A8" s="3498" t="s">
        <v>85</v>
      </c>
    </row>
    <row r="9" spans="1:1" ht="18.75">
      <c r="A9" s="3497" t="s">
        <v>86</v>
      </c>
    </row>
    <row r="10" spans="1:1" ht="54">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估价对象为北京市兴盛国际房地产,属开发建设的，该项目尚在开发建设中。根据《国有土地使用证》[]，估价对象（分摊）出让国有建设用地使用权面积为0平方米，规划建筑面积为38.93平方米。</v>
      </c>
    </row>
    <row r="11" spans="1:1" ht="76.5">
      <c r="A11" s="3498" t="s">
        <v>87</v>
      </c>
    </row>
    <row r="12" spans="1:1" ht="18.75">
      <c r="A12" s="3496" t="s">
        <v>88</v>
      </c>
    </row>
    <row r="13" spans="1:1" ht="38.25" customHeight="1">
      <c r="A13" s="3499" t="str">
        <f>IF(项目基本情况!B8="抵押",IF(项目基本情况!B5=项目基本情况!B6,定义!C51,定义!B51),定义!D51)</f>
        <v>拟使用北京市兴盛国际房地产作为抵押担保物，向办理贷款手续。特委托北京康正宏基房地产评估有限公司对上述抵押物进行评估。本次评估为确定房地产抵押贷款额度提供参考依据而评估房地产抵押价值。</v>
      </c>
    </row>
    <row r="14" spans="1:1" ht="18.75">
      <c r="A14" s="3500" t="s">
        <v>89</v>
      </c>
    </row>
    <row r="15" spans="1:1" ht="18">
      <c r="A15" s="3501" t="str">
        <f>TEXT(项目基本情况!D3,"yyyy年m月d日;;")&amp;IF(项目基本情况!D3=项目基本情况!B3,"（评估专业人员实地查勘之日）","")</f>
        <v>2024年1月9日</v>
      </c>
    </row>
    <row r="16" spans="1:1" ht="18.75">
      <c r="A16" s="3500" t="s">
        <v>90</v>
      </c>
    </row>
    <row r="17" spans="1:1" ht="75">
      <c r="A17" s="3495" t="s">
        <v>91</v>
      </c>
    </row>
    <row r="18" spans="1:1" ht="54">
      <c r="A18" s="34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9" spans="1:1" ht="157.5" customHeight="1">
      <c r="A19" s="34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0" t="s">
        <v>92</v>
      </c>
    </row>
    <row r="24" spans="1:1" ht="18">
      <c r="A24" s="3467" t="str">
        <f>"本次评估采用的主估价方法为"&amp;结果表!K4&amp;"和"&amp;结果表!L4&amp;"。"</f>
        <v>本次评估采用的主估价方法为比较法和收益法。</v>
      </c>
    </row>
    <row r="25" spans="1:1" ht="18">
      <c r="A25" s="3467"/>
    </row>
    <row r="26" spans="1:1" ht="18.75">
      <c r="A26" s="350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0"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1958" customFormat="1" ht="21">
      <c r="A1" s="1961" t="s">
        <v>1719</v>
      </c>
      <c r="B1" s="1293"/>
      <c r="C1" s="1962" t="s">
        <v>3405</v>
      </c>
      <c r="D1" s="1963" t="s">
        <v>124</v>
      </c>
      <c r="E1" s="1964" t="s">
        <v>1720</v>
      </c>
      <c r="F1" s="1965">
        <f ca="1">J53</f>
        <v>28.87</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1721</v>
      </c>
      <c r="B2" s="1968">
        <f ca="1">ROUND(D2/10000,4)</f>
        <v>48.3812</v>
      </c>
      <c r="C2" s="1969" t="s">
        <v>1722</v>
      </c>
      <c r="D2" s="1970">
        <f ca="1">C40+J29+L46</f>
        <v>483812</v>
      </c>
      <c r="E2" s="1971" t="s">
        <v>1911</v>
      </c>
      <c r="F2" s="1972"/>
      <c r="G2" s="1973"/>
      <c r="H2" s="1974"/>
      <c r="I2" s="1974"/>
      <c r="J2" s="1974"/>
      <c r="K2" s="2133"/>
      <c r="L2" s="1974"/>
      <c r="M2" s="1974"/>
    </row>
    <row r="3" spans="1:37" ht="18" customHeight="1">
      <c r="A3" s="1975" t="s">
        <v>1723</v>
      </c>
      <c r="B3" s="1976">
        <f ca="1">IF(ISERROR(D2/F43),0,ROUND(D2/F43,0))</f>
        <v>12428</v>
      </c>
      <c r="C3" s="1969" t="s">
        <v>1724</v>
      </c>
      <c r="D3" s="1969"/>
      <c r="E3" s="1971"/>
      <c r="F3" s="1972"/>
      <c r="G3" s="1973"/>
      <c r="H3" s="1977" t="s">
        <v>1725</v>
      </c>
      <c r="I3" s="2134"/>
      <c r="J3" s="2134"/>
      <c r="K3" s="2135"/>
      <c r="L3" s="2134"/>
      <c r="M3" s="2134"/>
    </row>
    <row r="4" spans="1:37" ht="18" customHeight="1">
      <c r="A4" s="1978" t="s">
        <v>1726</v>
      </c>
      <c r="B4" s="1979" t="s">
        <v>1727</v>
      </c>
      <c r="C4" s="1979" t="s">
        <v>1728</v>
      </c>
      <c r="D4" s="1979" t="s">
        <v>1729</v>
      </c>
      <c r="E4" s="1980" t="s">
        <v>1730</v>
      </c>
      <c r="F4" s="1981"/>
      <c r="G4" s="762"/>
      <c r="H4" s="1978" t="s">
        <v>1726</v>
      </c>
      <c r="I4" s="1979" t="s">
        <v>1727</v>
      </c>
      <c r="J4" s="1979" t="s">
        <v>1728</v>
      </c>
      <c r="K4" s="1979" t="s">
        <v>1729</v>
      </c>
      <c r="L4" s="1980" t="s">
        <v>1730</v>
      </c>
      <c r="M4" s="1981"/>
    </row>
    <row r="5" spans="1:37" ht="18" customHeight="1">
      <c r="A5" s="1982">
        <v>1</v>
      </c>
      <c r="B5" s="1983" t="s">
        <v>1731</v>
      </c>
      <c r="C5" s="1984">
        <f ca="1">C6+C10+C12</f>
        <v>32011</v>
      </c>
      <c r="D5" s="1985" t="s">
        <v>1732</v>
      </c>
      <c r="E5" s="1986"/>
      <c r="F5" s="1987"/>
      <c r="G5" s="762"/>
      <c r="H5" s="1982">
        <v>1</v>
      </c>
      <c r="I5" s="1983" t="s">
        <v>1731</v>
      </c>
      <c r="J5" s="1984">
        <f ca="1">J6+J10+J12</f>
        <v>0</v>
      </c>
      <c r="K5" s="1985" t="s">
        <v>1732</v>
      </c>
      <c r="L5" s="1986"/>
      <c r="M5" s="1987"/>
    </row>
    <row r="6" spans="1:37" ht="18" customHeight="1">
      <c r="A6" s="1988" t="s">
        <v>1470</v>
      </c>
      <c r="B6" s="3788" t="s">
        <v>1733</v>
      </c>
      <c r="C6" s="1989">
        <f ca="1">ROUND(F6*F8*F7*(1-F9),0)</f>
        <v>31971</v>
      </c>
      <c r="D6" s="1990" t="s">
        <v>1912</v>
      </c>
      <c r="E6" s="1991" t="s">
        <v>1735</v>
      </c>
      <c r="F6" s="1992">
        <f ca="1">INDIRECT("'数据-取费表'!u"&amp;$G$1)</f>
        <v>2.5</v>
      </c>
      <c r="G6" s="762"/>
      <c r="H6" s="1988" t="s">
        <v>1470</v>
      </c>
      <c r="I6" s="3788" t="s">
        <v>1733</v>
      </c>
      <c r="J6" s="2063">
        <f ca="1">ROUND(M6*M8*M7*(1-M9),0)</f>
        <v>0</v>
      </c>
      <c r="K6" s="2136" t="s">
        <v>1913</v>
      </c>
      <c r="L6" s="1991" t="s">
        <v>1735</v>
      </c>
      <c r="M6" s="1992">
        <f ca="1">INDIRECT("'数据-取费表'!z"&amp;$G$1)</f>
        <v>0</v>
      </c>
    </row>
    <row r="7" spans="1:37" ht="18" customHeight="1">
      <c r="A7" s="1993"/>
      <c r="B7" s="3789"/>
      <c r="C7" s="1994"/>
      <c r="D7" s="1995"/>
      <c r="E7" s="1996" t="s">
        <v>1737</v>
      </c>
      <c r="F7" s="1992">
        <f ca="1">IF(INDIRECT("'数据-取费表'!ah"&amp;$G$1)="",INDIRECT("'数据-取费表'!k"&amp;$G$1),INDIRECT("'数据-取费表'!ah"&amp;$G$1))</f>
        <v>38.93</v>
      </c>
      <c r="G7" s="762"/>
      <c r="H7" s="1997"/>
      <c r="I7" s="3789"/>
      <c r="J7" s="1998"/>
      <c r="K7" s="1995"/>
      <c r="L7" s="1991" t="s">
        <v>1737</v>
      </c>
      <c r="M7" s="1992">
        <f ca="1">F7</f>
        <v>38.93</v>
      </c>
    </row>
    <row r="8" spans="1:37" ht="18" customHeight="1">
      <c r="A8" s="1997"/>
      <c r="B8" s="3789"/>
      <c r="C8" s="1998"/>
      <c r="D8" s="1995"/>
      <c r="E8" s="1991" t="s">
        <v>1738</v>
      </c>
      <c r="F8" s="1992">
        <f ca="1">INDIRECT("'数据-取费表'!ai"&amp;$G$1)</f>
        <v>365</v>
      </c>
      <c r="G8" s="762"/>
      <c r="H8" s="1997"/>
      <c r="I8" s="3789"/>
      <c r="J8" s="1998"/>
      <c r="K8" s="1995"/>
      <c r="L8" s="1991" t="s">
        <v>1738</v>
      </c>
      <c r="M8" s="1992">
        <f ca="1">INDIRECT("'数据-取费表'!ai"&amp;$G$1)</f>
        <v>365</v>
      </c>
    </row>
    <row r="9" spans="1:37" ht="18" customHeight="1">
      <c r="A9" s="1997"/>
      <c r="B9" s="3790"/>
      <c r="C9" s="1998"/>
      <c r="D9" s="1995"/>
      <c r="E9" s="1991" t="s">
        <v>1739</v>
      </c>
      <c r="F9" s="1999">
        <f ca="1">INDIRECT("'数据-取费表'!w"&amp;$G$1)</f>
        <v>0.1</v>
      </c>
      <c r="G9" s="762"/>
      <c r="H9" s="1997"/>
      <c r="I9" s="3790"/>
      <c r="J9" s="1998"/>
      <c r="K9" s="1995"/>
      <c r="L9" s="2002" t="s">
        <v>1739</v>
      </c>
      <c r="M9" s="2007">
        <f ca="1">INDIRECT("'数据-取费表'!ab"&amp;$G$1)</f>
        <v>0</v>
      </c>
    </row>
    <row r="10" spans="1:37" ht="18" customHeight="1">
      <c r="A10" s="1988" t="s">
        <v>1474</v>
      </c>
      <c r="B10" s="2000" t="s">
        <v>1740</v>
      </c>
      <c r="C10" s="1002">
        <f ca="1">ROUND(IF(F10="押一",C6/12*F11,IF(F10="押二",C6/12*2*F11,IF(F10="押三",C6/12*3*F11,C11*F11))),0)</f>
        <v>40</v>
      </c>
      <c r="D10" s="2001" t="s">
        <v>1741</v>
      </c>
      <c r="E10" s="2002" t="s">
        <v>1742</v>
      </c>
      <c r="F10" s="2003" t="s">
        <v>1910</v>
      </c>
      <c r="G10" s="762"/>
      <c r="H10" s="1988" t="s">
        <v>1474</v>
      </c>
      <c r="I10" s="2000" t="s">
        <v>1740</v>
      </c>
      <c r="J10" s="2063">
        <f ca="1">ROUND(IF(M10="押一",J6/12*M11,IF(M10="押二",J6/12*2*M11,IF(M10="押三",J6/12*3*M11,J11*M11))),0)</f>
        <v>0</v>
      </c>
      <c r="K10" s="2137" t="s">
        <v>1914</v>
      </c>
      <c r="L10" s="2002" t="s">
        <v>1742</v>
      </c>
      <c r="M10" s="2003"/>
    </row>
    <row r="11" spans="1:37" ht="18" customHeight="1">
      <c r="A11" s="2004"/>
      <c r="B11" s="2005" t="s">
        <v>1915</v>
      </c>
      <c r="C11" s="2006"/>
      <c r="D11" s="1995"/>
      <c r="E11" s="2002" t="s">
        <v>1745</v>
      </c>
      <c r="F11" s="2007">
        <f ca="1">'数据-取费表'!B39</f>
        <v>1.4999999999999999E-2</v>
      </c>
      <c r="G11" s="762"/>
      <c r="H11" s="2008"/>
      <c r="I11" s="2005" t="s">
        <v>1916</v>
      </c>
      <c r="J11" s="2006"/>
      <c r="K11" s="2138"/>
      <c r="L11" s="2002" t="s">
        <v>1745</v>
      </c>
      <c r="M11" s="2139">
        <f ca="1">'数据-取费表'!B39</f>
        <v>1.4999999999999999E-2</v>
      </c>
    </row>
    <row r="12" spans="1:37" ht="18" customHeight="1">
      <c r="A12" s="2009" t="s">
        <v>1520</v>
      </c>
      <c r="B12" s="2010" t="s">
        <v>1746</v>
      </c>
      <c r="C12" s="2011"/>
      <c r="D12" s="2012"/>
      <c r="E12" s="2013"/>
      <c r="F12" s="2014"/>
      <c r="G12" s="762"/>
      <c r="H12" s="2009" t="s">
        <v>1520</v>
      </c>
      <c r="I12" s="2010" t="s">
        <v>1746</v>
      </c>
      <c r="J12" s="2011"/>
      <c r="K12" s="2140"/>
      <c r="L12" s="2013"/>
      <c r="M12" s="2141"/>
    </row>
    <row r="13" spans="1:37" ht="18" customHeight="1">
      <c r="A13" s="2015">
        <v>2</v>
      </c>
      <c r="B13" s="2016" t="s">
        <v>1747</v>
      </c>
      <c r="C13" s="2017">
        <f ca="1">ROUND(C29*F13,0)</f>
        <v>208617</v>
      </c>
      <c r="D13" s="2018" t="s">
        <v>1748</v>
      </c>
      <c r="E13" s="2018" t="s">
        <v>1749</v>
      </c>
      <c r="F13" s="2019">
        <f ca="1">INDIRECT("'数据-取费表'!y"&amp;$G$1)</f>
        <v>0.82</v>
      </c>
      <c r="G13" s="762"/>
      <c r="H13" s="2015">
        <v>2</v>
      </c>
      <c r="I13" s="2016" t="s">
        <v>1747</v>
      </c>
      <c r="J13" s="2142">
        <f ca="1">ROUND(J14*J15,0)</f>
        <v>0</v>
      </c>
      <c r="K13" s="2041" t="s">
        <v>1748</v>
      </c>
      <c r="L13" s="2143"/>
      <c r="M13" s="2144"/>
    </row>
    <row r="14" spans="1:37" ht="18" customHeight="1">
      <c r="A14" s="2020" t="s">
        <v>1493</v>
      </c>
      <c r="B14" s="1991" t="s">
        <v>1750</v>
      </c>
      <c r="C14" s="2021">
        <f ca="1">ROUND(INDIRECT("'数据-取费表'!l"&amp;$G$1)*F43+'数据-取费表'!L14*INDIRECT("'数据-取费表'!S"&amp;$G$1),0)</f>
        <v>175185</v>
      </c>
      <c r="D14" s="2022" t="s">
        <v>1751</v>
      </c>
      <c r="E14" s="2023"/>
      <c r="F14" s="2024"/>
      <c r="G14" s="762"/>
      <c r="H14" s="2020" t="s">
        <v>1470</v>
      </c>
      <c r="I14" s="1991" t="s">
        <v>1752</v>
      </c>
      <c r="J14" s="1003">
        <f ca="1">C29</f>
        <v>254411</v>
      </c>
      <c r="K14" s="2145"/>
      <c r="L14" s="2146"/>
      <c r="M14" s="2147"/>
    </row>
    <row r="15" spans="1:37" s="1959" customFormat="1" ht="18" customHeight="1">
      <c r="A15" s="2020" t="s">
        <v>1497</v>
      </c>
      <c r="B15" s="1991" t="s">
        <v>1680</v>
      </c>
      <c r="C15" s="1003">
        <f ca="1">ROUND(C14*F15,0)</f>
        <v>8759</v>
      </c>
      <c r="D15" s="2025" t="s">
        <v>1753</v>
      </c>
      <c r="E15" s="2025" t="s">
        <v>1754</v>
      </c>
      <c r="F15" s="2026">
        <f>'数据-取费表'!B33</f>
        <v>0.05</v>
      </c>
      <c r="G15" s="2027"/>
      <c r="H15" s="2028" t="s">
        <v>1474</v>
      </c>
      <c r="I15" s="2013" t="s">
        <v>1749</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1500</v>
      </c>
      <c r="B16" s="1991" t="s">
        <v>1683</v>
      </c>
      <c r="C16" s="1003">
        <f ca="1">ROUND(INDIRECT("'数据-取费表'!l"&amp;$G$1)*F43*F16,0)</f>
        <v>0</v>
      </c>
      <c r="D16" s="1991" t="s">
        <v>1753</v>
      </c>
      <c r="E16" s="1991" t="s">
        <v>1754</v>
      </c>
      <c r="F16" s="2029">
        <f ca="1">IF(INDIRECT("'数据-取费表'!c"&amp;$G$1)="住宅",'数据-取费表'!B34,0)</f>
        <v>0</v>
      </c>
      <c r="G16" s="762"/>
      <c r="H16" s="2015" t="s">
        <v>1755</v>
      </c>
      <c r="I16" s="2016" t="s">
        <v>1756</v>
      </c>
      <c r="J16" s="2017">
        <f ca="1">ROUND(J17+J22+J23+J24,0)</f>
        <v>1272</v>
      </c>
      <c r="K16" s="2041" t="s">
        <v>1757</v>
      </c>
      <c r="L16" s="2042"/>
      <c r="M16" s="1987"/>
    </row>
    <row r="17" spans="1:37" s="1959" customFormat="1" ht="18" customHeight="1">
      <c r="A17" s="2020" t="s">
        <v>1758</v>
      </c>
      <c r="B17" s="1991" t="s">
        <v>1759</v>
      </c>
      <c r="C17" s="1003">
        <f ca="1">ROUND(F17*(F43+INDIRECT("'数据-取费表'!S"&amp;$G$1)),0)</f>
        <v>7786</v>
      </c>
      <c r="D17" s="1991" t="s">
        <v>1760</v>
      </c>
      <c r="E17" s="1991" t="s">
        <v>1761</v>
      </c>
      <c r="F17" s="2030">
        <f>'数据-取费表'!B35</f>
        <v>200</v>
      </c>
      <c r="G17" s="2027"/>
      <c r="H17" s="2020" t="s">
        <v>1470</v>
      </c>
      <c r="I17" s="1991" t="s">
        <v>1762</v>
      </c>
      <c r="J17" s="2044">
        <f ca="1">ROUND(IF(AND(项目基本情况!B11="自然人",项目基本情况!B10="北京市"),J6*M17/(1+'数据-取费表'!C42),J18+J19+J20),0)</f>
        <v>0</v>
      </c>
      <c r="K17" s="2022" t="s">
        <v>1763</v>
      </c>
      <c r="L17" s="2045" t="s">
        <v>1764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1765</v>
      </c>
      <c r="B18" s="1991" t="s">
        <v>1689</v>
      </c>
      <c r="C18" s="1003">
        <f ca="1">ROUND(C14*F18,0)</f>
        <v>2628</v>
      </c>
      <c r="D18" s="1991" t="s">
        <v>1753</v>
      </c>
      <c r="E18" s="1991" t="s">
        <v>1754</v>
      </c>
      <c r="F18" s="2029">
        <f>'数据-取费表'!B36</f>
        <v>1.4999999999999999E-2</v>
      </c>
      <c r="G18" s="2027"/>
      <c r="H18" s="2020" t="s">
        <v>1493</v>
      </c>
      <c r="I18" s="1991" t="s">
        <v>1766</v>
      </c>
      <c r="J18" s="1003">
        <f ca="1">ROUND(J6*M18/(1+'数据-取费表'!C42),0)</f>
        <v>0</v>
      </c>
      <c r="K18" s="2045" t="s">
        <v>1767</v>
      </c>
      <c r="L18" s="1991" t="s">
        <v>1754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1470</v>
      </c>
      <c r="B19" s="1991" t="s">
        <v>1768</v>
      </c>
      <c r="C19" s="1003">
        <f ca="1">SUM(C14:C18)</f>
        <v>194358</v>
      </c>
      <c r="D19" s="2031" t="s">
        <v>1769</v>
      </c>
      <c r="E19" s="1005"/>
      <c r="F19" s="2030"/>
      <c r="G19" s="762"/>
      <c r="H19" s="2020" t="s">
        <v>1497</v>
      </c>
      <c r="I19" s="1991" t="s">
        <v>1770</v>
      </c>
      <c r="J19" s="1003">
        <f ca="1">IF(K19="按租金收入计税",ROUND(J6*M19/(1+'数据-取费表'!C42),0),ROUND(C29*M19*0.7,0))</f>
        <v>0</v>
      </c>
      <c r="K19" s="2048" t="s">
        <v>1771</v>
      </c>
      <c r="L19" s="1991" t="s">
        <v>1754</v>
      </c>
      <c r="M19" s="2029">
        <f>IF(K19="按租金收入计税",'数据-取费表'!B51,'数据-取费表'!B50)</f>
        <v>0.12</v>
      </c>
    </row>
    <row r="20" spans="1:37" s="1959" customFormat="1" ht="18" customHeight="1">
      <c r="A20" s="2020" t="s">
        <v>1474</v>
      </c>
      <c r="B20" s="1991" t="s">
        <v>1772</v>
      </c>
      <c r="C20" s="1003">
        <f ca="1">ROUND(C19*F20,0)</f>
        <v>3887</v>
      </c>
      <c r="D20" s="2032" t="s">
        <v>1773</v>
      </c>
      <c r="E20" s="1991" t="s">
        <v>1754</v>
      </c>
      <c r="F20" s="2029">
        <f>'数据-取费表'!B37</f>
        <v>0.02</v>
      </c>
      <c r="G20" s="2027"/>
      <c r="H20" s="2020" t="s">
        <v>1500</v>
      </c>
      <c r="I20" s="1990" t="s">
        <v>1774</v>
      </c>
      <c r="J20" s="2050">
        <f ca="1">ROUND(M20*M21,0)</f>
        <v>0</v>
      </c>
      <c r="K20" s="2051" t="s">
        <v>1775</v>
      </c>
      <c r="L20" s="1991" t="s">
        <v>1776</v>
      </c>
      <c r="M20" s="2035">
        <f>'数据-取费表'!B52</f>
        <v>1.5</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1520</v>
      </c>
      <c r="B21" s="1991" t="s">
        <v>1777</v>
      </c>
      <c r="C21" s="1003" t="s">
        <v>124</v>
      </c>
      <c r="D21" s="2032" t="s">
        <v>1778</v>
      </c>
      <c r="E21" s="1991" t="s">
        <v>1779</v>
      </c>
      <c r="F21" s="2029">
        <f>'数据-取费表'!B38</f>
        <v>0.02</v>
      </c>
      <c r="G21" s="2027"/>
      <c r="H21" s="2033"/>
      <c r="I21" s="2151"/>
      <c r="J21" s="2054"/>
      <c r="K21" s="2055"/>
      <c r="L21" s="1991" t="s">
        <v>1780</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1523</v>
      </c>
      <c r="B22" s="1991" t="s">
        <v>1781</v>
      </c>
      <c r="C22" s="1003"/>
      <c r="D22" s="2031" t="str">
        <f>IF(F23&lt;=1,"单利计息。","复利计息。")&amp;"建造成本、管理费用、销售费用产生的利息。"</f>
        <v>复利计息。建造成本、管理费用、销售费用产生的利息。</v>
      </c>
      <c r="E22" s="1005"/>
      <c r="F22" s="2030"/>
      <c r="G22" s="762"/>
      <c r="H22" s="2020" t="s">
        <v>1474</v>
      </c>
      <c r="I22" s="1991" t="s">
        <v>1782</v>
      </c>
      <c r="J22" s="1003">
        <f ca="1">ROUND(J14*M22,0)</f>
        <v>1272</v>
      </c>
      <c r="K22" s="2045" t="s">
        <v>1783</v>
      </c>
      <c r="L22" s="1991" t="s">
        <v>1754</v>
      </c>
      <c r="M22" s="2057">
        <f ca="1">INDIRECT("'数据-取费表'!Ak"&amp;$G$1)</f>
        <v>5.0000000000000001E-3</v>
      </c>
    </row>
    <row r="23" spans="1:37" s="1959" customFormat="1" ht="18" customHeight="1">
      <c r="A23" s="2020" t="s">
        <v>1493</v>
      </c>
      <c r="B23" s="1991" t="s">
        <v>1784</v>
      </c>
      <c r="C23" s="1003">
        <f ca="1">IF('数据-取费表'!B22&lt;=1,ROUND(C19*F24*F23/2,0)+ROUND(C20*F24*F23/2,0),ROUND(C19*(POWER((1+F24),F23/2)-1),0)+ROUND(C20*(POWER((1+F24),F23/2)-1),0))</f>
        <v>6839</v>
      </c>
      <c r="D23" s="2034" t="str">
        <f>IF(F23&lt;=1,"(建造成本+管理费用)×利率×(建设周期÷2)","(建造成本+管理费用)×((1+利率)^(建设周期÷2)-1)")</f>
        <v>(建造成本+管理费用)×((1+利率)^(建设周期÷2)-1)</v>
      </c>
      <c r="E23" s="1991" t="s">
        <v>1785</v>
      </c>
      <c r="F23" s="2035">
        <f>'数据-取费表'!B20</f>
        <v>2</v>
      </c>
      <c r="G23" s="2027"/>
      <c r="H23" s="2020" t="s">
        <v>1520</v>
      </c>
      <c r="I23" s="1991" t="s">
        <v>1786</v>
      </c>
      <c r="J23" s="1003">
        <f ca="1">ROUND(J13*M23,0)</f>
        <v>0</v>
      </c>
      <c r="K23" s="2045" t="s">
        <v>1787</v>
      </c>
      <c r="L23" s="1991" t="s">
        <v>1754</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1497</v>
      </c>
      <c r="B24" s="1991" t="s">
        <v>1788</v>
      </c>
      <c r="C24" s="1003">
        <f ca="1">ROUND(IF('数据-取费表'!B22&lt;=1,F21*F24*F23/2,F21*(POWER((1+F24),F23/2)-1)),4)</f>
        <v>6.9999999999999999E-4</v>
      </c>
      <c r="D24" s="2034" t="str">
        <f>IF(F23&lt;=1,"销售费用×利率×(建设周期÷2)","销售费用×((1+利率)^(建设周期÷2)-1)")</f>
        <v>销售费用×((1+利率)^(建设周期÷2)-1)</v>
      </c>
      <c r="E24" s="1991" t="s">
        <v>1789</v>
      </c>
      <c r="F24" s="2036">
        <f ca="1">'数据-取费表'!B40</f>
        <v>3.4500000000000003E-2</v>
      </c>
      <c r="G24" s="2027"/>
      <c r="H24" s="2028" t="s">
        <v>1523</v>
      </c>
      <c r="I24" s="2013" t="s">
        <v>1772</v>
      </c>
      <c r="J24" s="2037">
        <f ca="1">ROUND(J5*M24,0)</f>
        <v>0</v>
      </c>
      <c r="K24" s="2038" t="s">
        <v>1790</v>
      </c>
      <c r="L24" s="2013" t="s">
        <v>1754</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1527</v>
      </c>
      <c r="B25" s="1991" t="s">
        <v>1791</v>
      </c>
      <c r="C25" s="1003"/>
      <c r="D25" s="2031" t="s">
        <v>1792</v>
      </c>
      <c r="E25" s="1005"/>
      <c r="F25" s="2030"/>
      <c r="G25" s="762"/>
      <c r="H25" s="2015" t="s">
        <v>1793</v>
      </c>
      <c r="I25" s="2059" t="s">
        <v>1794</v>
      </c>
      <c r="J25" s="2017">
        <f ca="1">J5-J16</f>
        <v>-1272</v>
      </c>
      <c r="K25" s="2060" t="s">
        <v>1795</v>
      </c>
      <c r="L25" s="2061"/>
      <c r="M25" s="2062"/>
    </row>
    <row r="26" spans="1:37" ht="18" customHeight="1">
      <c r="A26" s="2020" t="s">
        <v>1493</v>
      </c>
      <c r="B26" s="1991" t="s">
        <v>1796</v>
      </c>
      <c r="C26" s="1003">
        <f ca="1">ROUND((C19+C20)*F26,0)</f>
        <v>29737</v>
      </c>
      <c r="D26" s="2032" t="s">
        <v>1797</v>
      </c>
      <c r="E26" s="2002" t="s">
        <v>1798</v>
      </c>
      <c r="F26" s="1999">
        <f ca="1">INDIRECT("'数据-取费表'!q"&amp;$G$1)</f>
        <v>0.15</v>
      </c>
      <c r="G26" s="762"/>
      <c r="H26" s="1982" t="s">
        <v>1799</v>
      </c>
      <c r="I26" s="1983" t="s">
        <v>1800</v>
      </c>
      <c r="J26" s="2063">
        <f ca="1">IF(J5&lt;&gt;0,ROUND(J25*(1-((1+M28)/(1+M26))^M27)/(M26-M28),0),0)</f>
        <v>0</v>
      </c>
      <c r="K26" s="2051" t="s">
        <v>1801</v>
      </c>
      <c r="L26" s="1991" t="s">
        <v>1802</v>
      </c>
      <c r="M26" s="1999">
        <f ca="1">INDIRECT("'数据-取费表'!I"&amp;$G$1)</f>
        <v>5.5E-2</v>
      </c>
    </row>
    <row r="27" spans="1:37" ht="18" customHeight="1">
      <c r="A27" s="2020" t="s">
        <v>1497</v>
      </c>
      <c r="B27" s="1991" t="s">
        <v>1803</v>
      </c>
      <c r="C27" s="1003">
        <f ca="1">ROUND(F21*F26,4)</f>
        <v>3.0000000000000001E-3</v>
      </c>
      <c r="D27" s="2032" t="s">
        <v>1804</v>
      </c>
      <c r="E27" s="2025"/>
      <c r="F27" s="2026"/>
      <c r="G27" s="762"/>
      <c r="H27" s="1997"/>
      <c r="I27" s="2065"/>
      <c r="J27" s="1998"/>
      <c r="K27" s="2066" t="s">
        <v>1805</v>
      </c>
      <c r="L27" s="1991" t="s">
        <v>1806</v>
      </c>
      <c r="M27" s="2067">
        <f ca="1">INDIRECT("'数据-取费表'!ag"&amp;$G$1)</f>
        <v>0</v>
      </c>
    </row>
    <row r="28" spans="1:37" s="1959" customFormat="1" ht="18" customHeight="1">
      <c r="A28" s="2020" t="s">
        <v>1528</v>
      </c>
      <c r="B28" s="1991" t="s">
        <v>1807</v>
      </c>
      <c r="C28" s="1003">
        <f>ROUND(F28/(1+'数据-取费表'!C42),4)</f>
        <v>5.33E-2</v>
      </c>
      <c r="D28" s="2032" t="s">
        <v>1808</v>
      </c>
      <c r="E28" s="1991" t="s">
        <v>1754</v>
      </c>
      <c r="F28" s="2029">
        <f>'数据-取费表'!B41</f>
        <v>5.6000000000000001E-2</v>
      </c>
      <c r="G28" s="2027"/>
      <c r="H28" s="2004"/>
      <c r="I28" s="2069"/>
      <c r="J28" s="2017"/>
      <c r="K28" s="2055"/>
      <c r="L28" s="1991" t="s">
        <v>1809</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1714</v>
      </c>
      <c r="B29" s="2013" t="s">
        <v>1810</v>
      </c>
      <c r="C29" s="2037">
        <f ca="1">ROUND((C19+C20+C23+C26)/(1-F21-C24-C27-C28),0)</f>
        <v>254411</v>
      </c>
      <c r="D29" s="2038"/>
      <c r="E29" s="2013"/>
      <c r="F29" s="2039"/>
      <c r="G29" s="2027"/>
      <c r="H29" s="2040" t="s">
        <v>1811</v>
      </c>
      <c r="I29" s="2070" t="s">
        <v>1812</v>
      </c>
      <c r="J29" s="2071">
        <f ca="1">ROUND(J26/(1+F40)^F41,0)</f>
        <v>0</v>
      </c>
      <c r="K29" s="2072" t="s">
        <v>1813</v>
      </c>
      <c r="L29" s="2073"/>
      <c r="M29" s="2074">
        <f ca="1">INDIRECT("'数据-取费表'!k"&amp;$G$1)</f>
        <v>38.93</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1755</v>
      </c>
      <c r="B30" s="2016" t="s">
        <v>1756</v>
      </c>
      <c r="C30" s="2017">
        <f ca="1">ROUND(C31+C36+C37+C38,0)</f>
        <v>7000</v>
      </c>
      <c r="D30" s="2041" t="s">
        <v>1757</v>
      </c>
      <c r="E30" s="2042"/>
      <c r="F30" s="1987"/>
      <c r="G30" s="762"/>
      <c r="H30" s="2043"/>
      <c r="I30" s="2152"/>
      <c r="J30" s="2153"/>
      <c r="K30" s="2154"/>
      <c r="L30" s="2155"/>
      <c r="M30" s="2156"/>
    </row>
    <row r="31" spans="1:37" ht="18" customHeight="1">
      <c r="A31" s="2020" t="s">
        <v>1470</v>
      </c>
      <c r="B31" s="1991" t="s">
        <v>1762</v>
      </c>
      <c r="C31" s="2044">
        <f ca="1">ROUND(IF(AND(项目基本情况!B11="自然人",项目基本情况!B10="北京市"),C6*F31/(1+'数据-取费表'!C42),C32+C33+C34),0)</f>
        <v>5359</v>
      </c>
      <c r="D31" s="2022" t="s">
        <v>1763</v>
      </c>
      <c r="E31" s="2045" t="s">
        <v>1764</v>
      </c>
      <c r="F31" s="2046" t="str">
        <f>IF(项目基本情况!B11="企业","——",IF(M47="住宅",IF(F6*F7*F8/12/(1+'数据-取费表'!F30)&gt;100000,4%,2.5%),IF(F6*F7*F8/12/(1+'数据-取费表'!F30)&gt;100000,12%,7%)))</f>
        <v>——</v>
      </c>
      <c r="G31" s="762"/>
      <c r="H31" s="2047" t="s">
        <v>1814</v>
      </c>
      <c r="I31" s="2152"/>
      <c r="J31" s="2153"/>
      <c r="K31" s="2154"/>
      <c r="L31" s="2155"/>
      <c r="M31" s="2156"/>
    </row>
    <row r="32" spans="1:37" ht="18" customHeight="1">
      <c r="A32" s="2020" t="s">
        <v>1493</v>
      </c>
      <c r="B32" s="1991" t="s">
        <v>1766</v>
      </c>
      <c r="C32" s="1003">
        <f ca="1">IF(项目基本情况!B11="自然人","——",ROUND(C6*F32/(1+'数据-取费表'!C42),0))</f>
        <v>1705</v>
      </c>
      <c r="D32" s="2045" t="s">
        <v>1767</v>
      </c>
      <c r="E32" s="1991" t="s">
        <v>1754</v>
      </c>
      <c r="F32" s="2036">
        <f>'数据-取费表'!B41</f>
        <v>5.6000000000000001E-2</v>
      </c>
      <c r="G32" s="762"/>
      <c r="H32" s="2043"/>
      <c r="I32" s="2152"/>
      <c r="J32" s="2153"/>
      <c r="K32" s="2154"/>
      <c r="L32" s="2155"/>
      <c r="M32" s="2156"/>
    </row>
    <row r="33" spans="1:18" ht="18" customHeight="1">
      <c r="A33" s="2020" t="s">
        <v>1497</v>
      </c>
      <c r="B33" s="1991" t="s">
        <v>1770</v>
      </c>
      <c r="C33" s="1003">
        <f ca="1">IF(项目基本情况!B11="自然人","——",IF(D33="按租金收入计税",ROUND(C6*F33/(1+'数据-取费表'!C42),0),IF(D33="按房产原值计税",ROUND(C29*F33*0.7,0),INDIRECT("'数据-取费表'!Aj"&amp;$G$1))))</f>
        <v>3654</v>
      </c>
      <c r="D33" s="2048" t="s">
        <v>1771</v>
      </c>
      <c r="E33" s="1991" t="s">
        <v>1754</v>
      </c>
      <c r="F33" s="2029">
        <f>IF(D33="按票据","——",IF(D33="按租金收入计税",'数据-取费表'!B51,'数据-取费表'!B50))</f>
        <v>0.12</v>
      </c>
      <c r="G33" s="762"/>
      <c r="H33" s="2049"/>
      <c r="I33" s="2152"/>
      <c r="J33" s="2153"/>
      <c r="K33" s="2157"/>
      <c r="L33" s="2049"/>
      <c r="M33" s="2049"/>
    </row>
    <row r="34" spans="1:18" ht="18" customHeight="1">
      <c r="A34" s="1988" t="s">
        <v>1500</v>
      </c>
      <c r="B34" s="1990" t="s">
        <v>1774</v>
      </c>
      <c r="C34" s="2050">
        <f ca="1">IF(项目基本情况!B11="自然人","——",ROUND(F34*F35,0))</f>
        <v>0</v>
      </c>
      <c r="D34" s="2051" t="s">
        <v>1775</v>
      </c>
      <c r="E34" s="1991" t="s">
        <v>1776</v>
      </c>
      <c r="F34" s="2035">
        <f>'数据-取费表'!B52</f>
        <v>1.5</v>
      </c>
      <c r="G34" s="762"/>
      <c r="H34" s="2043"/>
      <c r="I34" s="2152"/>
      <c r="J34" s="2153"/>
      <c r="K34" s="2158"/>
      <c r="L34" s="2159"/>
      <c r="M34" s="2159"/>
    </row>
    <row r="35" spans="1:18" ht="18" customHeight="1">
      <c r="A35" s="2052"/>
      <c r="B35" s="2053"/>
      <c r="C35" s="2054"/>
      <c r="D35" s="2055"/>
      <c r="E35" s="1991" t="s">
        <v>1780</v>
      </c>
      <c r="F35" s="1992">
        <f ca="1">INDIRECT("'数据-取费表'!r"&amp;$G$1)</f>
        <v>0</v>
      </c>
      <c r="G35" s="762"/>
      <c r="H35" s="2043"/>
      <c r="I35" s="2152"/>
      <c r="J35" s="2153"/>
      <c r="K35" s="2157"/>
      <c r="L35" s="2049"/>
      <c r="M35" s="2049"/>
    </row>
    <row r="36" spans="1:18" ht="18" customHeight="1">
      <c r="A36" s="2056" t="s">
        <v>1474</v>
      </c>
      <c r="B36" s="1991" t="s">
        <v>1782</v>
      </c>
      <c r="C36" s="1003">
        <f ca="1">ROUND(C29*F36,0)</f>
        <v>1272</v>
      </c>
      <c r="D36" s="2045" t="s">
        <v>1815</v>
      </c>
      <c r="E36" s="1991" t="s">
        <v>1754</v>
      </c>
      <c r="F36" s="2057">
        <f ca="1">INDIRECT("'数据-取费表'!Ak"&amp;$G$1)</f>
        <v>5.0000000000000001E-3</v>
      </c>
      <c r="G36" s="762"/>
      <c r="H36" s="2049"/>
      <c r="I36" s="2152"/>
      <c r="J36" s="2153"/>
      <c r="K36" s="2160"/>
      <c r="L36" s="2049"/>
      <c r="M36" s="2049"/>
    </row>
    <row r="37" spans="1:18" ht="18" customHeight="1">
      <c r="A37" s="2020" t="s">
        <v>1520</v>
      </c>
      <c r="B37" s="1991" t="s">
        <v>1786</v>
      </c>
      <c r="C37" s="1003">
        <f ca="1">ROUND(C13*F37,0)</f>
        <v>209</v>
      </c>
      <c r="D37" s="2045" t="s">
        <v>1787</v>
      </c>
      <c r="E37" s="1991" t="s">
        <v>1754</v>
      </c>
      <c r="F37" s="2058">
        <f ca="1">INDIRECT("'数据-取费表'!Al"&amp;$G$1)</f>
        <v>1E-3</v>
      </c>
      <c r="G37" s="762"/>
      <c r="H37" s="2049"/>
      <c r="I37" s="2152"/>
      <c r="J37" s="2153"/>
      <c r="K37" s="2160"/>
      <c r="L37" s="2049"/>
      <c r="M37" s="2049"/>
    </row>
    <row r="38" spans="1:18" ht="18" customHeight="1">
      <c r="A38" s="2028" t="s">
        <v>1523</v>
      </c>
      <c r="B38" s="2013" t="s">
        <v>1772</v>
      </c>
      <c r="C38" s="2037">
        <f ca="1">ROUND(C5*F38,0)</f>
        <v>160</v>
      </c>
      <c r="D38" s="2038" t="s">
        <v>1790</v>
      </c>
      <c r="E38" s="2013" t="s">
        <v>1754</v>
      </c>
      <c r="F38" s="2014">
        <f ca="1">INDIRECT("'数据-取费表'!Am"&amp;$G$1)</f>
        <v>5.0000000000000001E-3</v>
      </c>
      <c r="G38" s="762"/>
      <c r="H38" s="2049"/>
      <c r="I38" s="2152"/>
      <c r="J38" s="2153"/>
      <c r="K38" s="2161"/>
      <c r="L38" s="2049"/>
      <c r="M38" s="2049"/>
    </row>
    <row r="39" spans="1:18" ht="24.6" customHeight="1">
      <c r="A39" s="2015" t="s">
        <v>1793</v>
      </c>
      <c r="B39" s="2059" t="s">
        <v>1794</v>
      </c>
      <c r="C39" s="2017">
        <f ca="1">C5-C30</f>
        <v>25011</v>
      </c>
      <c r="D39" s="2060" t="s">
        <v>1795</v>
      </c>
      <c r="E39" s="2061"/>
      <c r="F39" s="2062"/>
      <c r="G39" s="762"/>
      <c r="H39" s="2049">
        <f ca="1">C39/C5</f>
        <v>0.78132516947299369</v>
      </c>
      <c r="I39" s="2152"/>
      <c r="J39" s="2153"/>
      <c r="K39" s="2161"/>
      <c r="L39" s="2049"/>
      <c r="M39" s="2049"/>
    </row>
    <row r="40" spans="1:18" ht="18" customHeight="1">
      <c r="A40" s="1982" t="s">
        <v>1799</v>
      </c>
      <c r="B40" s="1983" t="s">
        <v>1816</v>
      </c>
      <c r="C40" s="2063">
        <f ca="1">ROUND(C39*(1-((1+F42)/(1+F40))^F41)/(F40-F42),0)</f>
        <v>471199</v>
      </c>
      <c r="D40" s="2051" t="s">
        <v>1801</v>
      </c>
      <c r="E40" s="1991" t="s">
        <v>1802</v>
      </c>
      <c r="F40" s="1999">
        <f ca="1">INDIRECT("'数据-取费表'!I"&amp;$G$1)</f>
        <v>5.5E-2</v>
      </c>
      <c r="G40" s="762"/>
      <c r="H40" s="2064"/>
      <c r="I40" s="2152"/>
      <c r="J40" s="2153"/>
      <c r="K40" s="2161"/>
      <c r="L40" s="2064"/>
      <c r="M40" s="2064"/>
    </row>
    <row r="41" spans="1:18" ht="18" customHeight="1">
      <c r="A41" s="1997"/>
      <c r="B41" s="2065"/>
      <c r="C41" s="1998"/>
      <c r="D41" s="2066" t="s">
        <v>1805</v>
      </c>
      <c r="E41" s="1991" t="s">
        <v>1806</v>
      </c>
      <c r="F41" s="2067">
        <f ca="1">IF(INDIRECT("'数据-取费表'!af"&amp;$G$1)=0,INDIRECT("'数据-取费表'!ae"&amp;$G$1),INDIRECT("'数据-取费表'!af"&amp;$G$1))</f>
        <v>28.87</v>
      </c>
      <c r="G41" s="762"/>
      <c r="H41" s="2068"/>
      <c r="I41" s="2152"/>
      <c r="J41" s="2153"/>
      <c r="K41" s="2160"/>
      <c r="L41" s="2068"/>
      <c r="M41" s="2068"/>
    </row>
    <row r="42" spans="1:18" ht="18" customHeight="1">
      <c r="A42" s="2004"/>
      <c r="B42" s="2069"/>
      <c r="C42" s="2017"/>
      <c r="D42" s="2055"/>
      <c r="E42" s="1991" t="s">
        <v>1809</v>
      </c>
      <c r="F42" s="1999">
        <f ca="1">INDIRECT("'数据-取费表'!v"&amp;$G$1)</f>
        <v>2.5000000000000001E-2</v>
      </c>
      <c r="G42" s="762"/>
      <c r="H42" s="2068"/>
      <c r="I42" s="2152"/>
      <c r="J42" s="2153"/>
      <c r="K42" s="2160"/>
      <c r="L42" s="2068"/>
      <c r="M42" s="2068"/>
    </row>
    <row r="43" spans="1:18" ht="18" customHeight="1">
      <c r="A43" s="2040" t="s">
        <v>1811</v>
      </c>
      <c r="B43" s="2070" t="s">
        <v>1817</v>
      </c>
      <c r="C43" s="2071">
        <f ca="1">ROUND(C40/F43,0)</f>
        <v>12104</v>
      </c>
      <c r="D43" s="2072" t="s">
        <v>1818</v>
      </c>
      <c r="E43" s="2073" t="s">
        <v>1819</v>
      </c>
      <c r="F43" s="2074">
        <f ca="1">INDIRECT("'数据-取费表'!k"&amp;$G$1)</f>
        <v>38.93</v>
      </c>
      <c r="G43" s="762"/>
      <c r="H43" s="2068"/>
      <c r="I43" s="2068"/>
      <c r="J43" s="2068"/>
      <c r="K43" s="2160"/>
      <c r="L43" s="2068"/>
      <c r="M43" s="2068"/>
    </row>
    <row r="44" spans="1:18" s="762" customFormat="1" ht="18" customHeight="1">
      <c r="A44" s="2075"/>
      <c r="B44" s="2075"/>
      <c r="C44" s="2076"/>
      <c r="D44" s="2075"/>
      <c r="E44" s="2075"/>
      <c r="F44" s="2075"/>
      <c r="K44" s="2162"/>
    </row>
    <row r="45" spans="1:18" s="762" customFormat="1" ht="18" customHeight="1">
      <c r="A45" s="2077" t="s">
        <v>1917</v>
      </c>
      <c r="B45" s="2075"/>
      <c r="C45" s="2078">
        <f ca="1">ROUND((C68-C40)/10000,4)</f>
        <v>-49.238700000000001</v>
      </c>
      <c r="D45" s="2079" t="s">
        <v>1918</v>
      </c>
      <c r="E45" s="2075"/>
      <c r="F45" s="2075"/>
      <c r="O45" s="2163" t="s">
        <v>1820</v>
      </c>
      <c r="P45" s="2064"/>
      <c r="Q45" s="2064"/>
      <c r="R45" s="2064"/>
    </row>
    <row r="46" spans="1:18" s="762" customFormat="1">
      <c r="A46" s="2080" t="s">
        <v>1821</v>
      </c>
      <c r="C46" s="2081">
        <f ca="1">ROUND(C45,0)</f>
        <v>-49</v>
      </c>
      <c r="D46" s="2082" t="str">
        <f>C2</f>
        <v>万元</v>
      </c>
      <c r="I46" s="2164" t="s">
        <v>1822</v>
      </c>
      <c r="J46" s="2165"/>
      <c r="K46" s="2166"/>
      <c r="L46" s="2167">
        <f ca="1">IF(M47="住宅",0,IF(L48&gt;J51,L60,J60))</f>
        <v>12613</v>
      </c>
      <c r="O46" s="2168" t="s">
        <v>1823</v>
      </c>
      <c r="P46" s="2169" t="s">
        <v>1824</v>
      </c>
      <c r="Q46" s="2213" t="s">
        <v>1825</v>
      </c>
      <c r="R46" s="2213" t="s">
        <v>1826</v>
      </c>
    </row>
    <row r="47" spans="1:18" s="762" customFormat="1">
      <c r="A47" s="2083" t="s">
        <v>1726</v>
      </c>
      <c r="B47" s="2084" t="s">
        <v>1727</v>
      </c>
      <c r="C47" s="2084" t="s">
        <v>1728</v>
      </c>
      <c r="D47" s="2084" t="s">
        <v>1729</v>
      </c>
      <c r="E47" s="2085" t="s">
        <v>1730</v>
      </c>
      <c r="F47" s="996"/>
      <c r="G47" s="2086"/>
      <c r="I47" s="2170" t="s">
        <v>1827</v>
      </c>
      <c r="J47" s="2171" t="s">
        <v>1828</v>
      </c>
      <c r="K47" s="2172" t="s">
        <v>1829</v>
      </c>
      <c r="L47" s="2173">
        <f ca="1">INDIRECT("'数据-取费表'!d"&amp;$G$1)</f>
        <v>50</v>
      </c>
      <c r="M47" s="2174" t="str">
        <f>IF(ISNUMBER(FIND("住宅",C1)),"住宅","非住宅")</f>
        <v>非住宅</v>
      </c>
      <c r="O47" s="2175" t="s">
        <v>1577</v>
      </c>
      <c r="P47" s="2176" t="s">
        <v>1830</v>
      </c>
      <c r="Q47" s="2214">
        <f ca="1">C40+J29</f>
        <v>471199</v>
      </c>
      <c r="R47" s="2214" t="s">
        <v>1831</v>
      </c>
    </row>
    <row r="48" spans="1:18" s="762" customFormat="1" ht="27.75">
      <c r="A48" s="2087" t="s">
        <v>1832</v>
      </c>
      <c r="B48" s="1983" t="s">
        <v>1731</v>
      </c>
      <c r="C48" s="1004">
        <f ca="1">C49+C53+C55</f>
        <v>0</v>
      </c>
      <c r="D48" s="2088"/>
      <c r="E48" s="2089"/>
      <c r="F48" s="2090"/>
      <c r="G48" s="2086"/>
      <c r="H48" s="2091"/>
      <c r="I48" s="2177" t="s">
        <v>1833</v>
      </c>
      <c r="J48" s="2178" t="s">
        <v>1834</v>
      </c>
      <c r="K48" s="2179" t="s">
        <v>1835</v>
      </c>
      <c r="L48" s="2180">
        <f ca="1">INDIRECT("'数据-取费表'!f"&amp;$G$1)</f>
        <v>28.87</v>
      </c>
      <c r="O48" s="2175" t="s">
        <v>1581</v>
      </c>
      <c r="P48" s="2176" t="s">
        <v>1836</v>
      </c>
      <c r="Q48" s="2214">
        <f ca="1">J60</f>
        <v>12613</v>
      </c>
      <c r="R48" s="2214" t="s">
        <v>1837</v>
      </c>
    </row>
    <row r="49" spans="1:18" s="762" customFormat="1">
      <c r="A49" s="2092" t="s">
        <v>1838</v>
      </c>
      <c r="B49" s="2093" t="s">
        <v>1839</v>
      </c>
      <c r="C49" s="2094">
        <f ca="1">ROUND(F49*F51*F50*(1-F52),0)</f>
        <v>0</v>
      </c>
      <c r="D49" s="2095" t="s">
        <v>1919</v>
      </c>
      <c r="E49" s="2096" t="s">
        <v>1840</v>
      </c>
      <c r="F49" s="2097"/>
      <c r="G49" s="2098"/>
      <c r="H49" s="2091"/>
      <c r="I49" s="2177" t="s">
        <v>1841</v>
      </c>
      <c r="J49" s="2247">
        <f>'数据-取费表'!N18</f>
        <v>2010</v>
      </c>
      <c r="K49" s="2179" t="s">
        <v>1842</v>
      </c>
      <c r="L49" s="2181"/>
      <c r="O49" s="2182" t="s">
        <v>1843</v>
      </c>
      <c r="P49" s="2176" t="s">
        <v>1844</v>
      </c>
      <c r="Q49" s="2214">
        <f ca="1">C29</f>
        <v>254411</v>
      </c>
      <c r="R49" s="2214" t="s">
        <v>1831</v>
      </c>
    </row>
    <row r="50" spans="1:18" s="762" customFormat="1">
      <c r="A50" s="2099"/>
      <c r="B50" s="2100"/>
      <c r="C50" s="2101"/>
      <c r="D50" s="2102"/>
      <c r="E50" s="2103" t="s">
        <v>1737</v>
      </c>
      <c r="F50" s="2104">
        <f ca="1">F7</f>
        <v>38.93</v>
      </c>
      <c r="H50" s="2091"/>
      <c r="I50" s="2177" t="s">
        <v>1845</v>
      </c>
      <c r="J50" s="2183">
        <f>SUMPRODUCT((I63:I65=J47)*(J62:L62=J48)*(J63:L65))</f>
        <v>60</v>
      </c>
      <c r="K50" s="2179" t="s">
        <v>1846</v>
      </c>
      <c r="L50" s="2181"/>
      <c r="M50" s="2184"/>
      <c r="O50" s="2182" t="s">
        <v>1847</v>
      </c>
      <c r="P50" s="2176" t="s">
        <v>1848</v>
      </c>
      <c r="Q50" s="2215">
        <f ca="1">J58</f>
        <v>0.4</v>
      </c>
      <c r="R50" s="2214"/>
    </row>
    <row r="51" spans="1:18" s="762" customFormat="1">
      <c r="A51" s="2105"/>
      <c r="B51" s="2100"/>
      <c r="C51" s="2101"/>
      <c r="D51" s="2102"/>
      <c r="E51" s="2106" t="s">
        <v>1738</v>
      </c>
      <c r="F51" s="1992">
        <f ca="1">F8</f>
        <v>365</v>
      </c>
      <c r="I51" s="2185" t="s">
        <v>1849</v>
      </c>
      <c r="J51" s="2186">
        <f>IF(J49="",J50,J49+J50-YEAR('数据-取费表'!B2))</f>
        <v>46</v>
      </c>
      <c r="K51" s="2187" t="s">
        <v>1850</v>
      </c>
      <c r="L51" s="2188">
        <f ca="1">ROUND(-PV(INDIRECT("'数据-取费表'!h"&amp;$G$1),J51,(C39-C13*C76),0),0)</f>
        <v>186092</v>
      </c>
      <c r="M51" s="2189"/>
      <c r="O51" s="2182" t="s">
        <v>1851</v>
      </c>
      <c r="P51" s="2176" t="s">
        <v>1852</v>
      </c>
      <c r="Q51" s="2215">
        <f>J52</f>
        <v>7.4999999999999997E-2</v>
      </c>
      <c r="R51" s="2214"/>
    </row>
    <row r="52" spans="1:18" s="762" customFormat="1">
      <c r="A52" s="2105"/>
      <c r="B52" s="2100"/>
      <c r="C52" s="2101"/>
      <c r="D52" s="2102"/>
      <c r="E52" s="2106" t="s">
        <v>1739</v>
      </c>
      <c r="F52" s="2107"/>
      <c r="I52" s="2190" t="s">
        <v>1853</v>
      </c>
      <c r="J52" s="2191">
        <v>7.4999999999999997E-2</v>
      </c>
      <c r="K52" s="2190" t="s">
        <v>1854</v>
      </c>
      <c r="L52" s="2191"/>
      <c r="O52" s="2182" t="s">
        <v>1855</v>
      </c>
      <c r="P52" s="2176" t="s">
        <v>1856</v>
      </c>
      <c r="Q52" s="2214">
        <f ca="1">J53</f>
        <v>28.87</v>
      </c>
      <c r="R52" s="2214" t="s">
        <v>1857</v>
      </c>
    </row>
    <row r="53" spans="1:18" s="762" customFormat="1" ht="30.75" customHeight="1">
      <c r="A53" s="2108" t="s">
        <v>1858</v>
      </c>
      <c r="B53" s="2032" t="s">
        <v>1740</v>
      </c>
      <c r="C53" s="1002">
        <f ca="1">ROUND(IF(F53="押一",C49/12*F11,IF(F53="押二",C49/12*2*F11,IF(F53="押三",C49/12*3*F11,C54*F11))),0)</f>
        <v>0</v>
      </c>
      <c r="D53" s="2001" t="s">
        <v>1920</v>
      </c>
      <c r="E53" s="2002" t="s">
        <v>1742</v>
      </c>
      <c r="F53" s="2003"/>
      <c r="I53" s="2192" t="s">
        <v>1859</v>
      </c>
      <c r="J53" s="2193">
        <f ca="1">IF(M47="住宅",IF(D1="——",MAX(J51,L48),MAX(J51,L48-'数据-取费表'!B24)),IF(D1="——",MIN(J51,L48),MIN(J51,L48-'数据-取费表'!B24)))</f>
        <v>28.87</v>
      </c>
      <c r="K53" s="3786" t="s">
        <v>1860</v>
      </c>
      <c r="L53" s="3787"/>
      <c r="O53" s="2175" t="s">
        <v>1682</v>
      </c>
      <c r="P53" s="2176" t="s">
        <v>1861</v>
      </c>
      <c r="Q53" s="2214">
        <f ca="1">Q47+Q48</f>
        <v>483812</v>
      </c>
      <c r="R53" s="2214" t="s">
        <v>1862</v>
      </c>
    </row>
    <row r="54" spans="1:18" s="762" customFormat="1">
      <c r="A54" s="2092"/>
      <c r="B54" s="2109" t="s">
        <v>1916</v>
      </c>
      <c r="C54" s="2006"/>
      <c r="D54" s="2001"/>
      <c r="E54" s="2110"/>
      <c r="F54" s="2111"/>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8"/>
      <c r="O54" s="2163" t="s">
        <v>1863</v>
      </c>
      <c r="P54" s="2196"/>
      <c r="Q54" s="2196"/>
      <c r="R54" s="2196"/>
    </row>
    <row r="55" spans="1:18" s="762" customFormat="1">
      <c r="A55" s="2009" t="s">
        <v>1520</v>
      </c>
      <c r="B55" s="2010" t="s">
        <v>1746</v>
      </c>
      <c r="C55" s="2011"/>
      <c r="D55" s="2001"/>
      <c r="E55" s="2110"/>
      <c r="F55" s="2111"/>
      <c r="I55" s="2197" t="s">
        <v>1864</v>
      </c>
      <c r="J55" s="2198">
        <f ca="1">ROUND(IF(J47="钢混",J57/J50,1-(1-2%)*(J50-J57)/J50),3)</f>
        <v>0.28599999999999998</v>
      </c>
      <c r="K55" s="2199" t="s">
        <v>1865</v>
      </c>
      <c r="L55" s="2200"/>
      <c r="O55" s="2168" t="s">
        <v>1823</v>
      </c>
      <c r="P55" s="2169" t="s">
        <v>1824</v>
      </c>
      <c r="Q55" s="2213" t="s">
        <v>1825</v>
      </c>
      <c r="R55" s="2213" t="s">
        <v>1826</v>
      </c>
    </row>
    <row r="56" spans="1:18" s="762" customFormat="1" ht="36" customHeight="1">
      <c r="A56" s="2112">
        <v>2</v>
      </c>
      <c r="B56" s="2113" t="s">
        <v>1747</v>
      </c>
      <c r="C56" s="414">
        <f ca="1">C13</f>
        <v>208617</v>
      </c>
      <c r="D56" s="2114"/>
      <c r="E56" s="2115"/>
      <c r="F56" s="2111"/>
      <c r="I56" s="2201" t="s">
        <v>1866</v>
      </c>
      <c r="J56" s="2202" t="s">
        <v>1867</v>
      </c>
      <c r="K56" s="2177" t="s">
        <v>1868</v>
      </c>
      <c r="L56" s="2180" t="str">
        <f ca="1">IF(L48&lt;J51,"——",L48-J51)</f>
        <v>——</v>
      </c>
      <c r="O56" s="2175" t="s">
        <v>1577</v>
      </c>
      <c r="P56" s="2176" t="s">
        <v>1830</v>
      </c>
      <c r="Q56" s="2214">
        <f ca="1">C40+J29</f>
        <v>471199</v>
      </c>
      <c r="R56" s="2214" t="s">
        <v>1831</v>
      </c>
    </row>
    <row r="57" spans="1:18" s="762" customFormat="1" ht="24">
      <c r="A57" s="2116"/>
      <c r="B57" s="2117" t="s">
        <v>1810</v>
      </c>
      <c r="C57" s="424">
        <f ca="1">C29</f>
        <v>254411</v>
      </c>
      <c r="D57" s="2118"/>
      <c r="E57" s="2119"/>
      <c r="F57" s="2120"/>
      <c r="I57" s="2203" t="s">
        <v>1869</v>
      </c>
      <c r="J57" s="2204">
        <f ca="1">IF(OR(M47="住宅",J51&lt;L48,J56="是"),"——",J51-L48)</f>
        <v>17.13</v>
      </c>
      <c r="K57" s="2177" t="s">
        <v>1921</v>
      </c>
      <c r="L57" s="2180" t="str">
        <f ca="1">IF(L48&lt;J51,"——",IF(L55="比较法",L49,IF(L55="基准地价",L50,L51)))</f>
        <v>——</v>
      </c>
      <c r="O57" s="2175" t="s">
        <v>1581</v>
      </c>
      <c r="P57" s="2176" t="s">
        <v>1871</v>
      </c>
      <c r="Q57" s="2214">
        <f ca="1">L60</f>
        <v>0</v>
      </c>
      <c r="R57" s="2214" t="s">
        <v>1872</v>
      </c>
    </row>
    <row r="58" spans="1:18" s="762" customFormat="1" ht="24">
      <c r="A58" s="2121" t="s">
        <v>1755</v>
      </c>
      <c r="B58" s="2113" t="s">
        <v>1756</v>
      </c>
      <c r="C58" s="1002">
        <f ca="1">ROUND(C59+C64+C65+C66,0)</f>
        <v>1481</v>
      </c>
      <c r="D58" s="2122" t="s">
        <v>1757</v>
      </c>
      <c r="E58" s="2123"/>
      <c r="F58" s="2090"/>
      <c r="I58" s="2203" t="s">
        <v>1873</v>
      </c>
      <c r="J58" s="2205">
        <f ca="1">IF(J55&lt;0.4,0.4,J55)</f>
        <v>0.4</v>
      </c>
      <c r="K58" s="2187" t="s">
        <v>1922</v>
      </c>
      <c r="L58" s="2180" t="e">
        <f ca="1">ROUND(POWER(1+L52,L47-L48)*(POWER(1+L52,L48)-1)/(POWER(1+L52,L47)-1),4)</f>
        <v>#DIV/0!</v>
      </c>
      <c r="O58" s="2182" t="s">
        <v>1843</v>
      </c>
      <c r="P58" s="2176" t="s">
        <v>1875</v>
      </c>
      <c r="Q58" s="2214">
        <f>IF(L55="比较法",L49,IF(L55="基准地价",L50,0))</f>
        <v>0</v>
      </c>
      <c r="R58" s="2214" t="s">
        <v>1831</v>
      </c>
    </row>
    <row r="59" spans="1:18" s="762" customFormat="1" ht="24">
      <c r="A59" s="2020" t="s">
        <v>1470</v>
      </c>
      <c r="B59" s="2117" t="s">
        <v>1762</v>
      </c>
      <c r="C59" s="2044">
        <f ca="1">ROUND(IF(AND(项目基本情况!B11="自然人",项目基本情况!B10="北京市"),C49*F59/(1+'数据-取费表'!C42),C60+C61+C62),0)</f>
        <v>0</v>
      </c>
      <c r="D59" s="2124" t="s">
        <v>1763</v>
      </c>
      <c r="E59" s="2125" t="s">
        <v>1764</v>
      </c>
      <c r="F59" s="2046" t="str">
        <f>IF(项目基本情况!B11="企业","——",IF('数据-取费表'!B10="住宅",IF(F49*F50*F51/12/(1+'数据-取费表'!F30)&gt;100000,4%,2.5%),IF(F49*F50*F51/12/(1+'数据-取费表'!F30)&gt;100000,12%,7%)))</f>
        <v>——</v>
      </c>
      <c r="I59" s="2203" t="s">
        <v>1876</v>
      </c>
      <c r="J59" s="2204">
        <f ca="1">IF(OR(M47="住宅",J51&lt;L48,J56="是"),"——",ROUND(C29*J58,0))</f>
        <v>101764</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1847</v>
      </c>
      <c r="P59" s="2176" t="s">
        <v>1877</v>
      </c>
      <c r="Q59" s="2215">
        <f>L52</f>
        <v>0</v>
      </c>
      <c r="R59" s="2214"/>
    </row>
    <row r="60" spans="1:18" s="762" customFormat="1" ht="15.75">
      <c r="A60" s="2020" t="s">
        <v>1493</v>
      </c>
      <c r="B60" s="2117" t="s">
        <v>1766</v>
      </c>
      <c r="C60" s="1003">
        <f ca="1">IF(项目基本情况!B11="自然人","——",ROUND(C48*F60/(1+'数据-取费表'!C42),0))</f>
        <v>0</v>
      </c>
      <c r="D60" s="2125" t="s">
        <v>1767</v>
      </c>
      <c r="E60" s="2117" t="s">
        <v>1754</v>
      </c>
      <c r="F60" s="2036">
        <f t="shared" ref="F60:F66" si="0">F32</f>
        <v>5.6000000000000001E-2</v>
      </c>
      <c r="I60" s="2206" t="s">
        <v>1878</v>
      </c>
      <c r="J60" s="2207">
        <f ca="1">IF(OR(M47="住宅",J51&lt;L48,J56="是"),"0",ROUND(J59/(1+J52)^J53,0))</f>
        <v>12613</v>
      </c>
      <c r="K60" s="2208" t="s">
        <v>1879</v>
      </c>
      <c r="L60" s="2207">
        <f ca="1">IF(OR(M47="住宅",L48&lt;J51),0,ROUND(L57*(L58/L59-1),0))</f>
        <v>0</v>
      </c>
      <c r="O60" s="2182" t="s">
        <v>1851</v>
      </c>
      <c r="P60" s="2176" t="s">
        <v>1880</v>
      </c>
      <c r="Q60" s="2214" t="e">
        <f ca="1">L58</f>
        <v>#DIV/0!</v>
      </c>
      <c r="R60" s="2214" t="s">
        <v>1881</v>
      </c>
    </row>
    <row r="61" spans="1:18" s="762" customFormat="1">
      <c r="A61" s="2020" t="s">
        <v>1497</v>
      </c>
      <c r="B61" s="2117" t="s">
        <v>1770</v>
      </c>
      <c r="C61" s="1003">
        <f ca="1">IF(项目基本情况!B11="自然人","——",IF(D61="按租金收入计税",ROUND(C49*F61/(1+'数据-取费表'!C42),0),IF(D61="按房产原值计税",ROUND(C57*F61*0.7,0),INDIRECT("'数据-取费表'!Aj"&amp;$G$1))))</f>
        <v>0</v>
      </c>
      <c r="D61" s="2048" t="s">
        <v>1771</v>
      </c>
      <c r="E61" s="2117" t="s">
        <v>1754</v>
      </c>
      <c r="F61" s="2029">
        <f t="shared" si="0"/>
        <v>0.12</v>
      </c>
      <c r="I61" s="2064"/>
      <c r="J61" s="2064"/>
      <c r="K61" s="2064"/>
      <c r="L61" s="2064"/>
      <c r="O61" s="2182" t="s">
        <v>1855</v>
      </c>
      <c r="P61" s="2176" t="str">
        <f>K59</f>
        <v>建筑物剩余耐用年限下的土地年期修正系数Kn</v>
      </c>
      <c r="Q61" s="2214" t="e">
        <f ca="1">L59</f>
        <v>#DIV/0!</v>
      </c>
      <c r="R61" s="2214" t="s">
        <v>1882</v>
      </c>
    </row>
    <row r="62" spans="1:18" s="762" customFormat="1">
      <c r="A62" s="2020" t="s">
        <v>1500</v>
      </c>
      <c r="B62" s="2126" t="s">
        <v>1774</v>
      </c>
      <c r="C62" s="2050">
        <f ca="1">IF(项目基本情况!B11="自然人","——",ROUND(F62*F63,0))</f>
        <v>0</v>
      </c>
      <c r="D62" s="2127" t="s">
        <v>1775</v>
      </c>
      <c r="E62" s="2117" t="s">
        <v>1776</v>
      </c>
      <c r="F62" s="2035">
        <f t="shared" si="0"/>
        <v>1.5</v>
      </c>
      <c r="I62" s="2209" t="s">
        <v>1883</v>
      </c>
      <c r="J62" s="2210" t="s">
        <v>1884</v>
      </c>
      <c r="K62" s="2210" t="s">
        <v>1885</v>
      </c>
      <c r="L62" s="2210" t="s">
        <v>1886</v>
      </c>
      <c r="M62" s="2211" t="s">
        <v>1887</v>
      </c>
      <c r="O62" s="2175" t="s">
        <v>1682</v>
      </c>
      <c r="P62" s="2176" t="s">
        <v>1861</v>
      </c>
      <c r="Q62" s="2214">
        <f ca="1">Q56+Q57</f>
        <v>471199</v>
      </c>
      <c r="R62" s="2214" t="s">
        <v>1862</v>
      </c>
    </row>
    <row r="63" spans="1:18" s="762" customFormat="1">
      <c r="A63" s="2033"/>
      <c r="B63" s="2128"/>
      <c r="C63" s="2054"/>
      <c r="D63" s="2129"/>
      <c r="E63" s="2117" t="s">
        <v>1780</v>
      </c>
      <c r="F63" s="1992">
        <f t="shared" ca="1" si="0"/>
        <v>0</v>
      </c>
      <c r="I63" s="2209" t="s">
        <v>1888</v>
      </c>
      <c r="J63" s="2210">
        <v>70</v>
      </c>
      <c r="K63" s="2210">
        <v>50</v>
      </c>
      <c r="L63" s="2210">
        <v>80</v>
      </c>
      <c r="M63" s="2212">
        <v>0.02</v>
      </c>
      <c r="O63" s="2163" t="s">
        <v>1889</v>
      </c>
      <c r="P63" s="2196"/>
      <c r="Q63" s="2196"/>
      <c r="R63" s="2196"/>
    </row>
    <row r="64" spans="1:18" s="762" customFormat="1">
      <c r="A64" s="2020" t="s">
        <v>1474</v>
      </c>
      <c r="B64" s="2117" t="s">
        <v>1782</v>
      </c>
      <c r="C64" s="1003">
        <f ca="1">ROUND(C57*F64,0)</f>
        <v>1272</v>
      </c>
      <c r="D64" s="2125" t="s">
        <v>1815</v>
      </c>
      <c r="E64" s="2117" t="s">
        <v>1754</v>
      </c>
      <c r="F64" s="2057">
        <f t="shared" ca="1" si="0"/>
        <v>5.0000000000000001E-3</v>
      </c>
      <c r="I64" s="2209" t="s">
        <v>1890</v>
      </c>
      <c r="J64" s="2210">
        <v>50</v>
      </c>
      <c r="K64" s="2210">
        <v>35</v>
      </c>
      <c r="L64" s="2210">
        <v>60</v>
      </c>
      <c r="M64" s="2211">
        <v>0</v>
      </c>
      <c r="O64" s="2168" t="s">
        <v>1823</v>
      </c>
      <c r="P64" s="2169" t="s">
        <v>1824</v>
      </c>
      <c r="Q64" s="2213" t="s">
        <v>1825</v>
      </c>
      <c r="R64" s="2213" t="s">
        <v>1826</v>
      </c>
    </row>
    <row r="65" spans="1:18" s="762" customFormat="1">
      <c r="A65" s="2020" t="s">
        <v>1520</v>
      </c>
      <c r="B65" s="2117" t="s">
        <v>1786</v>
      </c>
      <c r="C65" s="1003">
        <f ca="1">ROUND(C56*F65,0)</f>
        <v>209</v>
      </c>
      <c r="D65" s="2125" t="s">
        <v>1787</v>
      </c>
      <c r="E65" s="2117" t="s">
        <v>1754</v>
      </c>
      <c r="F65" s="2058">
        <f t="shared" ca="1" si="0"/>
        <v>1E-3</v>
      </c>
      <c r="I65" s="2209" t="s">
        <v>1891</v>
      </c>
      <c r="J65" s="2210">
        <v>40</v>
      </c>
      <c r="K65" s="2210">
        <v>30</v>
      </c>
      <c r="L65" s="2210">
        <v>50</v>
      </c>
      <c r="M65" s="2212">
        <v>0.02</v>
      </c>
      <c r="O65" s="2175" t="s">
        <v>1577</v>
      </c>
      <c r="P65" s="2176" t="s">
        <v>1830</v>
      </c>
      <c r="Q65" s="2214">
        <f ca="1">C40+J29</f>
        <v>471199</v>
      </c>
      <c r="R65" s="2214" t="s">
        <v>1831</v>
      </c>
    </row>
    <row r="66" spans="1:18" s="762" customFormat="1" ht="15.75">
      <c r="A66" s="2020" t="s">
        <v>1523</v>
      </c>
      <c r="B66" s="2117" t="s">
        <v>1772</v>
      </c>
      <c r="C66" s="1003">
        <f ca="1">ROUND(C48*F66,0)</f>
        <v>0</v>
      </c>
      <c r="D66" s="2125" t="s">
        <v>1790</v>
      </c>
      <c r="E66" s="2117" t="s">
        <v>1754</v>
      </c>
      <c r="F66" s="1999">
        <f t="shared" ca="1" si="0"/>
        <v>5.0000000000000001E-3</v>
      </c>
      <c r="O66" s="2175" t="s">
        <v>1581</v>
      </c>
      <c r="P66" s="2176" t="s">
        <v>1871</v>
      </c>
      <c r="Q66" s="2214">
        <f ca="1">L60</f>
        <v>0</v>
      </c>
      <c r="R66" s="2214" t="s">
        <v>1872</v>
      </c>
    </row>
    <row r="67" spans="1:18" s="762" customFormat="1" ht="15.75">
      <c r="A67" s="2112" t="s">
        <v>1793</v>
      </c>
      <c r="B67" s="2216" t="s">
        <v>1794</v>
      </c>
      <c r="C67" s="1002">
        <f ca="1">C48-C58</f>
        <v>-1481</v>
      </c>
      <c r="D67" s="2124" t="s">
        <v>1795</v>
      </c>
      <c r="E67" s="2217"/>
      <c r="F67" s="2218"/>
      <c r="O67" s="2182" t="s">
        <v>1843</v>
      </c>
      <c r="P67" s="2176" t="s">
        <v>1875</v>
      </c>
      <c r="Q67" s="2238">
        <f ca="1">L51</f>
        <v>186092</v>
      </c>
      <c r="R67" s="2214" t="s">
        <v>1892</v>
      </c>
    </row>
    <row r="68" spans="1:18" s="762" customFormat="1" ht="15.75">
      <c r="A68" s="2219" t="s">
        <v>1799</v>
      </c>
      <c r="B68" s="2220" t="s">
        <v>1816</v>
      </c>
      <c r="C68" s="2063">
        <f ca="1">ROUND(C67*(1-((1+F70)/(1+F68))^F69)/(F68-F70),0)</f>
        <v>-21188</v>
      </c>
      <c r="D68" s="2127" t="s">
        <v>1801</v>
      </c>
      <c r="E68" s="2117" t="s">
        <v>1802</v>
      </c>
      <c r="F68" s="1999">
        <f ca="1">F40</f>
        <v>5.5E-2</v>
      </c>
      <c r="O68" s="2182" t="s">
        <v>1847</v>
      </c>
      <c r="P68" s="2237" t="s">
        <v>1893</v>
      </c>
      <c r="Q68" s="2214">
        <f ca="1">ROUND(Q69-Q70*Q71,0)</f>
        <v>10408</v>
      </c>
      <c r="R68" s="2214" t="s">
        <v>1894</v>
      </c>
    </row>
    <row r="69" spans="1:18" s="762" customFormat="1">
      <c r="A69" s="2221"/>
      <c r="B69" s="2222"/>
      <c r="C69" s="1998"/>
      <c r="D69" s="2223" t="s">
        <v>1805</v>
      </c>
      <c r="E69" s="2117" t="s">
        <v>1806</v>
      </c>
      <c r="F69" s="2067">
        <f ca="1">F41</f>
        <v>28.87</v>
      </c>
      <c r="O69" s="2182" t="s">
        <v>1895</v>
      </c>
      <c r="P69" s="2237" t="s">
        <v>1896</v>
      </c>
      <c r="Q69" s="2214">
        <f ca="1">C39</f>
        <v>25011</v>
      </c>
      <c r="R69" s="2214" t="s">
        <v>1831</v>
      </c>
    </row>
    <row r="70" spans="1:18" s="762" customFormat="1">
      <c r="A70" s="2224"/>
      <c r="B70" s="2225"/>
      <c r="C70" s="2017"/>
      <c r="D70" s="2129"/>
      <c r="E70" s="2117" t="s">
        <v>1809</v>
      </c>
      <c r="F70" s="2107"/>
      <c r="O70" s="2182" t="s">
        <v>1897</v>
      </c>
      <c r="P70" s="2237" t="s">
        <v>1898</v>
      </c>
      <c r="Q70" s="2214">
        <f ca="1">C13</f>
        <v>208617</v>
      </c>
      <c r="R70" s="2214" t="s">
        <v>1831</v>
      </c>
    </row>
    <row r="71" spans="1:18" s="762" customFormat="1">
      <c r="A71" s="2226" t="s">
        <v>1811</v>
      </c>
      <c r="B71" s="2227" t="s">
        <v>1817</v>
      </c>
      <c r="C71" s="2071">
        <f ca="1">ROUND(C68/F71,0)</f>
        <v>-544</v>
      </c>
      <c r="D71" s="2228" t="s">
        <v>1818</v>
      </c>
      <c r="E71" s="2229" t="s">
        <v>1819</v>
      </c>
      <c r="F71" s="2074">
        <f ca="1">F43</f>
        <v>38.93</v>
      </c>
      <c r="O71" s="2182" t="s">
        <v>1899</v>
      </c>
      <c r="P71" s="2237" t="s">
        <v>1900</v>
      </c>
      <c r="Q71" s="2215">
        <f ca="1">C76</f>
        <v>7.0000000000000007E-2</v>
      </c>
      <c r="R71" s="2214"/>
    </row>
    <row r="72" spans="1:18" s="762" customFormat="1">
      <c r="B72" s="1036"/>
      <c r="C72" s="1036"/>
      <c r="O72" s="2182" t="s">
        <v>1851</v>
      </c>
      <c r="P72" s="2176" t="s">
        <v>1877</v>
      </c>
      <c r="Q72" s="2215">
        <f>L52</f>
        <v>0</v>
      </c>
      <c r="R72" s="2214"/>
    </row>
    <row r="73" spans="1:18" ht="15.75">
      <c r="A73" s="762"/>
      <c r="B73" s="1036"/>
      <c r="C73" s="1036"/>
      <c r="D73" s="762"/>
      <c r="E73" s="762"/>
      <c r="F73" s="762"/>
      <c r="O73" s="2182" t="s">
        <v>1855</v>
      </c>
      <c r="P73" s="2176" t="s">
        <v>1880</v>
      </c>
      <c r="Q73" s="2214" t="e">
        <f ca="1">L58</f>
        <v>#DIV/0!</v>
      </c>
      <c r="R73" s="2214" t="s">
        <v>1881</v>
      </c>
    </row>
    <row r="74" spans="1:18">
      <c r="A74" s="762"/>
      <c r="B74" s="456" t="s">
        <v>1901</v>
      </c>
      <c r="C74" s="2230"/>
      <c r="D74" s="762"/>
      <c r="E74" s="762"/>
      <c r="F74" s="762"/>
      <c r="O74" s="2182" t="s">
        <v>1902</v>
      </c>
      <c r="P74" s="2176" t="str">
        <f>K59</f>
        <v>建筑物剩余耐用年限下的土地年期修正系数Kn</v>
      </c>
      <c r="Q74" s="2214" t="e">
        <f ca="1">L59</f>
        <v>#DIV/0!</v>
      </c>
      <c r="R74" s="2214" t="s">
        <v>1882</v>
      </c>
    </row>
    <row r="75" spans="1:18">
      <c r="A75" s="762"/>
      <c r="B75" s="2231" t="s">
        <v>1903</v>
      </c>
      <c r="C75" s="2232">
        <f ca="1">ROUND(C13*C76,0)</f>
        <v>14603</v>
      </c>
      <c r="D75" s="762"/>
      <c r="E75" s="762"/>
      <c r="F75" s="762"/>
      <c r="K75" s="2162"/>
      <c r="L75" s="762"/>
      <c r="O75" s="2175" t="s">
        <v>1682</v>
      </c>
      <c r="P75" s="2176" t="s">
        <v>1861</v>
      </c>
      <c r="Q75" s="2214">
        <f ca="1">Q65+Q66</f>
        <v>471199</v>
      </c>
      <c r="R75" s="2214" t="s">
        <v>1862</v>
      </c>
    </row>
    <row r="76" spans="1:18">
      <c r="B76" s="546" t="s">
        <v>1904</v>
      </c>
      <c r="C76" s="2233">
        <f ca="1">INDIRECT("'数据-取费表'!j"&amp;$G$1)</f>
        <v>7.0000000000000007E-2</v>
      </c>
      <c r="I76" s="762"/>
      <c r="J76" s="762"/>
      <c r="K76" s="2162"/>
      <c r="L76" s="762"/>
    </row>
    <row r="77" spans="1:18">
      <c r="B77" s="2234" t="s">
        <v>1905</v>
      </c>
      <c r="C77" s="2235"/>
      <c r="I77" s="762"/>
      <c r="J77" s="762"/>
      <c r="K77" s="2162"/>
      <c r="L77" s="762"/>
    </row>
    <row r="78" spans="1:18">
      <c r="B78" s="454" t="s">
        <v>1906</v>
      </c>
      <c r="C78" s="2236"/>
    </row>
    <row r="79" spans="1:18">
      <c r="B79" s="2231" t="s">
        <v>1907</v>
      </c>
      <c r="C79" s="457">
        <f ca="1">1-C80</f>
        <v>0.41600000000000004</v>
      </c>
    </row>
    <row r="80" spans="1:18">
      <c r="B80" s="2231" t="s">
        <v>1908</v>
      </c>
      <c r="C80" s="457">
        <f ca="1">ROUND(C75/C39,3)</f>
        <v>0.58399999999999996</v>
      </c>
    </row>
    <row r="81" spans="2:3">
      <c r="B81" s="454" t="s">
        <v>1909</v>
      </c>
      <c r="C81" s="424"/>
    </row>
    <row r="82" spans="2:3">
      <c r="B82" s="456" t="s">
        <v>1658</v>
      </c>
      <c r="C82" s="458">
        <f ca="1">1-C83</f>
        <v>0.55699999999999994</v>
      </c>
    </row>
    <row r="83" spans="2:3">
      <c r="B83" s="456" t="s">
        <v>1659</v>
      </c>
      <c r="C83" s="457">
        <f ca="1">ROUND(C13/C40,3)</f>
        <v>0.443</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70" zoomScaleNormal="70" zoomScaleSheetLayoutView="70" workbookViewId="0">
      <selection activeCell="K15" sqref="K15"/>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5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thickBot="1">
      <c r="A1" s="1448" t="s">
        <v>2044</v>
      </c>
      <c r="B1" s="1655" t="s">
        <v>2136</v>
      </c>
      <c r="C1" s="1508" t="s">
        <v>2046</v>
      </c>
      <c r="D1" s="1451" t="s">
        <v>623</v>
      </c>
      <c r="E1" s="1656" t="s">
        <v>3344</v>
      </c>
      <c r="F1" s="1453" t="s">
        <v>665</v>
      </c>
      <c r="G1" s="1454" t="s">
        <v>2047</v>
      </c>
      <c r="H1" s="1455"/>
      <c r="I1" s="1455"/>
      <c r="J1" s="1455"/>
      <c r="K1" s="1506"/>
      <c r="L1" s="1507"/>
      <c r="M1" s="1508"/>
      <c r="N1" s="1508"/>
      <c r="O1" s="1508"/>
      <c r="P1" s="1660"/>
      <c r="Q1" s="1669"/>
      <c r="R1" s="1669"/>
      <c r="S1" s="1669"/>
      <c r="T1" s="1669"/>
      <c r="U1" s="1669"/>
      <c r="V1" s="1669"/>
      <c r="W1" s="1669"/>
      <c r="X1" s="1669"/>
      <c r="Y1" s="1669"/>
      <c r="Z1" s="1669"/>
      <c r="AA1" s="1669"/>
      <c r="AB1" s="1669"/>
      <c r="AC1" s="1670"/>
    </row>
    <row r="2" spans="1:29" s="1068" customFormat="1" ht="28.5" customHeight="1" thickTop="1">
      <c r="A2" s="1456" t="s">
        <v>1561</v>
      </c>
      <c r="B2" s="1457">
        <f>IF(E1="项目模式",IF(C2="——",ROUND(C49*D3/10000,0),ROUND(C49*D3/10000,0)-D2),IF(E1="单套模式",IF(C2="——",ROUND(C49*D3/10000,4),ROUND(C49*D3/10000,4)-D2)))</f>
        <v>0</v>
      </c>
      <c r="C2" s="1458" t="s">
        <v>124</v>
      </c>
      <c r="D2" s="1634" t="e">
        <f ca="1">IF(E1="项目模式",SUMIF(INDIRECT("'"&amp;F2&amp;"'"&amp;"!A:A"),"承租人权益价值",INDIRECT("'"&amp;F2&amp;"'"&amp;"!c:c")),SUMIF(INDIRECT("'"&amp;F2&amp;"'"&amp;"!A:A"),"承租人权益价值（单套）",INDIRECT("'"&amp;F2&amp;"'"&amp;"!c:c")))</f>
        <v>#REF!</v>
      </c>
      <c r="E2" s="1459" t="s">
        <v>1562</v>
      </c>
      <c r="F2" s="1460"/>
      <c r="G2" s="1084"/>
      <c r="H2" s="1084"/>
      <c r="I2" s="1084"/>
      <c r="J2" s="1084"/>
      <c r="K2" s="1084"/>
      <c r="L2" s="1233"/>
      <c r="M2" s="1234"/>
      <c r="N2" s="1234"/>
      <c r="O2" s="1234"/>
      <c r="P2" s="1661"/>
      <c r="Q2" s="1594"/>
      <c r="R2" s="1594"/>
      <c r="S2" s="1594"/>
      <c r="T2" s="1594"/>
      <c r="U2" s="1594"/>
      <c r="V2" s="1594"/>
      <c r="W2" s="1594"/>
      <c r="X2" s="1594"/>
      <c r="Y2" s="1594"/>
      <c r="Z2" s="1594"/>
      <c r="AA2" s="1594"/>
      <c r="AB2" s="1594"/>
      <c r="AC2" s="1671"/>
    </row>
    <row r="3" spans="1:29" s="1068" customFormat="1" ht="28.5" customHeight="1" thickBot="1">
      <c r="A3" s="381" t="s">
        <v>1563</v>
      </c>
      <c r="B3" s="1086">
        <f>IF(C2="——",C49,ROUND(B2*10000/D3,0))</f>
        <v>4.0999999999999996</v>
      </c>
      <c r="C3" s="1461" t="s">
        <v>2048</v>
      </c>
      <c r="D3" s="1462">
        <f>IF(D1="",'数据-汇总表'!E3,SUMIF('数据-汇总表'!$C19:$C33,D1,'数据-汇总表'!$E19:$E33))</f>
        <v>0</v>
      </c>
      <c r="E3" s="1635"/>
      <c r="F3" s="1085"/>
      <c r="G3" s="1084"/>
      <c r="H3" s="1084"/>
      <c r="I3" s="1084"/>
      <c r="J3" s="1084"/>
      <c r="K3" s="1232"/>
      <c r="L3" s="1233"/>
      <c r="M3" s="1234"/>
      <c r="N3" s="1234"/>
      <c r="O3" s="1234"/>
      <c r="P3" s="1661"/>
      <c r="Q3" s="1594"/>
      <c r="R3" s="1594"/>
      <c r="S3" s="1594"/>
      <c r="T3" s="1594"/>
      <c r="U3" s="1594"/>
      <c r="V3" s="1594"/>
      <c r="W3" s="1594"/>
      <c r="X3" s="1594"/>
      <c r="Y3" s="1594"/>
      <c r="Z3" s="1594"/>
      <c r="AA3" s="1594"/>
      <c r="AB3" s="1594"/>
      <c r="AC3" s="1635"/>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3569"/>
      <c r="Y4" s="3820" t="s">
        <v>2055</v>
      </c>
      <c r="Z4" s="3821"/>
      <c r="AA4" s="3810" t="s">
        <v>2051</v>
      </c>
      <c r="AB4" s="3813" t="s">
        <v>2052</v>
      </c>
      <c r="AC4" s="3810" t="s">
        <v>2053</v>
      </c>
    </row>
    <row r="5" spans="1:29" ht="15">
      <c r="A5" s="1090"/>
      <c r="B5" s="1091"/>
      <c r="C5" s="3852" t="s">
        <v>3345</v>
      </c>
      <c r="D5" s="3853"/>
      <c r="E5" s="3854" t="s">
        <v>3346</v>
      </c>
      <c r="F5" s="3855"/>
      <c r="G5" s="3852" t="s">
        <v>3385</v>
      </c>
      <c r="H5" s="3853"/>
      <c r="I5" s="3852" t="s">
        <v>3385</v>
      </c>
      <c r="J5" s="3853"/>
      <c r="K5" s="1235"/>
      <c r="L5" s="1236"/>
      <c r="M5" s="1237"/>
      <c r="N5" s="1237"/>
      <c r="O5" s="1237"/>
      <c r="P5" s="3816"/>
      <c r="Q5" s="3817"/>
      <c r="R5" s="3822"/>
      <c r="S5" s="3823"/>
      <c r="T5" s="3822"/>
      <c r="U5" s="3823"/>
      <c r="V5" s="3813"/>
      <c r="W5" s="3813"/>
      <c r="X5" s="3569"/>
      <c r="Y5" s="3822"/>
      <c r="Z5" s="3823"/>
      <c r="AA5" s="3811"/>
      <c r="AB5" s="3813"/>
      <c r="AC5" s="3811"/>
    </row>
    <row r="6" spans="1:29" ht="15.75" thickBot="1">
      <c r="A6" s="1092"/>
      <c r="B6" s="1093"/>
      <c r="C6" s="3843" t="s">
        <v>2060</v>
      </c>
      <c r="D6" s="3844"/>
      <c r="E6" s="3845" t="s">
        <v>2060</v>
      </c>
      <c r="F6" s="3846"/>
      <c r="G6" s="3843" t="s">
        <v>2060</v>
      </c>
      <c r="H6" s="3844"/>
      <c r="I6" s="3843" t="s">
        <v>2060</v>
      </c>
      <c r="J6" s="3844"/>
      <c r="K6" s="1235" t="s">
        <v>2061</v>
      </c>
      <c r="L6" s="1236"/>
      <c r="M6" s="1237"/>
      <c r="N6" s="1237"/>
      <c r="O6" s="1237"/>
      <c r="P6" s="3818"/>
      <c r="Q6" s="3819"/>
      <c r="R6" s="3822"/>
      <c r="S6" s="3823"/>
      <c r="T6" s="3824"/>
      <c r="U6" s="3825"/>
      <c r="V6" s="3813"/>
      <c r="W6" s="3813"/>
      <c r="X6" s="3569"/>
      <c r="Y6" s="3824"/>
      <c r="Z6" s="3825"/>
      <c r="AA6" s="3812"/>
      <c r="AB6" s="3813"/>
      <c r="AC6" s="3812"/>
    </row>
    <row r="7" spans="1:29" s="1069" customFormat="1" ht="15.75" thickBot="1">
      <c r="A7" s="1094" t="s">
        <v>2062</v>
      </c>
      <c r="B7" s="1095"/>
      <c r="C7" s="1096">
        <f>'数据-取费表'!B2</f>
        <v>45300</v>
      </c>
      <c r="D7" s="1097">
        <v>100</v>
      </c>
      <c r="E7" s="1098">
        <v>45292</v>
      </c>
      <c r="F7" s="1099">
        <f>SUMIF(58:58,YEAR(E7)&amp;"-"&amp;MONTH(E7),59:59)</f>
        <v>100</v>
      </c>
      <c r="G7" s="1098">
        <v>45292</v>
      </c>
      <c r="H7" s="1097">
        <f>SUMIF(58:58,YEAR(G7)&amp;"-"&amp;MONTH(G7),59:59)</f>
        <v>100</v>
      </c>
      <c r="I7" s="1098">
        <v>45292</v>
      </c>
      <c r="J7" s="1097">
        <f>SUMIF(58:58,YEAR(I7)&amp;"-"&amp;MONTH(I7),59:59)</f>
        <v>100</v>
      </c>
      <c r="K7" s="1238"/>
      <c r="L7" s="1239"/>
      <c r="M7" s="1240"/>
      <c r="N7" s="1240"/>
      <c r="O7" s="1240"/>
      <c r="P7" s="3831" t="s">
        <v>2063</v>
      </c>
      <c r="Q7" s="3847"/>
      <c r="R7" s="1280" t="s">
        <v>2064</v>
      </c>
      <c r="S7" s="1281">
        <f t="shared" ref="S7:S15" si="0">F7</f>
        <v>100</v>
      </c>
      <c r="T7" s="1280" t="s">
        <v>2064</v>
      </c>
      <c r="U7" s="1281">
        <f t="shared" ref="U7:U15" si="1">H7</f>
        <v>100</v>
      </c>
      <c r="V7" s="1280" t="s">
        <v>2064</v>
      </c>
      <c r="W7" s="1281">
        <f t="shared" ref="W7:W15" si="2">J7</f>
        <v>100</v>
      </c>
      <c r="X7" s="1282"/>
      <c r="Y7" s="3831" t="s">
        <v>2063</v>
      </c>
      <c r="Z7" s="3832"/>
      <c r="AA7" s="1294">
        <f>D7/F7</f>
        <v>1</v>
      </c>
      <c r="AB7" s="1294">
        <f>D7/H7</f>
        <v>1</v>
      </c>
      <c r="AC7" s="1294">
        <f>D7/J7</f>
        <v>1</v>
      </c>
    </row>
    <row r="8" spans="1:29" s="1069" customFormat="1" ht="15.75" thickBot="1">
      <c r="A8" s="1094" t="s">
        <v>2065</v>
      </c>
      <c r="B8" s="1095"/>
      <c r="C8" s="1101" t="s">
        <v>1448</v>
      </c>
      <c r="D8" s="1097">
        <v>100</v>
      </c>
      <c r="E8" s="1101" t="s">
        <v>2157</v>
      </c>
      <c r="F8" s="1099">
        <f>SUMIF(61:61,E8,62:62)-SUMIF(61:61,C8,62:62)+100</f>
        <v>103</v>
      </c>
      <c r="G8" s="1101" t="s">
        <v>2157</v>
      </c>
      <c r="H8" s="1097">
        <f>SUMIF(61:61,G8,62:62)-SUMIF(61:61,C8,62:62)+100</f>
        <v>103</v>
      </c>
      <c r="I8" s="1101" t="s">
        <v>2157</v>
      </c>
      <c r="J8" s="1097">
        <f>SUMIF(61:61,I8,62:62)-SUMIF(61:61,C8,62:62)+100</f>
        <v>103</v>
      </c>
      <c r="K8" s="1238"/>
      <c r="L8" s="1239"/>
      <c r="M8" s="1240"/>
      <c r="N8" s="1240"/>
      <c r="O8" s="1240"/>
      <c r="P8" s="3831" t="s">
        <v>2066</v>
      </c>
      <c r="Q8" s="3832"/>
      <c r="R8" s="1280" t="s">
        <v>2064</v>
      </c>
      <c r="S8" s="1281">
        <f t="shared" si="0"/>
        <v>103</v>
      </c>
      <c r="T8" s="1280" t="s">
        <v>2064</v>
      </c>
      <c r="U8" s="1281">
        <f t="shared" si="1"/>
        <v>103</v>
      </c>
      <c r="V8" s="1280" t="s">
        <v>2064</v>
      </c>
      <c r="W8" s="1281">
        <f t="shared" si="2"/>
        <v>103</v>
      </c>
      <c r="X8" s="1282"/>
      <c r="Y8" s="3831" t="s">
        <v>2066</v>
      </c>
      <c r="Z8" s="3832"/>
      <c r="AA8" s="1294">
        <f t="shared" ref="AA8:AA46" si="3">D8/F8</f>
        <v>0.970873786407767</v>
      </c>
      <c r="AB8" s="1294">
        <f t="shared" ref="AB8:AB46" si="4">D8/H8</f>
        <v>0.970873786407767</v>
      </c>
      <c r="AC8" s="1294">
        <f t="shared" ref="AC8:AC46" si="5">D8/J8</f>
        <v>0.970873786407767</v>
      </c>
    </row>
    <row r="9" spans="1:29" s="1069" customFormat="1">
      <c r="A9" s="1102" t="s">
        <v>2067</v>
      </c>
      <c r="B9" s="1103" t="s">
        <v>2068</v>
      </c>
      <c r="C9" s="1585" t="s">
        <v>3366</v>
      </c>
      <c r="D9" s="1105">
        <v>100</v>
      </c>
      <c r="E9" s="1532" t="s">
        <v>919</v>
      </c>
      <c r="F9" s="1465">
        <f>SUMIF(63:63,E9,64:64)-SUMIF(63:63,C9,64:64)+100</f>
        <v>100</v>
      </c>
      <c r="G9" s="1532" t="s">
        <v>919</v>
      </c>
      <c r="H9" s="1105">
        <f>SUMIF(63:63,G9,64:64)-SUMIF(63:63,C9,64:64)+100</f>
        <v>100</v>
      </c>
      <c r="I9" s="1532" t="s">
        <v>919</v>
      </c>
      <c r="J9" s="1105">
        <f>SUMIF(63:63,I9,64:64)-SUMIF(63:63,C9,64:64)+100</f>
        <v>100</v>
      </c>
      <c r="K9" s="1238"/>
      <c r="L9" s="1239"/>
      <c r="M9" s="1240"/>
      <c r="N9" s="1240"/>
      <c r="O9" s="1240"/>
      <c r="P9" s="3833" t="s">
        <v>2069</v>
      </c>
      <c r="Q9" s="3565" t="str">
        <f t="shared" ref="Q9:Q15" si="6">B9</f>
        <v>用途</v>
      </c>
      <c r="R9" s="1280" t="s">
        <v>2064</v>
      </c>
      <c r="S9" s="1281">
        <f t="shared" si="0"/>
        <v>100</v>
      </c>
      <c r="T9" s="1280" t="s">
        <v>2064</v>
      </c>
      <c r="U9" s="1281">
        <f t="shared" si="1"/>
        <v>100</v>
      </c>
      <c r="V9" s="1280" t="s">
        <v>2064</v>
      </c>
      <c r="W9" s="1281">
        <f t="shared" si="2"/>
        <v>100</v>
      </c>
      <c r="X9" s="1282"/>
      <c r="Y9" s="3690" t="s">
        <v>2070</v>
      </c>
      <c r="Z9" s="3548" t="str">
        <f t="shared" ref="Z9:Z15" si="7">Q9</f>
        <v>用途</v>
      </c>
      <c r="AA9" s="1294">
        <f t="shared" si="3"/>
        <v>1</v>
      </c>
      <c r="AB9" s="1294">
        <f t="shared" si="4"/>
        <v>1</v>
      </c>
      <c r="AC9" s="1294">
        <f t="shared" si="5"/>
        <v>1</v>
      </c>
    </row>
    <row r="10" spans="1:29" s="1070" customFormat="1" ht="27.75" thickBot="1">
      <c r="A10" s="1106"/>
      <c r="B10" s="1107" t="s">
        <v>2071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833"/>
      <c r="Q10" s="3565" t="str">
        <f t="shared" si="6"/>
        <v>土地使用年限（年）</v>
      </c>
      <c r="R10" s="1280" t="s">
        <v>2064</v>
      </c>
      <c r="S10" s="1281">
        <f t="shared" si="0"/>
        <v>100</v>
      </c>
      <c r="T10" s="1280" t="s">
        <v>2064</v>
      </c>
      <c r="U10" s="1281">
        <f t="shared" si="1"/>
        <v>100</v>
      </c>
      <c r="V10" s="1280" t="s">
        <v>2064</v>
      </c>
      <c r="W10" s="1281">
        <f t="shared" si="2"/>
        <v>100</v>
      </c>
      <c r="X10" s="1282"/>
      <c r="Y10" s="3690"/>
      <c r="Z10" s="3548" t="str">
        <f t="shared" si="7"/>
        <v>土地使用年限（年）</v>
      </c>
      <c r="AA10" s="1294">
        <f t="shared" si="3"/>
        <v>1</v>
      </c>
      <c r="AB10" s="1294">
        <f t="shared" si="4"/>
        <v>1</v>
      </c>
      <c r="AC10" s="1294">
        <f t="shared" si="5"/>
        <v>1</v>
      </c>
    </row>
    <row r="11" spans="1:29" ht="15.75" hidden="1" thickBot="1">
      <c r="A11" s="1110"/>
      <c r="B11" s="1107" t="s">
        <v>2072</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833"/>
      <c r="Q11" s="3565" t="str">
        <f t="shared" si="6"/>
        <v>容积率</v>
      </c>
      <c r="R11" s="1280" t="s">
        <v>2064</v>
      </c>
      <c r="S11" s="1281">
        <f t="shared" si="0"/>
        <v>100</v>
      </c>
      <c r="T11" s="1280" t="s">
        <v>2064</v>
      </c>
      <c r="U11" s="1281">
        <f t="shared" si="1"/>
        <v>100</v>
      </c>
      <c r="V11" s="1280" t="s">
        <v>2064</v>
      </c>
      <c r="W11" s="1281">
        <f t="shared" si="2"/>
        <v>100</v>
      </c>
      <c r="X11" s="1282"/>
      <c r="Y11" s="3690"/>
      <c r="Z11" s="3548" t="str">
        <f t="shared" si="7"/>
        <v>容积率</v>
      </c>
      <c r="AA11" s="1294">
        <f t="shared" si="3"/>
        <v>1</v>
      </c>
      <c r="AB11" s="1294">
        <f t="shared" si="4"/>
        <v>1</v>
      </c>
      <c r="AC11" s="1294">
        <f t="shared" si="5"/>
        <v>1</v>
      </c>
    </row>
    <row r="12" spans="1:29" s="1069" customFormat="1" ht="15.75" hidden="1" thickBot="1">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833"/>
      <c r="Q12" s="3565">
        <f t="shared" si="6"/>
        <v>111</v>
      </c>
      <c r="R12" s="1280" t="s">
        <v>2064</v>
      </c>
      <c r="S12" s="1281">
        <f t="shared" si="0"/>
        <v>100</v>
      </c>
      <c r="T12" s="1280" t="s">
        <v>2064</v>
      </c>
      <c r="U12" s="1281">
        <f t="shared" si="1"/>
        <v>100</v>
      </c>
      <c r="V12" s="1280" t="s">
        <v>2064</v>
      </c>
      <c r="W12" s="1281">
        <f t="shared" si="2"/>
        <v>100</v>
      </c>
      <c r="X12" s="1282"/>
      <c r="Y12" s="3690"/>
      <c r="Z12" s="3548">
        <f t="shared" si="7"/>
        <v>111</v>
      </c>
      <c r="AA12" s="1294">
        <f t="shared" si="3"/>
        <v>1</v>
      </c>
      <c r="AB12" s="1294">
        <f t="shared" si="4"/>
        <v>1</v>
      </c>
      <c r="AC12" s="1294">
        <f t="shared" si="5"/>
        <v>1</v>
      </c>
    </row>
    <row r="13" spans="1:29" ht="15.75" hidden="1" thickBot="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833"/>
      <c r="Q13" s="3565">
        <f t="shared" si="6"/>
        <v>111</v>
      </c>
      <c r="R13" s="1280" t="s">
        <v>2064</v>
      </c>
      <c r="S13" s="1281">
        <f t="shared" si="0"/>
        <v>100</v>
      </c>
      <c r="T13" s="1280" t="s">
        <v>2064</v>
      </c>
      <c r="U13" s="1281">
        <f t="shared" si="1"/>
        <v>100</v>
      </c>
      <c r="V13" s="1280" t="s">
        <v>2064</v>
      </c>
      <c r="W13" s="1281">
        <f t="shared" si="2"/>
        <v>100</v>
      </c>
      <c r="X13" s="1282"/>
      <c r="Y13" s="3690"/>
      <c r="Z13" s="3548">
        <f t="shared" si="7"/>
        <v>111</v>
      </c>
      <c r="AA13" s="1294">
        <f t="shared" si="3"/>
        <v>1</v>
      </c>
      <c r="AB13" s="1294">
        <f t="shared" si="4"/>
        <v>1</v>
      </c>
      <c r="AC13" s="1294">
        <f t="shared" si="5"/>
        <v>1</v>
      </c>
    </row>
    <row r="14" spans="1:29" ht="15.75" hidden="1" thickBot="1">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833"/>
      <c r="Q14" s="3565">
        <f t="shared" si="6"/>
        <v>111</v>
      </c>
      <c r="R14" s="1280" t="s">
        <v>2064</v>
      </c>
      <c r="S14" s="1281">
        <f t="shared" si="0"/>
        <v>100</v>
      </c>
      <c r="T14" s="1280" t="s">
        <v>2064</v>
      </c>
      <c r="U14" s="1281">
        <f t="shared" si="1"/>
        <v>100</v>
      </c>
      <c r="V14" s="1280" t="s">
        <v>2064</v>
      </c>
      <c r="W14" s="1281">
        <f t="shared" si="2"/>
        <v>100</v>
      </c>
      <c r="X14" s="1282"/>
      <c r="Y14" s="3690"/>
      <c r="Z14" s="3548">
        <f t="shared" si="7"/>
        <v>111</v>
      </c>
      <c r="AA14" s="1294">
        <f t="shared" si="3"/>
        <v>1</v>
      </c>
      <c r="AB14" s="1294">
        <f t="shared" si="4"/>
        <v>1</v>
      </c>
      <c r="AC14" s="1294">
        <f t="shared" si="5"/>
        <v>1</v>
      </c>
    </row>
    <row r="15" spans="1:29" ht="71.25">
      <c r="A15" s="1124" t="s">
        <v>2073</v>
      </c>
      <c r="B15" s="1417" t="s">
        <v>2137</v>
      </c>
      <c r="C15" s="1418" t="str">
        <f>估价对象房地状况!C4</f>
        <v>估价对象位于XX商圈，周边商业氛围成熟，人流量大，商业繁华度好</v>
      </c>
      <c r="D15" s="1127">
        <v>100</v>
      </c>
      <c r="E15" s="1128"/>
      <c r="F15" s="1470">
        <f>SUMIF(76:76,E16,77:77)-SUMIF(76:76,C16,77:77)+100</f>
        <v>104</v>
      </c>
      <c r="G15" s="1250"/>
      <c r="H15" s="1127">
        <f>SUMIF(76:76,G16,77:77)-SUMIF(76:76,C16,77:77)+100</f>
        <v>104</v>
      </c>
      <c r="I15" s="1128"/>
      <c r="J15" s="1127">
        <f>SUMIF(76:76,I16,77:77)-SUMIF(76:76,C16,77:77)+100</f>
        <v>104</v>
      </c>
      <c r="K15" s="1509">
        <v>4</v>
      </c>
      <c r="L15" s="1249"/>
      <c r="M15" s="1237"/>
      <c r="N15" s="1237"/>
      <c r="O15" s="1237"/>
      <c r="P15" s="3834" t="s">
        <v>2075</v>
      </c>
      <c r="Q15" s="3566" t="str">
        <f t="shared" si="6"/>
        <v>商业繁华度</v>
      </c>
      <c r="R15" s="1285" t="s">
        <v>2064</v>
      </c>
      <c r="S15" s="1286">
        <f t="shared" si="0"/>
        <v>104</v>
      </c>
      <c r="T15" s="1285" t="s">
        <v>2064</v>
      </c>
      <c r="U15" s="1286">
        <f t="shared" si="1"/>
        <v>104</v>
      </c>
      <c r="V15" s="1285" t="s">
        <v>2064</v>
      </c>
      <c r="W15" s="1286">
        <f t="shared" si="2"/>
        <v>104</v>
      </c>
      <c r="X15" s="3569"/>
      <c r="Y15" s="3839" t="s">
        <v>2075</v>
      </c>
      <c r="Z15" s="3570" t="str">
        <f t="shared" si="7"/>
        <v>商业繁华度</v>
      </c>
      <c r="AA15" s="3567">
        <f t="shared" si="3"/>
        <v>0.96153846153846156</v>
      </c>
      <c r="AB15" s="3567">
        <f t="shared" si="4"/>
        <v>0.96153846153846156</v>
      </c>
      <c r="AC15" s="3567">
        <f t="shared" si="5"/>
        <v>0.96153846153846156</v>
      </c>
    </row>
    <row r="16" spans="1:29" ht="15">
      <c r="A16" s="1110"/>
      <c r="B16" s="1419"/>
      <c r="C16" s="1130" t="s">
        <v>2443</v>
      </c>
      <c r="D16" s="1131"/>
      <c r="E16" s="1130" t="s">
        <v>2160</v>
      </c>
      <c r="F16" s="1471"/>
      <c r="G16" s="1130" t="s">
        <v>2160</v>
      </c>
      <c r="H16" s="1133"/>
      <c r="I16" s="1130" t="s">
        <v>2160</v>
      </c>
      <c r="J16" s="1131"/>
      <c r="K16" s="1510"/>
      <c r="L16" s="1249"/>
      <c r="M16" s="1237"/>
      <c r="N16" s="1237"/>
      <c r="O16" s="1237"/>
      <c r="P16" s="3835"/>
      <c r="Q16" s="3566"/>
      <c r="R16" s="1285"/>
      <c r="S16" s="1286"/>
      <c r="T16" s="1285"/>
      <c r="U16" s="1286"/>
      <c r="V16" s="1285"/>
      <c r="W16" s="1286"/>
      <c r="X16" s="3569"/>
      <c r="Y16" s="3840"/>
      <c r="Z16" s="3570"/>
      <c r="AA16" s="3567">
        <v>1</v>
      </c>
      <c r="AB16" s="3567">
        <v>1</v>
      </c>
      <c r="AC16" s="3567">
        <v>1</v>
      </c>
    </row>
    <row r="17" spans="1:29" ht="85.5">
      <c r="A17" s="1110"/>
      <c r="B17" s="1420" t="s">
        <v>2076</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835"/>
      <c r="Q17" s="3566" t="str">
        <f>B17</f>
        <v>交通便捷度</v>
      </c>
      <c r="R17" s="1285" t="s">
        <v>2064</v>
      </c>
      <c r="S17" s="1286">
        <f>F17</f>
        <v>100</v>
      </c>
      <c r="T17" s="1285" t="s">
        <v>2064</v>
      </c>
      <c r="U17" s="1286">
        <f>H17</f>
        <v>100</v>
      </c>
      <c r="V17" s="1285" t="s">
        <v>2064</v>
      </c>
      <c r="W17" s="1286">
        <f>J17</f>
        <v>100</v>
      </c>
      <c r="X17" s="3569"/>
      <c r="Y17" s="3840"/>
      <c r="Z17" s="3570" t="str">
        <f>Q17</f>
        <v>交通便捷度</v>
      </c>
      <c r="AA17" s="3567">
        <f t="shared" si="3"/>
        <v>1</v>
      </c>
      <c r="AB17" s="3567">
        <f t="shared" si="4"/>
        <v>1</v>
      </c>
      <c r="AC17" s="3567">
        <f t="shared" si="5"/>
        <v>1</v>
      </c>
    </row>
    <row r="18" spans="1:29" ht="15">
      <c r="A18" s="1110"/>
      <c r="B18" s="1158"/>
      <c r="C18" s="1421" t="s">
        <v>2160</v>
      </c>
      <c r="D18" s="1133"/>
      <c r="E18" s="1421" t="s">
        <v>2160</v>
      </c>
      <c r="F18" s="1473"/>
      <c r="G18" s="1421" t="s">
        <v>2160</v>
      </c>
      <c r="H18" s="1131"/>
      <c r="I18" s="1421" t="s">
        <v>2160</v>
      </c>
      <c r="J18" s="1131"/>
      <c r="K18" s="1510"/>
      <c r="L18" s="1249"/>
      <c r="M18" s="1237"/>
      <c r="N18" s="1237"/>
      <c r="O18" s="1237"/>
      <c r="P18" s="3835"/>
      <c r="Q18" s="3566"/>
      <c r="R18" s="1285"/>
      <c r="S18" s="1286"/>
      <c r="T18" s="1285"/>
      <c r="U18" s="1286"/>
      <c r="V18" s="1285"/>
      <c r="W18" s="1286"/>
      <c r="X18" s="3569"/>
      <c r="Y18" s="3840"/>
      <c r="Z18" s="3570"/>
      <c r="AA18" s="3567">
        <v>1</v>
      </c>
      <c r="AB18" s="3567">
        <v>1</v>
      </c>
      <c r="AC18" s="3567">
        <v>1</v>
      </c>
    </row>
    <row r="19" spans="1:29" ht="42.75">
      <c r="A19" s="1110"/>
      <c r="B19" s="1420" t="s">
        <v>2077</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835"/>
      <c r="Q19" s="3566" t="str">
        <f>B19</f>
        <v>公共配套设施</v>
      </c>
      <c r="R19" s="1285" t="s">
        <v>2064</v>
      </c>
      <c r="S19" s="1286">
        <f>F19</f>
        <v>100</v>
      </c>
      <c r="T19" s="1285" t="s">
        <v>2064</v>
      </c>
      <c r="U19" s="1286">
        <f>H19</f>
        <v>100</v>
      </c>
      <c r="V19" s="1285" t="s">
        <v>2064</v>
      </c>
      <c r="W19" s="1286">
        <f>J19</f>
        <v>100</v>
      </c>
      <c r="X19" s="3569"/>
      <c r="Y19" s="3840"/>
      <c r="Z19" s="3570" t="str">
        <f>Q19</f>
        <v>公共配套设施</v>
      </c>
      <c r="AA19" s="3567">
        <f t="shared" si="3"/>
        <v>1</v>
      </c>
      <c r="AB19" s="3567">
        <f t="shared" si="4"/>
        <v>1</v>
      </c>
      <c r="AC19" s="3567">
        <f t="shared" si="5"/>
        <v>1</v>
      </c>
    </row>
    <row r="20" spans="1:29" ht="15">
      <c r="A20" s="1110"/>
      <c r="B20" s="1158"/>
      <c r="C20" s="1130" t="s">
        <v>2160</v>
      </c>
      <c r="D20" s="1131"/>
      <c r="E20" s="1130" t="s">
        <v>2160</v>
      </c>
      <c r="F20" s="1471"/>
      <c r="G20" s="1130" t="s">
        <v>2160</v>
      </c>
      <c r="H20" s="1131"/>
      <c r="I20" s="1130" t="s">
        <v>2160</v>
      </c>
      <c r="J20" s="1131"/>
      <c r="K20" s="1510"/>
      <c r="L20" s="1249"/>
      <c r="M20" s="1237"/>
      <c r="N20" s="1237"/>
      <c r="O20" s="1237"/>
      <c r="P20" s="3835"/>
      <c r="Q20" s="3566"/>
      <c r="R20" s="1285"/>
      <c r="S20" s="1286"/>
      <c r="T20" s="1285"/>
      <c r="U20" s="1286"/>
      <c r="V20" s="1285"/>
      <c r="W20" s="1286"/>
      <c r="X20" s="3569"/>
      <c r="Y20" s="3840"/>
      <c r="Z20" s="3570"/>
      <c r="AA20" s="3567">
        <v>1</v>
      </c>
      <c r="AB20" s="3567">
        <v>1</v>
      </c>
      <c r="AC20" s="3567">
        <v>1</v>
      </c>
    </row>
    <row r="21" spans="1:29" ht="28.5">
      <c r="A21" s="1110"/>
      <c r="B21" s="1424" t="s">
        <v>2078</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835"/>
      <c r="Q21" s="3566" t="str">
        <f>B21</f>
        <v>基础设施水平</v>
      </c>
      <c r="R21" s="1285" t="s">
        <v>2064</v>
      </c>
      <c r="S21" s="1286">
        <f>F21</f>
        <v>100</v>
      </c>
      <c r="T21" s="1285" t="s">
        <v>2064</v>
      </c>
      <c r="U21" s="1286">
        <f>H21</f>
        <v>100</v>
      </c>
      <c r="V21" s="1285" t="s">
        <v>2064</v>
      </c>
      <c r="W21" s="1286">
        <f>J21</f>
        <v>100</v>
      </c>
      <c r="X21" s="3569"/>
      <c r="Y21" s="3840"/>
      <c r="Z21" s="3570" t="str">
        <f>Q21</f>
        <v>基础设施水平</v>
      </c>
      <c r="AA21" s="3567">
        <f t="shared" ref="AA21" si="8">D21/F21</f>
        <v>1</v>
      </c>
      <c r="AB21" s="3567">
        <f t="shared" ref="AB21" si="9">D21/H21</f>
        <v>1</v>
      </c>
      <c r="AC21" s="3567">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835"/>
      <c r="Q22" s="3566"/>
      <c r="R22" s="1285"/>
      <c r="S22" s="1286"/>
      <c r="T22" s="1285"/>
      <c r="U22" s="1286"/>
      <c r="V22" s="1285"/>
      <c r="W22" s="1286"/>
      <c r="X22" s="3569"/>
      <c r="Y22" s="3840"/>
      <c r="Z22" s="3570"/>
      <c r="AA22" s="3567">
        <v>1</v>
      </c>
      <c r="AB22" s="3567">
        <v>1</v>
      </c>
      <c r="AC22" s="3567">
        <v>1</v>
      </c>
    </row>
    <row r="23" spans="1:29" ht="57">
      <c r="A23" s="1110"/>
      <c r="B23" s="1420" t="s">
        <v>2079</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835"/>
      <c r="Q23" s="3566" t="str">
        <f>B23</f>
        <v>自然及人文环境</v>
      </c>
      <c r="R23" s="1285" t="s">
        <v>2064</v>
      </c>
      <c r="S23" s="1286">
        <f>F23</f>
        <v>100</v>
      </c>
      <c r="T23" s="1285" t="s">
        <v>2064</v>
      </c>
      <c r="U23" s="1286">
        <f>H23</f>
        <v>100</v>
      </c>
      <c r="V23" s="1285" t="s">
        <v>2064</v>
      </c>
      <c r="W23" s="1286">
        <f>J23</f>
        <v>100</v>
      </c>
      <c r="X23" s="3569"/>
      <c r="Y23" s="3840"/>
      <c r="Z23" s="3570" t="str">
        <f>Q23</f>
        <v>自然及人文环境</v>
      </c>
      <c r="AA23" s="3567">
        <f t="shared" si="3"/>
        <v>1</v>
      </c>
      <c r="AB23" s="3567">
        <f t="shared" si="4"/>
        <v>1</v>
      </c>
      <c r="AC23" s="3567">
        <f t="shared" si="5"/>
        <v>1</v>
      </c>
    </row>
    <row r="24" spans="1:29" ht="15">
      <c r="A24" s="1110"/>
      <c r="B24" s="1158"/>
      <c r="C24" s="1130" t="s">
        <v>2160</v>
      </c>
      <c r="D24" s="1131"/>
      <c r="E24" s="1130" t="s">
        <v>2160</v>
      </c>
      <c r="F24" s="1471"/>
      <c r="G24" s="1130" t="s">
        <v>2160</v>
      </c>
      <c r="H24" s="1131"/>
      <c r="I24" s="1130" t="s">
        <v>2160</v>
      </c>
      <c r="J24" s="1131"/>
      <c r="K24" s="1510"/>
      <c r="L24" s="1249"/>
      <c r="M24" s="1237"/>
      <c r="N24" s="1237"/>
      <c r="O24" s="1237"/>
      <c r="P24" s="3835"/>
      <c r="Q24" s="3566"/>
      <c r="R24" s="1285"/>
      <c r="S24" s="1286"/>
      <c r="T24" s="1285"/>
      <c r="U24" s="1286"/>
      <c r="V24" s="1285"/>
      <c r="W24" s="1286"/>
      <c r="X24" s="3569"/>
      <c r="Y24" s="3840"/>
      <c r="Z24" s="3570"/>
      <c r="AA24" s="3567">
        <v>1</v>
      </c>
      <c r="AB24" s="3567">
        <v>1</v>
      </c>
      <c r="AC24" s="3567">
        <v>1</v>
      </c>
    </row>
    <row r="25" spans="1:29" ht="15">
      <c r="A25" s="1110"/>
      <c r="B25" s="1107" t="s">
        <v>2138</v>
      </c>
      <c r="C25" s="1144" t="s">
        <v>3367</v>
      </c>
      <c r="D25" s="1119">
        <v>100</v>
      </c>
      <c r="E25" s="1144" t="s">
        <v>3367</v>
      </c>
      <c r="F25" s="1474">
        <f>SUMIF(86:86,E25,87:87)-SUMIF(86:86,C25,87:87)+100</f>
        <v>100</v>
      </c>
      <c r="G25" s="1144" t="s">
        <v>3367</v>
      </c>
      <c r="H25" s="1119">
        <f>SUMIF(86:86,G25,87:87)-SUMIF(86:86,C25,87:87)+100</f>
        <v>100</v>
      </c>
      <c r="I25" s="1144" t="s">
        <v>3367</v>
      </c>
      <c r="J25" s="1119">
        <f>SUMIF(86:86,I25,87:87)-SUMIF(86:86,C25,87:87)+100</f>
        <v>100</v>
      </c>
      <c r="K25" s="1255">
        <v>5</v>
      </c>
      <c r="L25" s="1249"/>
      <c r="M25" s="1237"/>
      <c r="N25" s="1237"/>
      <c r="O25" s="1237"/>
      <c r="P25" s="3835"/>
      <c r="Q25" s="3566" t="str">
        <f t="shared" ref="Q25:Q46" si="11">B25</f>
        <v>临街状况</v>
      </c>
      <c r="R25" s="1285" t="s">
        <v>2064</v>
      </c>
      <c r="S25" s="1286">
        <f>F25</f>
        <v>100</v>
      </c>
      <c r="T25" s="1285" t="s">
        <v>2064</v>
      </c>
      <c r="U25" s="1286">
        <f>H25</f>
        <v>100</v>
      </c>
      <c r="V25" s="1285" t="s">
        <v>2064</v>
      </c>
      <c r="W25" s="1286">
        <f>J25</f>
        <v>100</v>
      </c>
      <c r="X25" s="3569"/>
      <c r="Y25" s="3840"/>
      <c r="Z25" s="3570" t="str">
        <f>Q25</f>
        <v>临街状况</v>
      </c>
      <c r="AA25" s="3567">
        <f t="shared" si="3"/>
        <v>1</v>
      </c>
      <c r="AB25" s="3567">
        <f t="shared" si="4"/>
        <v>1</v>
      </c>
      <c r="AC25" s="3567">
        <f t="shared" si="5"/>
        <v>1</v>
      </c>
    </row>
    <row r="26" spans="1:29" ht="15">
      <c r="A26" s="1110"/>
      <c r="B26" s="1425" t="s">
        <v>2139</v>
      </c>
      <c r="C26" s="1588" t="s">
        <v>3368</v>
      </c>
      <c r="D26" s="1119">
        <v>100</v>
      </c>
      <c r="E26" s="1588" t="s">
        <v>3368</v>
      </c>
      <c r="F26" s="1474">
        <f>SUMIF(88:88,E26,89:89)-SUMIF(88:88,C26,89:89)+100</f>
        <v>100</v>
      </c>
      <c r="G26" s="1588" t="s">
        <v>3368</v>
      </c>
      <c r="H26" s="1119">
        <f>SUMIF(88:88,G26,89:89)-SUMIF(88:88,C26,89:89)+100</f>
        <v>100</v>
      </c>
      <c r="I26" s="1588" t="s">
        <v>3368</v>
      </c>
      <c r="J26" s="1119">
        <f>SUMIF(88:88,I26,89:89)-SUMIF(88:88,C26,89:89)+100</f>
        <v>100</v>
      </c>
      <c r="K26" s="1254"/>
      <c r="L26" s="1249"/>
      <c r="M26" s="1237"/>
      <c r="N26" s="1237"/>
      <c r="O26" s="1237"/>
      <c r="P26" s="3835"/>
      <c r="Q26" s="3566" t="str">
        <f t="shared" si="11"/>
        <v>平面位置/可视性</v>
      </c>
      <c r="R26" s="1285" t="s">
        <v>2064</v>
      </c>
      <c r="S26" s="1286">
        <f>F26</f>
        <v>100</v>
      </c>
      <c r="T26" s="1285" t="s">
        <v>2064</v>
      </c>
      <c r="U26" s="1286">
        <f>H26</f>
        <v>100</v>
      </c>
      <c r="V26" s="1285" t="s">
        <v>2064</v>
      </c>
      <c r="W26" s="1286">
        <f>J26</f>
        <v>100</v>
      </c>
      <c r="X26" s="3569"/>
      <c r="Y26" s="3840"/>
      <c r="Z26" s="3570" t="str">
        <f>Q26</f>
        <v>平面位置/可视性</v>
      </c>
      <c r="AA26" s="3567">
        <f t="shared" si="3"/>
        <v>1</v>
      </c>
      <c r="AB26" s="3567">
        <f t="shared" si="4"/>
        <v>1</v>
      </c>
      <c r="AC26" s="3567">
        <f t="shared" si="5"/>
        <v>1</v>
      </c>
    </row>
    <row r="27" spans="1:29" s="1069" customFormat="1" ht="15">
      <c r="A27" s="1113"/>
      <c r="B27" s="1420" t="s">
        <v>2140</v>
      </c>
      <c r="C27" s="1642" t="s">
        <v>2443</v>
      </c>
      <c r="D27" s="1589">
        <v>100</v>
      </c>
      <c r="E27" s="1642" t="s">
        <v>3382</v>
      </c>
      <c r="F27" s="1590">
        <f>SUMIF(90:90,E27,91:91)-SUMIF(90:90,C27,91:91)+100</f>
        <v>105</v>
      </c>
      <c r="G27" s="1642" t="s">
        <v>3382</v>
      </c>
      <c r="H27" s="1589">
        <f>SUMIF(90:90,G27,91:91)-SUMIF(90:90,C27,91:91)+100</f>
        <v>105</v>
      </c>
      <c r="I27" s="1642" t="s">
        <v>3382</v>
      </c>
      <c r="J27" s="1589">
        <f>SUMIF(90:90,I27,91:91)-SUMIF(90:90,C27,91:91)+100</f>
        <v>105</v>
      </c>
      <c r="K27" s="1255">
        <v>5</v>
      </c>
      <c r="L27" s="1239"/>
      <c r="M27" s="1240"/>
      <c r="N27" s="1240"/>
      <c r="O27" s="1240"/>
      <c r="P27" s="3835"/>
      <c r="Q27" s="3565" t="str">
        <f t="shared" si="11"/>
        <v>人流量</v>
      </c>
      <c r="R27" s="1280" t="s">
        <v>2064</v>
      </c>
      <c r="S27" s="1281">
        <f>F27</f>
        <v>105</v>
      </c>
      <c r="T27" s="1280" t="s">
        <v>2064</v>
      </c>
      <c r="U27" s="1281">
        <f>H27</f>
        <v>105</v>
      </c>
      <c r="V27" s="1280" t="s">
        <v>2064</v>
      </c>
      <c r="W27" s="1281">
        <f>J27</f>
        <v>105</v>
      </c>
      <c r="X27" s="1282"/>
      <c r="Y27" s="3840"/>
      <c r="Z27" s="3548" t="str">
        <f>Q27</f>
        <v>人流量</v>
      </c>
      <c r="AA27" s="3567">
        <f t="shared" si="3"/>
        <v>0.95238095238095233</v>
      </c>
      <c r="AB27" s="3567">
        <f t="shared" si="4"/>
        <v>0.95238095238095233</v>
      </c>
      <c r="AC27" s="3567">
        <f t="shared" si="5"/>
        <v>0.95238095238095233</v>
      </c>
    </row>
    <row r="28" spans="1:29" ht="15.75" thickBot="1">
      <c r="A28" s="1110"/>
      <c r="B28" s="1107" t="s">
        <v>2141</v>
      </c>
      <c r="C28" s="1144">
        <v>1</v>
      </c>
      <c r="D28" s="1119">
        <v>100</v>
      </c>
      <c r="E28" s="1144">
        <v>1</v>
      </c>
      <c r="F28" s="1474">
        <f>SUMIF(92:92,E28,93:93)-SUMIF(92:92,C28,93:93)+100</f>
        <v>100</v>
      </c>
      <c r="G28" s="1144">
        <v>1</v>
      </c>
      <c r="H28" s="1119">
        <f>SUMIF(92:92,G28,93:93)-SUMIF(92:92,C28,93:93)+100</f>
        <v>100</v>
      </c>
      <c r="I28" s="1144" t="s">
        <v>3381</v>
      </c>
      <c r="J28" s="1119">
        <f>SUMIF(92:92,I28,93:93)-SUMIF(92:92,C28,93:93)+100</f>
        <v>85</v>
      </c>
      <c r="K28" s="1254"/>
      <c r="L28" s="1249"/>
      <c r="M28" s="1237"/>
      <c r="N28" s="1237"/>
      <c r="O28" s="1237"/>
      <c r="P28" s="3835"/>
      <c r="Q28" s="3566" t="str">
        <f t="shared" si="11"/>
        <v>楼层</v>
      </c>
      <c r="R28" s="1285" t="s">
        <v>2064</v>
      </c>
      <c r="S28" s="1286">
        <f t="shared" ref="S28:S46" si="12">F28</f>
        <v>100</v>
      </c>
      <c r="T28" s="1285" t="s">
        <v>2064</v>
      </c>
      <c r="U28" s="1286">
        <f t="shared" ref="U28:U46" si="13">H28</f>
        <v>100</v>
      </c>
      <c r="V28" s="1285" t="s">
        <v>2064</v>
      </c>
      <c r="W28" s="1286">
        <f t="shared" ref="W28:W46" si="14">J28</f>
        <v>85</v>
      </c>
      <c r="X28" s="3569"/>
      <c r="Y28" s="3840"/>
      <c r="Z28" s="3570" t="str">
        <f t="shared" ref="Z28:Z46" si="15">Q28</f>
        <v>楼层</v>
      </c>
      <c r="AA28" s="3567">
        <f t="shared" si="3"/>
        <v>1</v>
      </c>
      <c r="AB28" s="3567">
        <f t="shared" si="4"/>
        <v>1</v>
      </c>
      <c r="AC28" s="3567">
        <f t="shared" si="5"/>
        <v>1.1764705882352942</v>
      </c>
    </row>
    <row r="29" spans="1:29" ht="15.75" hidden="1" thickBot="1">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835"/>
      <c r="Q29" s="3566">
        <f t="shared" si="11"/>
        <v>111</v>
      </c>
      <c r="R29" s="1285" t="s">
        <v>2064</v>
      </c>
      <c r="S29" s="1286">
        <f t="shared" si="12"/>
        <v>100</v>
      </c>
      <c r="T29" s="1285" t="s">
        <v>2064</v>
      </c>
      <c r="U29" s="1286">
        <f t="shared" si="13"/>
        <v>100</v>
      </c>
      <c r="V29" s="1285" t="s">
        <v>2064</v>
      </c>
      <c r="W29" s="1286">
        <f t="shared" si="14"/>
        <v>100</v>
      </c>
      <c r="X29" s="3569"/>
      <c r="Y29" s="3840"/>
      <c r="Z29" s="3570">
        <f t="shared" si="15"/>
        <v>111</v>
      </c>
      <c r="AA29" s="3567">
        <f t="shared" si="3"/>
        <v>1</v>
      </c>
      <c r="AB29" s="3567">
        <f t="shared" si="4"/>
        <v>1</v>
      </c>
      <c r="AC29" s="3567">
        <f t="shared" si="5"/>
        <v>1</v>
      </c>
    </row>
    <row r="30" spans="1:29" ht="15.75" hidden="1" thickBot="1">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835"/>
      <c r="Q30" s="3566">
        <f t="shared" si="11"/>
        <v>111</v>
      </c>
      <c r="R30" s="1285" t="s">
        <v>2064</v>
      </c>
      <c r="S30" s="1286">
        <f t="shared" si="12"/>
        <v>100</v>
      </c>
      <c r="T30" s="1285" t="s">
        <v>2064</v>
      </c>
      <c r="U30" s="1286">
        <f t="shared" si="13"/>
        <v>100</v>
      </c>
      <c r="V30" s="1285" t="s">
        <v>2064</v>
      </c>
      <c r="W30" s="1286">
        <f t="shared" si="14"/>
        <v>100</v>
      </c>
      <c r="X30" s="3569"/>
      <c r="Y30" s="3840"/>
      <c r="Z30" s="3570">
        <f t="shared" si="15"/>
        <v>111</v>
      </c>
      <c r="AA30" s="3567">
        <f t="shared" si="3"/>
        <v>1</v>
      </c>
      <c r="AB30" s="3567">
        <f t="shared" si="4"/>
        <v>1</v>
      </c>
      <c r="AC30" s="3567">
        <f t="shared" si="5"/>
        <v>1</v>
      </c>
    </row>
    <row r="31" spans="1:29" ht="15.75" hidden="1" thickBot="1">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835"/>
      <c r="Q31" s="3566">
        <f t="shared" si="11"/>
        <v>111</v>
      </c>
      <c r="R31" s="1285" t="s">
        <v>2064</v>
      </c>
      <c r="S31" s="1286">
        <f t="shared" si="12"/>
        <v>100</v>
      </c>
      <c r="T31" s="1285" t="s">
        <v>2064</v>
      </c>
      <c r="U31" s="1286">
        <f t="shared" si="13"/>
        <v>100</v>
      </c>
      <c r="V31" s="1285" t="s">
        <v>2064</v>
      </c>
      <c r="W31" s="1286">
        <f t="shared" si="14"/>
        <v>100</v>
      </c>
      <c r="X31" s="3569"/>
      <c r="Y31" s="3840"/>
      <c r="Z31" s="3570">
        <f t="shared" si="15"/>
        <v>111</v>
      </c>
      <c r="AA31" s="3567">
        <f t="shared" si="3"/>
        <v>1</v>
      </c>
      <c r="AB31" s="3567">
        <f t="shared" si="4"/>
        <v>1</v>
      </c>
      <c r="AC31" s="3567">
        <f t="shared" si="5"/>
        <v>1</v>
      </c>
    </row>
    <row r="32" spans="1:29" ht="15">
      <c r="A32" s="1124" t="s">
        <v>2082</v>
      </c>
      <c r="B32" s="1103" t="s">
        <v>2142</v>
      </c>
      <c r="C32" s="1657" t="s">
        <v>3355</v>
      </c>
      <c r="D32" s="1160">
        <v>100</v>
      </c>
      <c r="E32" s="1657" t="s">
        <v>3353</v>
      </c>
      <c r="F32" s="1474">
        <f>SUMIF(100:100,E32,101:101)-SUMIF(100:100,C32,101:101)+100</f>
        <v>102</v>
      </c>
      <c r="G32" s="1657" t="s">
        <v>3386</v>
      </c>
      <c r="H32" s="1119">
        <f>SUMIF(100:100,G32,101:101)-SUMIF(100:100,C32,101:101)+100</f>
        <v>104</v>
      </c>
      <c r="I32" s="1657" t="s">
        <v>3386</v>
      </c>
      <c r="J32" s="1160">
        <f>SUMIF(100:100,I32,101:101)-SUMIF(100:100,C32,101:101)+100</f>
        <v>104</v>
      </c>
      <c r="K32" s="1255">
        <v>2</v>
      </c>
      <c r="L32" s="1249"/>
      <c r="M32" s="1237"/>
      <c r="N32" s="1237"/>
      <c r="O32" s="1237"/>
      <c r="P32" s="3836" t="s">
        <v>2084</v>
      </c>
      <c r="Q32" s="3566" t="str">
        <f t="shared" si="11"/>
        <v>商业类型</v>
      </c>
      <c r="R32" s="1285" t="s">
        <v>2064</v>
      </c>
      <c r="S32" s="1286">
        <f t="shared" si="12"/>
        <v>102</v>
      </c>
      <c r="T32" s="1285" t="s">
        <v>2064</v>
      </c>
      <c r="U32" s="1286">
        <f t="shared" si="13"/>
        <v>104</v>
      </c>
      <c r="V32" s="1285" t="s">
        <v>2064</v>
      </c>
      <c r="W32" s="1286">
        <f t="shared" si="14"/>
        <v>104</v>
      </c>
      <c r="X32" s="3569"/>
      <c r="Y32" s="3841" t="s">
        <v>2084</v>
      </c>
      <c r="Z32" s="3570" t="str">
        <f t="shared" si="15"/>
        <v>商业类型</v>
      </c>
      <c r="AA32" s="3567">
        <f t="shared" si="3"/>
        <v>0.98039215686274506</v>
      </c>
      <c r="AB32" s="3567">
        <f t="shared" si="4"/>
        <v>0.96153846153846156</v>
      </c>
      <c r="AC32" s="3567">
        <f t="shared" si="5"/>
        <v>0.96153846153846156</v>
      </c>
    </row>
    <row r="33" spans="1:29" s="1071" customFormat="1" ht="15">
      <c r="A33" s="1166"/>
      <c r="B33" s="1107" t="s">
        <v>2085</v>
      </c>
      <c r="C33" s="1468">
        <f>D3</f>
        <v>0</v>
      </c>
      <c r="D33" s="1109">
        <v>100</v>
      </c>
      <c r="E33" s="1112">
        <v>115.21</v>
      </c>
      <c r="F33" s="1467">
        <f>LOOKUP(E33,103:103,104:104)-LOOKUP(C33,103:103,104:104)+100</f>
        <v>99</v>
      </c>
      <c r="G33" s="1111">
        <v>94.8</v>
      </c>
      <c r="H33" s="1109">
        <f>LOOKUP(G33,103:103,104:104)-LOOKUP(C33,103:103,104:104)+100</f>
        <v>100</v>
      </c>
      <c r="I33" s="1111">
        <v>166.7</v>
      </c>
      <c r="J33" s="1109">
        <f>LOOKUP(I33,103:103,104:104)-LOOKUP(C33,103:103,104:104)+100</f>
        <v>99</v>
      </c>
      <c r="K33" s="1254"/>
      <c r="L33" s="1247"/>
      <c r="M33" s="1256"/>
      <c r="N33" s="1256"/>
      <c r="O33" s="1256"/>
      <c r="P33" s="3837"/>
      <c r="Q33" s="1513" t="str">
        <f t="shared" si="11"/>
        <v>项目建筑规模</v>
      </c>
      <c r="R33" s="1287" t="s">
        <v>2064</v>
      </c>
      <c r="S33" s="1288">
        <f t="shared" si="12"/>
        <v>99</v>
      </c>
      <c r="T33" s="1287" t="s">
        <v>2064</v>
      </c>
      <c r="U33" s="1288">
        <f t="shared" si="13"/>
        <v>100</v>
      </c>
      <c r="V33" s="1287" t="s">
        <v>2064</v>
      </c>
      <c r="W33" s="1288">
        <f t="shared" si="14"/>
        <v>99</v>
      </c>
      <c r="X33" s="1289"/>
      <c r="Y33" s="3841"/>
      <c r="Z33" s="1297" t="str">
        <f t="shared" si="15"/>
        <v>项目建筑规模</v>
      </c>
      <c r="AA33" s="3567">
        <f t="shared" si="3"/>
        <v>1.0101010101010102</v>
      </c>
      <c r="AB33" s="3567">
        <f t="shared" si="4"/>
        <v>1</v>
      </c>
      <c r="AC33" s="3567">
        <f t="shared" si="5"/>
        <v>1.0101010101010102</v>
      </c>
    </row>
    <row r="34" spans="1:29" ht="15">
      <c r="A34" s="1161"/>
      <c r="B34" s="1107" t="s">
        <v>2086</v>
      </c>
      <c r="C34" s="1658" t="s">
        <v>1828</v>
      </c>
      <c r="D34" s="1119">
        <v>100</v>
      </c>
      <c r="E34" s="1658" t="s">
        <v>1828</v>
      </c>
      <c r="F34" s="1474">
        <f>SUMIF(105:105,E34,106:106)-SUMIF(105:105,C34,106:106)+100</f>
        <v>100</v>
      </c>
      <c r="G34" s="1658" t="s">
        <v>1828</v>
      </c>
      <c r="H34" s="1119">
        <f>SUMIF(105:105,G34,106:106)-SUMIF(105:105,C34,106:106)+100</f>
        <v>100</v>
      </c>
      <c r="I34" s="1658" t="s">
        <v>1828</v>
      </c>
      <c r="J34" s="1119">
        <f>SUMIF(105:105,I34,106:106)-SUMIF(105:105,C34,106:106)+100</f>
        <v>100</v>
      </c>
      <c r="K34" s="1255">
        <v>2</v>
      </c>
      <c r="L34" s="1249"/>
      <c r="M34" s="1237"/>
      <c r="N34" s="1237"/>
      <c r="O34" s="1237"/>
      <c r="P34" s="3837"/>
      <c r="Q34" s="3566" t="str">
        <f t="shared" si="11"/>
        <v>建筑结构</v>
      </c>
      <c r="R34" s="1285" t="s">
        <v>2064</v>
      </c>
      <c r="S34" s="1286">
        <f t="shared" si="12"/>
        <v>100</v>
      </c>
      <c r="T34" s="1285" t="s">
        <v>2064</v>
      </c>
      <c r="U34" s="1286">
        <f t="shared" si="13"/>
        <v>100</v>
      </c>
      <c r="V34" s="1285" t="s">
        <v>2064</v>
      </c>
      <c r="W34" s="1286">
        <f t="shared" si="14"/>
        <v>100</v>
      </c>
      <c r="X34" s="3569"/>
      <c r="Y34" s="3841"/>
      <c r="Z34" s="3570" t="str">
        <f t="shared" si="15"/>
        <v>建筑结构</v>
      </c>
      <c r="AA34" s="3567">
        <f t="shared" si="3"/>
        <v>1</v>
      </c>
      <c r="AB34" s="3567">
        <f t="shared" si="4"/>
        <v>1</v>
      </c>
      <c r="AC34" s="3567">
        <f t="shared" si="5"/>
        <v>1</v>
      </c>
    </row>
    <row r="35" spans="1:29" ht="15">
      <c r="A35" s="1161"/>
      <c r="B35" s="1107" t="s">
        <v>2088</v>
      </c>
      <c r="C35" s="1162" t="s">
        <v>2165</v>
      </c>
      <c r="D35" s="1119">
        <v>100</v>
      </c>
      <c r="E35" s="1162" t="s">
        <v>2165</v>
      </c>
      <c r="F35" s="1474">
        <f>SUMIF(107:107,E35,108:108)-SUMIF(107:107,C35,108:108)+100</f>
        <v>100</v>
      </c>
      <c r="G35" s="1162" t="s">
        <v>2165</v>
      </c>
      <c r="H35" s="1119">
        <f>SUMIF(107:107,G35,108:108)-SUMIF(107:107,C35,108:108)+100</f>
        <v>100</v>
      </c>
      <c r="I35" s="1162" t="s">
        <v>2165</v>
      </c>
      <c r="J35" s="1119">
        <f>SUMIF(107:107,I35,108:108)-SUMIF(107:107,C35,108:108)+100</f>
        <v>100</v>
      </c>
      <c r="K35" s="1255">
        <v>2</v>
      </c>
      <c r="L35" s="1249"/>
      <c r="M35" s="1237"/>
      <c r="N35" s="1237"/>
      <c r="O35" s="1237"/>
      <c r="P35" s="3837"/>
      <c r="Q35" s="3566" t="str">
        <f t="shared" si="11"/>
        <v>公共部分装修</v>
      </c>
      <c r="R35" s="1285" t="s">
        <v>2064</v>
      </c>
      <c r="S35" s="1286">
        <f t="shared" si="12"/>
        <v>100</v>
      </c>
      <c r="T35" s="1285" t="s">
        <v>2064</v>
      </c>
      <c r="U35" s="1286">
        <f t="shared" si="13"/>
        <v>100</v>
      </c>
      <c r="V35" s="1285" t="s">
        <v>2064</v>
      </c>
      <c r="W35" s="1286">
        <f t="shared" si="14"/>
        <v>100</v>
      </c>
      <c r="X35" s="3569"/>
      <c r="Y35" s="3841"/>
      <c r="Z35" s="3570" t="str">
        <f t="shared" si="15"/>
        <v>公共部分装修</v>
      </c>
      <c r="AA35" s="3567">
        <f t="shared" si="3"/>
        <v>1</v>
      </c>
      <c r="AB35" s="3567">
        <f t="shared" si="4"/>
        <v>1</v>
      </c>
      <c r="AC35" s="3567">
        <f t="shared" si="5"/>
        <v>1</v>
      </c>
    </row>
    <row r="36" spans="1:29" ht="15">
      <c r="A36" s="1161"/>
      <c r="B36" s="1107" t="s">
        <v>1202</v>
      </c>
      <c r="C36" s="1481">
        <f>'数据-取费表'!N6</f>
        <v>0.82</v>
      </c>
      <c r="D36" s="1119">
        <v>100</v>
      </c>
      <c r="E36" s="1481">
        <v>0.82</v>
      </c>
      <c r="F36" s="1474">
        <f>LOOKUP(E36,110:110,111:111)-LOOKUP(C36,110:110,111:111)+100</f>
        <v>100</v>
      </c>
      <c r="G36" s="1481">
        <v>0.78</v>
      </c>
      <c r="H36" s="1474">
        <f>LOOKUP(G36,110:110,111:111)-LOOKUP(C36,110:110,111:111)+100</f>
        <v>99</v>
      </c>
      <c r="I36" s="1481">
        <f>G36</f>
        <v>0.78</v>
      </c>
      <c r="J36" s="1119">
        <f>LOOKUP(I36,110:110,111:111)-LOOKUP(C36,110:110,111:111)+100</f>
        <v>99</v>
      </c>
      <c r="K36" s="1255">
        <v>1</v>
      </c>
      <c r="L36" s="1249"/>
      <c r="M36" s="1237"/>
      <c r="N36" s="1237"/>
      <c r="O36" s="1237"/>
      <c r="P36" s="3837"/>
      <c r="Q36" s="3566" t="str">
        <f t="shared" si="11"/>
        <v>成新度</v>
      </c>
      <c r="R36" s="1285" t="s">
        <v>2064</v>
      </c>
      <c r="S36" s="1286">
        <f t="shared" si="12"/>
        <v>100</v>
      </c>
      <c r="T36" s="1285" t="s">
        <v>2064</v>
      </c>
      <c r="U36" s="1286">
        <f t="shared" si="13"/>
        <v>99</v>
      </c>
      <c r="V36" s="1285" t="s">
        <v>2064</v>
      </c>
      <c r="W36" s="1286">
        <f t="shared" si="14"/>
        <v>99</v>
      </c>
      <c r="X36" s="3569"/>
      <c r="Y36" s="3841"/>
      <c r="Z36" s="3570" t="str">
        <f t="shared" si="15"/>
        <v>成新度</v>
      </c>
      <c r="AA36" s="3567">
        <f t="shared" si="3"/>
        <v>1</v>
      </c>
      <c r="AB36" s="3567">
        <f t="shared" si="4"/>
        <v>1.0101010101010102</v>
      </c>
      <c r="AC36" s="3567">
        <f t="shared" si="5"/>
        <v>1.0101010101010102</v>
      </c>
    </row>
    <row r="37" spans="1:29" s="1069" customFormat="1" ht="15" hidden="1">
      <c r="A37" s="1163"/>
      <c r="B37" s="1107" t="s">
        <v>2090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837"/>
      <c r="Q37" s="3565" t="str">
        <f t="shared" si="11"/>
        <v>市政基础设施</v>
      </c>
      <c r="R37" s="1280" t="s">
        <v>2064</v>
      </c>
      <c r="S37" s="1281">
        <f t="shared" si="12"/>
        <v>100</v>
      </c>
      <c r="T37" s="1280" t="s">
        <v>2064</v>
      </c>
      <c r="U37" s="1281">
        <f t="shared" si="13"/>
        <v>100</v>
      </c>
      <c r="V37" s="1280" t="s">
        <v>2064</v>
      </c>
      <c r="W37" s="1281">
        <f t="shared" si="14"/>
        <v>100</v>
      </c>
      <c r="X37" s="1282"/>
      <c r="Y37" s="3841"/>
      <c r="Z37" s="3548" t="str">
        <f t="shared" si="15"/>
        <v>市政基础设施</v>
      </c>
      <c r="AA37" s="1294">
        <f t="shared" si="3"/>
        <v>1</v>
      </c>
      <c r="AB37" s="1294">
        <f t="shared" si="4"/>
        <v>1</v>
      </c>
      <c r="AC37" s="1294">
        <f t="shared" si="5"/>
        <v>1</v>
      </c>
    </row>
    <row r="38" spans="1:29" ht="15" hidden="1">
      <c r="A38" s="1161"/>
      <c r="B38" s="1107" t="s">
        <v>2143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837" t="s">
        <v>2084</v>
      </c>
      <c r="Q38" s="3566" t="str">
        <f t="shared" si="11"/>
        <v>业态</v>
      </c>
      <c r="R38" s="1285" t="s">
        <v>2064</v>
      </c>
      <c r="S38" s="1286">
        <f t="shared" si="12"/>
        <v>100</v>
      </c>
      <c r="T38" s="1285" t="s">
        <v>2064</v>
      </c>
      <c r="U38" s="1286">
        <f t="shared" si="13"/>
        <v>100</v>
      </c>
      <c r="V38" s="1285" t="s">
        <v>2064</v>
      </c>
      <c r="W38" s="1286">
        <f t="shared" si="14"/>
        <v>100</v>
      </c>
      <c r="X38" s="3569"/>
      <c r="Y38" s="3841" t="s">
        <v>2084</v>
      </c>
      <c r="Z38" s="3570" t="str">
        <f t="shared" si="15"/>
        <v>业态</v>
      </c>
      <c r="AA38" s="3567">
        <f t="shared" si="3"/>
        <v>1</v>
      </c>
      <c r="AB38" s="3567">
        <f t="shared" si="4"/>
        <v>1</v>
      </c>
      <c r="AC38" s="3567">
        <f t="shared" si="5"/>
        <v>1</v>
      </c>
    </row>
    <row r="39" spans="1:29" ht="15">
      <c r="A39" s="1161"/>
      <c r="B39" s="1107" t="s">
        <v>2144</v>
      </c>
      <c r="C39" s="1162" t="s">
        <v>3379</v>
      </c>
      <c r="D39" s="1119">
        <v>100</v>
      </c>
      <c r="E39" s="1162" t="s">
        <v>3379</v>
      </c>
      <c r="F39" s="1474">
        <f>SUMIF(116:116,E39,117:117)-SUMIF(116:116,C39,117:117)+100</f>
        <v>100</v>
      </c>
      <c r="G39" s="1162" t="s">
        <v>3379</v>
      </c>
      <c r="H39" s="1119">
        <f>SUMIF(116:116,G39,117:117)-SUMIF(116:116,C39,117:117)+100</f>
        <v>100</v>
      </c>
      <c r="I39" s="1162" t="s">
        <v>3379</v>
      </c>
      <c r="J39" s="1119">
        <f>SUMIF(116:116,I39,117:117)-SUMIF(116:116,C39,117:117)+100</f>
        <v>100</v>
      </c>
      <c r="K39" s="1255">
        <v>2</v>
      </c>
      <c r="L39" s="1249"/>
      <c r="M39" s="1237"/>
      <c r="N39" s="1237"/>
      <c r="O39" s="1237"/>
      <c r="P39" s="3837"/>
      <c r="Q39" s="3566" t="str">
        <f t="shared" si="11"/>
        <v>层高</v>
      </c>
      <c r="R39" s="1285" t="s">
        <v>2064</v>
      </c>
      <c r="S39" s="1286">
        <f t="shared" si="12"/>
        <v>100</v>
      </c>
      <c r="T39" s="1285" t="s">
        <v>2064</v>
      </c>
      <c r="U39" s="1286">
        <f t="shared" si="13"/>
        <v>100</v>
      </c>
      <c r="V39" s="1285" t="s">
        <v>2064</v>
      </c>
      <c r="W39" s="1286">
        <f t="shared" si="14"/>
        <v>100</v>
      </c>
      <c r="X39" s="3569"/>
      <c r="Y39" s="3841"/>
      <c r="Z39" s="3570" t="str">
        <f t="shared" si="15"/>
        <v>层高</v>
      </c>
      <c r="AA39" s="3567">
        <f t="shared" si="3"/>
        <v>1</v>
      </c>
      <c r="AB39" s="3567">
        <f t="shared" si="4"/>
        <v>1</v>
      </c>
      <c r="AC39" s="3567">
        <f t="shared" si="5"/>
        <v>1</v>
      </c>
    </row>
    <row r="40" spans="1:29" ht="15" hidden="1">
      <c r="A40" s="1161"/>
      <c r="B40" s="1107" t="s">
        <v>2145</v>
      </c>
      <c r="C40" s="1659"/>
      <c r="D40" s="1119">
        <v>100</v>
      </c>
      <c r="E40" s="1659"/>
      <c r="F40" s="1474">
        <f>SUMIF(118:118,E40,119:119)-SUMIF(118:118,C40,119:119)+100</f>
        <v>100</v>
      </c>
      <c r="G40" s="1659"/>
      <c r="H40" s="1119">
        <f>SUMIF(118:118,G40,119:119)-SUMIF(118:118,C40,119:119)+100</f>
        <v>100</v>
      </c>
      <c r="I40" s="1659"/>
      <c r="J40" s="1119">
        <f>SUMIF(118:118,I40,119:119)-SUMIF(118:118,C40,119:119)+100</f>
        <v>100</v>
      </c>
      <c r="K40" s="1254"/>
      <c r="L40" s="1249"/>
      <c r="M40" s="1237"/>
      <c r="N40" s="1237"/>
      <c r="O40" s="1237"/>
      <c r="P40" s="3837"/>
      <c r="Q40" s="3566" t="str">
        <f t="shared" si="11"/>
        <v>单套建筑面积</v>
      </c>
      <c r="R40" s="1285" t="s">
        <v>2064</v>
      </c>
      <c r="S40" s="1286">
        <f t="shared" si="12"/>
        <v>100</v>
      </c>
      <c r="T40" s="1285" t="s">
        <v>2064</v>
      </c>
      <c r="U40" s="1286">
        <f t="shared" si="13"/>
        <v>100</v>
      </c>
      <c r="V40" s="1285" t="s">
        <v>2064</v>
      </c>
      <c r="W40" s="1286">
        <f t="shared" si="14"/>
        <v>100</v>
      </c>
      <c r="X40" s="3569"/>
      <c r="Y40" s="3841"/>
      <c r="Z40" s="3570" t="str">
        <f t="shared" si="15"/>
        <v>单套建筑面积</v>
      </c>
      <c r="AA40" s="3567">
        <f t="shared" si="3"/>
        <v>1</v>
      </c>
      <c r="AB40" s="3567">
        <f t="shared" si="4"/>
        <v>1</v>
      </c>
      <c r="AC40" s="3567">
        <f t="shared" si="5"/>
        <v>1</v>
      </c>
    </row>
    <row r="41" spans="1:29" s="1071" customFormat="1" ht="15" hidden="1">
      <c r="A41" s="1166"/>
      <c r="B41" s="3568" t="s">
        <v>2146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837"/>
      <c r="Q41" s="1513" t="str">
        <f t="shared" si="11"/>
        <v>进深比</v>
      </c>
      <c r="R41" s="1287" t="s">
        <v>2064</v>
      </c>
      <c r="S41" s="1288">
        <f t="shared" si="12"/>
        <v>100</v>
      </c>
      <c r="T41" s="1287" t="s">
        <v>2064</v>
      </c>
      <c r="U41" s="1288">
        <f t="shared" si="13"/>
        <v>100</v>
      </c>
      <c r="V41" s="1287" t="s">
        <v>2064</v>
      </c>
      <c r="W41" s="1288">
        <f t="shared" si="14"/>
        <v>100</v>
      </c>
      <c r="X41" s="1289"/>
      <c r="Y41" s="3841"/>
      <c r="Z41" s="1297" t="str">
        <f t="shared" si="15"/>
        <v>进深比</v>
      </c>
      <c r="AA41" s="3567">
        <f t="shared" si="3"/>
        <v>1</v>
      </c>
      <c r="AB41" s="3567">
        <f t="shared" si="4"/>
        <v>1</v>
      </c>
      <c r="AC41" s="3567">
        <f t="shared" si="5"/>
        <v>1</v>
      </c>
    </row>
    <row r="42" spans="1:29" ht="15">
      <c r="A42" s="1161"/>
      <c r="B42" s="1107" t="s">
        <v>2093</v>
      </c>
      <c r="C42" s="1162" t="s">
        <v>2165</v>
      </c>
      <c r="D42" s="1119">
        <v>100</v>
      </c>
      <c r="E42" s="1162" t="s">
        <v>2165</v>
      </c>
      <c r="F42" s="1474">
        <f>SUMIF(122:122,E42,123:123)-SUMIF(122:122,C42,123:123)+100</f>
        <v>100</v>
      </c>
      <c r="G42" s="1162" t="s">
        <v>2165</v>
      </c>
      <c r="H42" s="1119">
        <f>SUMIF(122:122,G42,123:123)-SUMIF(122:122,C42,123:123)+100</f>
        <v>100</v>
      </c>
      <c r="I42" s="1162" t="s">
        <v>2165</v>
      </c>
      <c r="J42" s="1119">
        <f>SUMIF(122:122,I42,123:123)-SUMIF(122:122,C42,123:123)+100</f>
        <v>100</v>
      </c>
      <c r="K42" s="1255">
        <v>2</v>
      </c>
      <c r="L42" s="1249"/>
      <c r="M42" s="1237"/>
      <c r="N42" s="1237"/>
      <c r="O42" s="1237"/>
      <c r="P42" s="3837"/>
      <c r="Q42" s="3566" t="str">
        <f t="shared" si="11"/>
        <v>内部装修</v>
      </c>
      <c r="R42" s="1285" t="s">
        <v>2064</v>
      </c>
      <c r="S42" s="1286">
        <f t="shared" si="12"/>
        <v>100</v>
      </c>
      <c r="T42" s="1285" t="s">
        <v>2064</v>
      </c>
      <c r="U42" s="1286">
        <f t="shared" si="13"/>
        <v>100</v>
      </c>
      <c r="V42" s="1285" t="s">
        <v>2064</v>
      </c>
      <c r="W42" s="1286">
        <f t="shared" si="14"/>
        <v>100</v>
      </c>
      <c r="X42" s="3569"/>
      <c r="Y42" s="3841"/>
      <c r="Z42" s="3570" t="str">
        <f t="shared" si="15"/>
        <v>内部装修</v>
      </c>
      <c r="AA42" s="3567">
        <f t="shared" si="3"/>
        <v>1</v>
      </c>
      <c r="AB42" s="3567">
        <f t="shared" si="4"/>
        <v>1</v>
      </c>
      <c r="AC42" s="3567">
        <f t="shared" si="5"/>
        <v>1</v>
      </c>
    </row>
    <row r="43" spans="1:29" ht="15.75" thickBot="1">
      <c r="A43" s="1161"/>
      <c r="B43" s="1107" t="s">
        <v>2094</v>
      </c>
      <c r="C43" s="1162" t="s">
        <v>2160</v>
      </c>
      <c r="D43" s="1119">
        <v>100</v>
      </c>
      <c r="E43" s="1162" t="s">
        <v>2160</v>
      </c>
      <c r="F43" s="1474">
        <f>SUMIF(124:124,E43,125:125)-SUMIF(124:124,C43,125:125)+100</f>
        <v>100</v>
      </c>
      <c r="G43" s="1162" t="s">
        <v>2160</v>
      </c>
      <c r="H43" s="1119">
        <f>SUMIF(124:124,G43,125:125)-SUMIF(124:124,C43,125:125)+100</f>
        <v>100</v>
      </c>
      <c r="I43" s="1162" t="s">
        <v>2160</v>
      </c>
      <c r="J43" s="1119">
        <f>SUMIF(124:124,I43,125:125)-SUMIF(124:124,C43,125:125)+100</f>
        <v>100</v>
      </c>
      <c r="K43" s="1255">
        <v>2</v>
      </c>
      <c r="L43" s="1249"/>
      <c r="M43" s="1237"/>
      <c r="N43" s="1237"/>
      <c r="O43" s="1237"/>
      <c r="P43" s="3837"/>
      <c r="Q43" s="3566" t="str">
        <f t="shared" si="11"/>
        <v>内部装修维护情况</v>
      </c>
      <c r="R43" s="1285" t="s">
        <v>2064</v>
      </c>
      <c r="S43" s="1286">
        <f t="shared" si="12"/>
        <v>100</v>
      </c>
      <c r="T43" s="1285" t="s">
        <v>2064</v>
      </c>
      <c r="U43" s="1286">
        <f t="shared" si="13"/>
        <v>100</v>
      </c>
      <c r="V43" s="1285" t="s">
        <v>2064</v>
      </c>
      <c r="W43" s="1286">
        <f t="shared" si="14"/>
        <v>100</v>
      </c>
      <c r="X43" s="3569"/>
      <c r="Y43" s="3841"/>
      <c r="Z43" s="3570" t="str">
        <f t="shared" si="15"/>
        <v>内部装修维护情况</v>
      </c>
      <c r="AA43" s="3567">
        <f t="shared" si="3"/>
        <v>1</v>
      </c>
      <c r="AB43" s="3567">
        <f t="shared" si="4"/>
        <v>1</v>
      </c>
      <c r="AC43" s="3567">
        <f t="shared" si="5"/>
        <v>1</v>
      </c>
    </row>
    <row r="44" spans="1:29" s="1069" customFormat="1" ht="15.75" hidden="1" thickBot="1">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837"/>
      <c r="Q44" s="3565">
        <f t="shared" si="11"/>
        <v>111</v>
      </c>
      <c r="R44" s="1280" t="s">
        <v>2064</v>
      </c>
      <c r="S44" s="1281">
        <f t="shared" si="12"/>
        <v>100</v>
      </c>
      <c r="T44" s="1280" t="s">
        <v>2064</v>
      </c>
      <c r="U44" s="1281">
        <f t="shared" si="13"/>
        <v>100</v>
      </c>
      <c r="V44" s="1280" t="s">
        <v>2064</v>
      </c>
      <c r="W44" s="1281">
        <f t="shared" si="14"/>
        <v>100</v>
      </c>
      <c r="X44" s="1282"/>
      <c r="Y44" s="3841"/>
      <c r="Z44" s="3548">
        <f t="shared" si="15"/>
        <v>111</v>
      </c>
      <c r="AA44" s="1294">
        <f t="shared" si="3"/>
        <v>1</v>
      </c>
      <c r="AB44" s="1294">
        <f t="shared" si="4"/>
        <v>1</v>
      </c>
      <c r="AC44" s="1294">
        <f t="shared" si="5"/>
        <v>1</v>
      </c>
    </row>
    <row r="45" spans="1:29" ht="15.75" hidden="1" thickBot="1">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837"/>
      <c r="Q45" s="3566">
        <f t="shared" si="11"/>
        <v>111</v>
      </c>
      <c r="R45" s="1285" t="s">
        <v>2064</v>
      </c>
      <c r="S45" s="1286">
        <f t="shared" si="12"/>
        <v>100</v>
      </c>
      <c r="T45" s="1285" t="s">
        <v>2064</v>
      </c>
      <c r="U45" s="1286">
        <f t="shared" si="13"/>
        <v>100</v>
      </c>
      <c r="V45" s="1285" t="s">
        <v>2064</v>
      </c>
      <c r="W45" s="1286">
        <f t="shared" si="14"/>
        <v>100</v>
      </c>
      <c r="X45" s="3569"/>
      <c r="Y45" s="3841"/>
      <c r="Z45" s="3570">
        <f t="shared" si="15"/>
        <v>111</v>
      </c>
      <c r="AA45" s="3567">
        <f t="shared" si="3"/>
        <v>1</v>
      </c>
      <c r="AB45" s="3567">
        <f t="shared" si="4"/>
        <v>1</v>
      </c>
      <c r="AC45" s="3567">
        <f t="shared" si="5"/>
        <v>1</v>
      </c>
    </row>
    <row r="46" spans="1:29" ht="15.75" hidden="1" thickBot="1">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838"/>
      <c r="Q46" s="3566">
        <f t="shared" si="11"/>
        <v>111</v>
      </c>
      <c r="R46" s="1285" t="s">
        <v>2064</v>
      </c>
      <c r="S46" s="1286">
        <f t="shared" si="12"/>
        <v>100</v>
      </c>
      <c r="T46" s="1285" t="s">
        <v>2064</v>
      </c>
      <c r="U46" s="1286">
        <f t="shared" si="13"/>
        <v>100</v>
      </c>
      <c r="V46" s="1285" t="s">
        <v>2064</v>
      </c>
      <c r="W46" s="1286">
        <f t="shared" si="14"/>
        <v>100</v>
      </c>
      <c r="X46" s="3569"/>
      <c r="Y46" s="3842"/>
      <c r="Z46" s="3570">
        <f t="shared" si="15"/>
        <v>111</v>
      </c>
      <c r="AA46" s="3567">
        <f t="shared" si="3"/>
        <v>1</v>
      </c>
      <c r="AB46" s="3567">
        <f t="shared" si="4"/>
        <v>1</v>
      </c>
      <c r="AC46" s="3567">
        <f t="shared" si="5"/>
        <v>1</v>
      </c>
    </row>
    <row r="47" spans="1:29" ht="15">
      <c r="A47" s="1168" t="s">
        <v>2095</v>
      </c>
      <c r="B47" s="1488"/>
      <c r="C47" s="1489" t="s">
        <v>124</v>
      </c>
      <c r="D47" s="1490"/>
      <c r="E47" s="1491">
        <v>4.5</v>
      </c>
      <c r="F47" s="1492"/>
      <c r="G47" s="1493">
        <v>5</v>
      </c>
      <c r="H47" s="1494"/>
      <c r="I47" s="1491">
        <v>4</v>
      </c>
      <c r="J47" s="1494"/>
      <c r="K47" s="1260"/>
      <c r="L47" s="1261"/>
      <c r="M47" s="1185"/>
      <c r="N47" s="1237"/>
      <c r="O47" s="1185"/>
      <c r="P47" s="3826" t="str">
        <f>A47</f>
        <v>成交单价（元/平方米）</v>
      </c>
      <c r="Q47" s="3826"/>
      <c r="R47" s="3813">
        <f>E47</f>
        <v>4.5</v>
      </c>
      <c r="S47" s="3813"/>
      <c r="T47" s="3813">
        <f>G47</f>
        <v>5</v>
      </c>
      <c r="U47" s="3813"/>
      <c r="V47" s="3813">
        <f>I47</f>
        <v>4</v>
      </c>
      <c r="W47" s="3813"/>
      <c r="X47" s="1225"/>
      <c r="Y47" s="1298"/>
      <c r="Z47" s="1225"/>
      <c r="AA47" s="1225"/>
      <c r="AB47" s="1225"/>
      <c r="AC47" s="1225"/>
    </row>
    <row r="48" spans="1:29" ht="15.75" thickBot="1">
      <c r="A48" s="1176" t="s">
        <v>2096</v>
      </c>
      <c r="B48" s="1495"/>
      <c r="C48" s="1496">
        <f>R49</f>
        <v>4.0999999999999996</v>
      </c>
      <c r="D48" s="1179" t="s">
        <v>2097</v>
      </c>
      <c r="E48" s="1497">
        <f>R48</f>
        <v>4</v>
      </c>
      <c r="F48" s="1180"/>
      <c r="G48" s="1496">
        <f>T48</f>
        <v>4.3</v>
      </c>
      <c r="H48" s="1180"/>
      <c r="I48" s="1497">
        <f>V48</f>
        <v>4.0999999999999996</v>
      </c>
      <c r="J48" s="1180"/>
      <c r="K48" s="1262">
        <f>F48+H48+J48</f>
        <v>0</v>
      </c>
      <c r="L48" s="1261"/>
      <c r="M48" s="1185"/>
      <c r="N48" s="1237"/>
      <c r="O48" s="1185"/>
      <c r="P48" s="3826" t="str">
        <f>A48</f>
        <v>比较价值（元/平方米）</v>
      </c>
      <c r="Q48" s="3826"/>
      <c r="R48" s="3827">
        <f>IF(F1="售价",ROUND(PRODUCT(R47,AA7:AA46),0),ROUND(PRODUCT(R47,AA7:AA46),1))</f>
        <v>4</v>
      </c>
      <c r="S48" s="3827"/>
      <c r="T48" s="3827">
        <f>IF(F1="售价",ROUND(PRODUCT(T47,AB7:AB46),0),ROUND(PRODUCT(T47,AB7:AB46),1))</f>
        <v>4.3</v>
      </c>
      <c r="U48" s="3827"/>
      <c r="V48" s="3827">
        <f>IF(F1="售价",ROUND(PRODUCT(V47,AC7:AC46),0),ROUND(PRODUCT(V47,AC7:AC46),1))</f>
        <v>4.0999999999999996</v>
      </c>
      <c r="W48" s="3827"/>
      <c r="X48" s="1225"/>
      <c r="Y48" s="1225"/>
      <c r="Z48" s="1225"/>
      <c r="AA48" s="1225"/>
      <c r="AB48" s="1225"/>
      <c r="AC48" s="1225"/>
    </row>
    <row r="49" spans="1:29" ht="15.75" thickBot="1">
      <c r="A49" s="1182" t="s">
        <v>2098</v>
      </c>
      <c r="B49" s="1183"/>
      <c r="C49" s="1498">
        <f>R49</f>
        <v>4.0999999999999996</v>
      </c>
      <c r="D49" s="1498"/>
      <c r="E49" s="1498"/>
      <c r="F49" s="1498"/>
      <c r="G49" s="1498"/>
      <c r="H49" s="1498"/>
      <c r="I49" s="1498"/>
      <c r="J49" s="1498"/>
      <c r="K49" s="1263"/>
      <c r="L49" s="1261"/>
      <c r="M49" s="1185"/>
      <c r="N49" s="1237"/>
      <c r="O49" s="1185"/>
      <c r="P49" s="3828" t="str">
        <f>A49</f>
        <v>估价对象XX用房的比较价值（楼面单价，元/平方米）</v>
      </c>
      <c r="Q49" s="3829"/>
      <c r="R49" s="3830">
        <f>IF(F1="售价",ROUND(IF(D48="简单平均",AVERAGE(R48:V48),R48*F48+T48*H48+V48*J48),0),ROUND(IF(D48="简单平均",AVERAGE(R48:V48),R48*F48+T48*H48+V48*J48),1))</f>
        <v>4.0999999999999996</v>
      </c>
      <c r="S49" s="3830"/>
      <c r="T49" s="3830"/>
      <c r="U49" s="3830"/>
      <c r="V49" s="3830"/>
      <c r="W49" s="383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2"/>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2"/>
      <c r="Q51" s="1185"/>
      <c r="R51" s="1185"/>
      <c r="S51" s="1185"/>
      <c r="T51" s="1185"/>
      <c r="U51" s="1185"/>
      <c r="V51" s="1185"/>
      <c r="W51" s="1185"/>
      <c r="X51" s="1185"/>
      <c r="Y51" s="1185"/>
      <c r="Z51" s="1185"/>
      <c r="AA51" s="1185"/>
      <c r="AB51" s="1185"/>
      <c r="AC51" s="1185"/>
    </row>
    <row r="52" spans="1:29" ht="13.5" customHeight="1">
      <c r="A52" s="1185"/>
      <c r="B52" s="1185"/>
      <c r="C52" s="1187" t="s">
        <v>2099</v>
      </c>
      <c r="D52" s="709"/>
      <c r="E52" s="1188">
        <f>IF(E47&lt;E48,E48/E47-1,E47/E48-1)</f>
        <v>0.125</v>
      </c>
      <c r="F52" s="1189" t="str">
        <f>IF(OR(E52&gt;=0.3,E52&lt;=-0.3),"超过30%","")</f>
        <v/>
      </c>
      <c r="G52" s="1188">
        <f>IF(G47&lt;G48,G48/G47-1,G47/G48-1)</f>
        <v>0.16279069767441867</v>
      </c>
      <c r="H52" s="1189" t="str">
        <f>IF(OR(G52&gt;=0.3,G52&lt;=-0.3),"超过30%","")</f>
        <v/>
      </c>
      <c r="I52" s="1188">
        <f>IF(I47&lt;I48,I48/I47-1,I47/I48-1)</f>
        <v>2.4999999999999911E-2</v>
      </c>
      <c r="J52" s="1189" t="str">
        <f>IF(OR(I52&gt;=0.3,I52&lt;=-0.3),"超过30%","")</f>
        <v/>
      </c>
      <c r="K52" s="1265"/>
      <c r="L52" s="1266"/>
      <c r="M52" s="1185"/>
      <c r="N52" s="1185"/>
      <c r="O52" s="1185"/>
      <c r="P52" s="1662"/>
      <c r="Q52" s="1185"/>
      <c r="R52" s="1185"/>
      <c r="S52" s="1185"/>
      <c r="T52" s="1185"/>
      <c r="U52" s="1185"/>
      <c r="V52" s="1185"/>
      <c r="W52" s="1185"/>
      <c r="X52" s="1185"/>
      <c r="Y52" s="1185"/>
      <c r="Z52" s="1185"/>
      <c r="AA52" s="1185"/>
      <c r="AB52" s="1185"/>
      <c r="AC52" s="1185"/>
    </row>
    <row r="53" spans="1:29" ht="13.5" customHeight="1">
      <c r="A53" s="1185"/>
      <c r="B53" s="1185"/>
      <c r="C53" s="1187" t="s">
        <v>2100</v>
      </c>
      <c r="D53" s="708"/>
      <c r="E53" s="1188">
        <f>IF(E48&lt;G48,G48/E48-1,E48/G48-1)</f>
        <v>7.4999999999999956E-2</v>
      </c>
      <c r="F53" s="1189" t="str">
        <f>IF(OR(E53&gt;=0.2,E53&lt;=-0.2),"超过20%","")</f>
        <v/>
      </c>
      <c r="G53" s="1188">
        <f>IF(G48&lt;I48,I48/G48-1,G48/I48-1)</f>
        <v>4.8780487804878092E-2</v>
      </c>
      <c r="H53" s="1189" t="str">
        <f>IF(OR(G53&gt;=0.2,G53&lt;=-0.2),"超过20%","")</f>
        <v/>
      </c>
      <c r="I53" s="1188">
        <f>IF(I48&lt;E48,E48/I48-1,I48/E48-1)</f>
        <v>2.4999999999999911E-2</v>
      </c>
      <c r="J53" s="1189" t="str">
        <f>IF(OR(I53&gt;=0.2,I53&lt;=-0.2),"超过20%","")</f>
        <v/>
      </c>
      <c r="K53" s="1265"/>
      <c r="L53" s="1266"/>
      <c r="M53" s="1185"/>
      <c r="N53" s="1185"/>
      <c r="O53" s="1185"/>
      <c r="P53" s="1662"/>
      <c r="Q53" s="1185"/>
      <c r="R53" s="1185"/>
      <c r="S53" s="1185"/>
      <c r="T53" s="1185"/>
      <c r="U53" s="1185"/>
      <c r="V53" s="1185"/>
      <c r="W53" s="1185"/>
      <c r="X53" s="1185"/>
      <c r="Y53" s="1185"/>
      <c r="Z53" s="1185"/>
      <c r="AA53" s="1185"/>
      <c r="AB53" s="1185"/>
      <c r="AC53" s="1185"/>
    </row>
    <row r="54" spans="1:29" s="1072" customFormat="1" ht="13.5" customHeight="1">
      <c r="A54" s="1190"/>
      <c r="B54" s="1190"/>
      <c r="C54" s="1187" t="s">
        <v>2101</v>
      </c>
      <c r="D54" s="708"/>
      <c r="E54" s="1188">
        <f>IF(E47&lt;G47,G47/E47-1,E47/G47-1)</f>
        <v>0.11111111111111116</v>
      </c>
      <c r="F54" s="1189" t="str">
        <f>IF(OR(E54&gt;=0.3,E54&lt;=-0.3),"超过30%","")</f>
        <v/>
      </c>
      <c r="G54" s="1188">
        <f>IF(G47&lt;I47,I47/G47-1,G47/I47-1)</f>
        <v>0.25</v>
      </c>
      <c r="H54" s="1189" t="str">
        <f>IF(OR(G54&gt;=0.3,G54&lt;=-0.3),"超过30%","")</f>
        <v/>
      </c>
      <c r="I54" s="1188">
        <f>IF(I47&lt;E47,E47/I47-1,I47/E47-1)</f>
        <v>0.125</v>
      </c>
      <c r="J54" s="1189" t="str">
        <f>IF(OR(I54&gt;=0.3,I54&lt;=-0.3),"超过30%","")</f>
        <v/>
      </c>
      <c r="K54" s="1267"/>
      <c r="L54" s="1268"/>
      <c r="M54" s="1190"/>
      <c r="N54" s="1190"/>
      <c r="O54" s="1190"/>
      <c r="P54" s="1663"/>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3"/>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2"/>
      <c r="Q56" s="1185"/>
      <c r="R56" s="1185"/>
      <c r="S56" s="1185"/>
      <c r="T56" s="1185"/>
      <c r="U56" s="1185"/>
      <c r="V56" s="1185"/>
      <c r="W56" s="1185"/>
      <c r="X56" s="1185"/>
      <c r="Y56" s="1185"/>
      <c r="Z56" s="1185"/>
      <c r="AA56" s="1185"/>
      <c r="AB56" s="1185"/>
      <c r="AC56" s="1185"/>
    </row>
    <row r="57" spans="1:29" ht="21.75" thickBot="1">
      <c r="A57" s="1224" t="s">
        <v>2102</v>
      </c>
      <c r="B57" s="1225"/>
      <c r="C57" s="1226"/>
      <c r="D57" s="1226"/>
      <c r="E57" s="1226"/>
      <c r="F57" s="1227"/>
      <c r="G57" s="1227"/>
      <c r="H57" s="1226"/>
      <c r="I57" s="1226"/>
      <c r="J57" s="1226"/>
      <c r="K57" s="1275"/>
      <c r="L57" s="1444"/>
      <c r="M57" s="1277"/>
      <c r="N57" s="1277"/>
      <c r="O57" s="1277"/>
      <c r="P57" s="1664"/>
      <c r="Q57" s="1290"/>
      <c r="R57" s="1185"/>
      <c r="S57" s="1185"/>
      <c r="T57" s="1185"/>
      <c r="U57" s="1185"/>
      <c r="V57" s="1185"/>
      <c r="W57" s="1185"/>
      <c r="X57" s="1185"/>
      <c r="Y57" s="1185"/>
      <c r="Z57" s="1185"/>
      <c r="AA57" s="1185"/>
      <c r="AB57" s="1185"/>
      <c r="AC57" s="1185"/>
    </row>
    <row r="58" spans="1:29" s="1074" customFormat="1" ht="15">
      <c r="A58" s="1500" t="s">
        <v>2062</v>
      </c>
      <c r="B58" s="1501"/>
      <c r="C58" s="1502" t="str">
        <f>YEAR(C7)&amp;"-"&amp;MONTH(C7)</f>
        <v>2024-1</v>
      </c>
      <c r="D58" s="1503">
        <f>EDATE(C58,-1)</f>
        <v>45261</v>
      </c>
      <c r="E58" s="1503">
        <f t="shared" ref="E58:O58" si="16">EDATE(D58,-1)</f>
        <v>45231</v>
      </c>
      <c r="F58" s="1503">
        <f t="shared" si="16"/>
        <v>45200</v>
      </c>
      <c r="G58" s="1503">
        <f t="shared" si="16"/>
        <v>45170</v>
      </c>
      <c r="H58" s="1503">
        <f t="shared" si="16"/>
        <v>45139</v>
      </c>
      <c r="I58" s="1503">
        <f t="shared" si="16"/>
        <v>45108</v>
      </c>
      <c r="J58" s="1503">
        <f t="shared" si="16"/>
        <v>45078</v>
      </c>
      <c r="K58" s="1503">
        <f t="shared" si="16"/>
        <v>45047</v>
      </c>
      <c r="L58" s="1503">
        <f t="shared" si="16"/>
        <v>45017</v>
      </c>
      <c r="M58" s="1503">
        <f t="shared" si="16"/>
        <v>44986</v>
      </c>
      <c r="N58" s="1503">
        <f t="shared" si="16"/>
        <v>44958</v>
      </c>
      <c r="O58" s="1503">
        <f t="shared" si="16"/>
        <v>44927</v>
      </c>
      <c r="P58" s="1665"/>
      <c r="Q58" s="1409"/>
      <c r="R58" s="1409"/>
      <c r="S58" s="1409"/>
      <c r="T58" s="1409"/>
      <c r="U58" s="1409"/>
      <c r="V58" s="1409"/>
      <c r="W58" s="1409"/>
      <c r="X58" s="1409"/>
      <c r="Y58" s="1409"/>
      <c r="Z58" s="1409"/>
      <c r="AA58" s="1409"/>
      <c r="AB58" s="1409"/>
      <c r="AC58" s="1409"/>
    </row>
    <row r="59" spans="1:29" s="1069" customFormat="1" ht="15">
      <c r="A59" s="1504"/>
      <c r="B59" s="1310"/>
      <c r="C59" s="1505">
        <v>100</v>
      </c>
      <c r="D59" s="1314">
        <v>100</v>
      </c>
      <c r="E59" s="1314">
        <v>100</v>
      </c>
      <c r="F59" s="1314">
        <v>99.5</v>
      </c>
      <c r="G59" s="1314">
        <v>99.5</v>
      </c>
      <c r="H59" s="1314">
        <v>99.5</v>
      </c>
      <c r="I59" s="1314">
        <v>99</v>
      </c>
      <c r="J59" s="1314">
        <v>99</v>
      </c>
      <c r="K59" s="1314">
        <v>99</v>
      </c>
      <c r="L59" s="1314">
        <v>98.5</v>
      </c>
      <c r="M59" s="1314">
        <v>98.5</v>
      </c>
      <c r="N59" s="1314"/>
      <c r="O59" s="1512"/>
      <c r="P59" s="1666"/>
      <c r="Q59" s="1410"/>
      <c r="R59" s="1410"/>
      <c r="S59" s="1410"/>
      <c r="T59" s="1410"/>
      <c r="U59" s="1410"/>
      <c r="V59" s="1410"/>
      <c r="W59" s="1410"/>
      <c r="X59" s="1410"/>
      <c r="Y59" s="1410"/>
      <c r="Z59" s="1410"/>
      <c r="AA59" s="1410"/>
      <c r="AB59" s="1410"/>
      <c r="AC59" s="1410"/>
    </row>
    <row r="60" spans="1:29" s="1069" customFormat="1" ht="15.75" thickBot="1">
      <c r="A60" s="1305" t="s">
        <v>2103</v>
      </c>
      <c r="B60" s="1306"/>
      <c r="C60" s="1307"/>
      <c r="D60" s="1308"/>
      <c r="E60" s="1308"/>
      <c r="F60" s="1308"/>
      <c r="G60" s="1308"/>
      <c r="H60" s="1308"/>
      <c r="I60" s="1308"/>
      <c r="J60" s="1308"/>
      <c r="K60" s="1308"/>
      <c r="L60" s="1308"/>
      <c r="M60" s="1356"/>
      <c r="N60" s="1308"/>
      <c r="O60" s="1356"/>
      <c r="P60" s="1666"/>
      <c r="Q60" s="1290"/>
      <c r="R60" s="1410"/>
      <c r="S60" s="1410"/>
      <c r="T60" s="1410"/>
      <c r="U60" s="1410"/>
      <c r="V60" s="1410"/>
      <c r="W60" s="1410"/>
      <c r="X60" s="1410"/>
      <c r="Y60" s="1410"/>
      <c r="Z60" s="1410"/>
      <c r="AA60" s="1410"/>
      <c r="AB60" s="1410"/>
      <c r="AC60" s="1410"/>
    </row>
    <row r="61" spans="1:29" s="1069" customFormat="1" ht="15">
      <c r="A61" s="1309" t="s">
        <v>2065</v>
      </c>
      <c r="B61" s="1310"/>
      <c r="C61" s="1311" t="s">
        <v>2104</v>
      </c>
      <c r="D61" s="1592" t="s">
        <v>3365</v>
      </c>
      <c r="E61" s="1312"/>
      <c r="F61" s="1312"/>
      <c r="G61" s="1312"/>
      <c r="H61" s="1312"/>
      <c r="I61" s="1312"/>
      <c r="J61" s="1312"/>
      <c r="K61" s="1312"/>
      <c r="L61" s="1358"/>
      <c r="M61" s="1359"/>
      <c r="N61" s="1360"/>
      <c r="O61" s="1360"/>
      <c r="P61" s="1667"/>
      <c r="Q61" s="1290"/>
      <c r="R61" s="1410"/>
      <c r="S61" s="1410"/>
      <c r="T61" s="1410"/>
      <c r="U61" s="1410"/>
      <c r="V61" s="1410"/>
      <c r="W61" s="1410"/>
      <c r="X61" s="1410"/>
      <c r="Y61" s="1410"/>
      <c r="Z61" s="1410"/>
      <c r="AA61" s="1410"/>
      <c r="AB61" s="1410"/>
      <c r="AC61" s="1410"/>
    </row>
    <row r="62" spans="1:29" s="1069" customFormat="1" ht="15.75" thickBot="1">
      <c r="A62" s="1309"/>
      <c r="B62" s="1310"/>
      <c r="C62" s="1644">
        <v>100</v>
      </c>
      <c r="D62" s="1314">
        <v>103</v>
      </c>
      <c r="E62" s="1314"/>
      <c r="F62" s="1314"/>
      <c r="G62" s="1314"/>
      <c r="H62" s="1314"/>
      <c r="I62" s="1314"/>
      <c r="J62" s="1314"/>
      <c r="K62" s="1314"/>
      <c r="L62" s="1314"/>
      <c r="M62" s="1362"/>
      <c r="N62" s="1360"/>
      <c r="O62" s="1360"/>
      <c r="P62" s="1666"/>
      <c r="Q62" s="1290"/>
      <c r="R62" s="1410"/>
      <c r="S62" s="1410"/>
      <c r="T62" s="1410"/>
      <c r="U62" s="1410"/>
      <c r="V62" s="1410"/>
      <c r="W62" s="1410"/>
      <c r="X62" s="1410"/>
      <c r="Y62" s="1410"/>
      <c r="Z62" s="1410"/>
      <c r="AA62" s="1410"/>
      <c r="AB62" s="1410"/>
      <c r="AC62" s="1410"/>
    </row>
    <row r="63" spans="1:29">
      <c r="A63" s="1315" t="s">
        <v>2105</v>
      </c>
      <c r="B63" s="1316" t="s">
        <v>2068</v>
      </c>
      <c r="C63" s="1338" t="str">
        <f>C9</f>
        <v>商业</v>
      </c>
      <c r="D63" s="1258"/>
      <c r="E63" s="1258"/>
      <c r="F63" s="1258"/>
      <c r="G63" s="1258"/>
      <c r="H63" s="1258"/>
      <c r="I63" s="1258"/>
      <c r="J63" s="1258"/>
      <c r="K63" s="1363"/>
      <c r="L63" s="1364"/>
      <c r="M63" s="1365"/>
      <c r="N63" s="1366"/>
      <c r="O63" s="1366"/>
      <c r="P63" s="1668"/>
      <c r="Q63" s="1290"/>
      <c r="R63" s="1185"/>
      <c r="S63" s="1185"/>
      <c r="T63" s="1185"/>
      <c r="U63" s="1185"/>
      <c r="V63" s="1185"/>
      <c r="W63" s="1185"/>
      <c r="X63" s="1185"/>
      <c r="Y63" s="1185"/>
      <c r="Z63" s="1185"/>
      <c r="AA63" s="1185"/>
      <c r="AB63" s="1185"/>
      <c r="AC63" s="1185"/>
    </row>
    <row r="64" spans="1:29" ht="15.75" thickBot="1">
      <c r="A64" s="1317"/>
      <c r="B64" s="1318"/>
      <c r="C64" s="1319">
        <v>100</v>
      </c>
      <c r="D64" s="1319"/>
      <c r="E64" s="1319"/>
      <c r="F64" s="1319"/>
      <c r="G64" s="1319"/>
      <c r="H64" s="1319"/>
      <c r="I64" s="1319"/>
      <c r="J64" s="1319"/>
      <c r="K64" s="1319"/>
      <c r="L64" s="1319"/>
      <c r="M64" s="1368"/>
      <c r="N64" s="1369"/>
      <c r="O64" s="1369"/>
      <c r="P64" s="1668"/>
      <c r="Q64" s="1290"/>
      <c r="R64" s="1185"/>
      <c r="S64" s="1185"/>
      <c r="T64" s="1185"/>
      <c r="U64" s="1185"/>
      <c r="V64" s="1185"/>
      <c r="W64" s="1185"/>
      <c r="X64" s="1185"/>
      <c r="Y64" s="1185"/>
      <c r="Z64" s="1185"/>
      <c r="AA64" s="1185"/>
      <c r="AB64" s="1185"/>
      <c r="AC64" s="1185"/>
    </row>
    <row r="65" spans="1:29" ht="27.75" thickTop="1">
      <c r="A65" s="1317"/>
      <c r="B65" s="1320" t="s">
        <v>2071</v>
      </c>
      <c r="C65" s="1345" t="s">
        <v>3347</v>
      </c>
      <c r="D65" s="1345" t="s">
        <v>3348</v>
      </c>
      <c r="E65" s="1345"/>
      <c r="F65" s="1345"/>
      <c r="G65" s="1345"/>
      <c r="H65" s="1345"/>
      <c r="I65" s="1345"/>
      <c r="J65" s="1345"/>
      <c r="K65" s="1396"/>
      <c r="L65" s="1397"/>
      <c r="M65" s="1398"/>
      <c r="N65" s="1366"/>
      <c r="O65" s="1366"/>
      <c r="P65" s="1668"/>
      <c r="Q65" s="1290"/>
      <c r="R65" s="1185"/>
      <c r="S65" s="1185"/>
      <c r="T65" s="1185"/>
      <c r="U65" s="1185"/>
      <c r="V65" s="1185"/>
      <c r="W65" s="1185"/>
      <c r="X65" s="1185"/>
      <c r="Y65" s="1185"/>
      <c r="Z65" s="1185"/>
      <c r="AA65" s="1185"/>
      <c r="AB65" s="1185"/>
      <c r="AC65" s="1185"/>
    </row>
    <row r="66" spans="1:29" ht="15.75" thickBot="1">
      <c r="A66" s="1317"/>
      <c r="B66" s="1322"/>
      <c r="C66" s="1319">
        <v>100</v>
      </c>
      <c r="D66" s="1319">
        <v>102</v>
      </c>
      <c r="E66" s="1319"/>
      <c r="F66" s="1319"/>
      <c r="G66" s="1319"/>
      <c r="H66" s="1319"/>
      <c r="I66" s="1319"/>
      <c r="J66" s="1319"/>
      <c r="K66" s="1319"/>
      <c r="L66" s="1319"/>
      <c r="M66" s="1368"/>
      <c r="N66" s="1369"/>
      <c r="O66" s="1369"/>
      <c r="P66" s="1668"/>
      <c r="Q66" s="1290"/>
      <c r="R66" s="1185"/>
      <c r="S66" s="1185"/>
      <c r="T66" s="1185"/>
      <c r="U66" s="1185"/>
      <c r="V66" s="1185"/>
      <c r="W66" s="1185"/>
      <c r="X66" s="1185"/>
      <c r="Y66" s="1185"/>
      <c r="Z66" s="1185"/>
      <c r="AA66" s="1185"/>
      <c r="AB66" s="1185"/>
      <c r="AC66" s="1185"/>
    </row>
    <row r="67" spans="1:29" ht="15.75" thickTop="1">
      <c r="A67" s="1317"/>
      <c r="B67" s="1324" t="s">
        <v>2072</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8"/>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1668"/>
      <c r="Q68" s="1290"/>
      <c r="R68" s="1185"/>
      <c r="S68" s="1185"/>
      <c r="T68" s="1185"/>
      <c r="U68" s="1185"/>
      <c r="V68" s="1185"/>
      <c r="W68" s="1185"/>
      <c r="X68" s="1185"/>
      <c r="Y68" s="1185"/>
      <c r="Z68" s="1185"/>
      <c r="AA68" s="1185"/>
      <c r="AB68" s="1185"/>
      <c r="AC68" s="1185"/>
    </row>
    <row r="69" spans="1:29" ht="15.75" thickBot="1">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8"/>
      <c r="Q69" s="1290"/>
      <c r="R69" s="1185"/>
      <c r="S69" s="1185"/>
      <c r="T69" s="1185"/>
      <c r="U69" s="1185"/>
      <c r="V69" s="1185"/>
      <c r="W69" s="1185"/>
      <c r="X69" s="1185"/>
      <c r="Y69" s="1185"/>
      <c r="Z69" s="1185"/>
      <c r="AA69" s="1185"/>
      <c r="AB69" s="1185"/>
      <c r="AC69" s="1185"/>
    </row>
    <row r="70" spans="1:29" s="1071" customFormat="1" ht="15.75" thickTop="1">
      <c r="A70" s="1327"/>
      <c r="B70" s="1320">
        <f>B12</f>
        <v>111</v>
      </c>
      <c r="C70" s="1328"/>
      <c r="D70" s="1328"/>
      <c r="E70" s="1328"/>
      <c r="F70" s="1328"/>
      <c r="G70" s="1328"/>
      <c r="H70" s="1329"/>
      <c r="I70" s="1329"/>
      <c r="J70" s="1329"/>
      <c r="K70" s="1329"/>
      <c r="L70" s="1377"/>
      <c r="M70" s="1378"/>
      <c r="N70" s="1379"/>
      <c r="O70" s="1379"/>
      <c r="P70" s="1673"/>
      <c r="Q70" s="1411"/>
      <c r="R70" s="1412"/>
      <c r="S70" s="1412"/>
      <c r="T70" s="1412"/>
      <c r="U70" s="1412"/>
      <c r="V70" s="1412"/>
      <c r="W70" s="1412"/>
      <c r="X70" s="1412"/>
      <c r="Y70" s="1412"/>
      <c r="Z70" s="1412"/>
      <c r="AA70" s="1412"/>
      <c r="AB70" s="1412"/>
      <c r="AC70" s="1412"/>
    </row>
    <row r="71" spans="1:29" s="1071" customFormat="1" ht="15.75" thickBot="1">
      <c r="A71" s="1327"/>
      <c r="B71" s="1322"/>
      <c r="C71" s="1330"/>
      <c r="D71" s="1319"/>
      <c r="E71" s="1319"/>
      <c r="F71" s="1319"/>
      <c r="G71" s="1319"/>
      <c r="H71" s="1319"/>
      <c r="I71" s="1319"/>
      <c r="J71" s="1319"/>
      <c r="K71" s="1319"/>
      <c r="L71" s="1319"/>
      <c r="M71" s="1368"/>
      <c r="N71" s="1369"/>
      <c r="O71" s="1369"/>
      <c r="P71" s="1673"/>
      <c r="Q71" s="1411"/>
      <c r="R71" s="1412"/>
      <c r="S71" s="1412"/>
      <c r="T71" s="1412"/>
      <c r="U71" s="1412"/>
      <c r="V71" s="1412"/>
      <c r="W71" s="1412"/>
      <c r="X71" s="1412"/>
      <c r="Y71" s="1412"/>
      <c r="Z71" s="1412"/>
      <c r="AA71" s="1412"/>
      <c r="AB71" s="1412"/>
      <c r="AC71" s="1412"/>
    </row>
    <row r="72" spans="1:29" s="1071" customFormat="1" ht="15.75" thickTop="1">
      <c r="A72" s="1327"/>
      <c r="B72" s="1320">
        <f>B13</f>
        <v>111</v>
      </c>
      <c r="C72" s="1328"/>
      <c r="D72" s="1328"/>
      <c r="E72" s="1328"/>
      <c r="F72" s="1328"/>
      <c r="G72" s="1328"/>
      <c r="H72" s="1329"/>
      <c r="I72" s="1329"/>
      <c r="J72" s="1329"/>
      <c r="K72" s="1329"/>
      <c r="L72" s="1377"/>
      <c r="M72" s="1378"/>
      <c r="N72" s="1379"/>
      <c r="O72" s="1379"/>
      <c r="P72" s="1674"/>
      <c r="Q72" s="1413"/>
      <c r="R72" s="1412"/>
      <c r="S72" s="1412"/>
      <c r="T72" s="1412"/>
      <c r="U72" s="1412"/>
      <c r="V72" s="1412"/>
      <c r="W72" s="1412"/>
      <c r="X72" s="1412"/>
      <c r="Y72" s="1412"/>
      <c r="Z72" s="1412"/>
      <c r="AA72" s="1412"/>
      <c r="AB72" s="1412"/>
      <c r="AC72" s="1412"/>
    </row>
    <row r="73" spans="1:29" s="1071" customFormat="1" ht="15.75" thickBot="1">
      <c r="A73" s="1327"/>
      <c r="B73" s="1322"/>
      <c r="C73" s="1330"/>
      <c r="D73" s="1319"/>
      <c r="E73" s="1319"/>
      <c r="F73" s="1319"/>
      <c r="G73" s="1330"/>
      <c r="H73" s="1331"/>
      <c r="I73" s="1331"/>
      <c r="J73" s="1331"/>
      <c r="K73" s="1331"/>
      <c r="L73" s="1331"/>
      <c r="M73" s="1381"/>
      <c r="N73" s="1379"/>
      <c r="O73" s="1379"/>
      <c r="P73" s="1673"/>
      <c r="Q73" s="1411"/>
      <c r="R73" s="1412"/>
      <c r="S73" s="1412"/>
      <c r="T73" s="1412"/>
      <c r="U73" s="1412"/>
      <c r="V73" s="1412"/>
      <c r="W73" s="1412"/>
      <c r="X73" s="1412"/>
      <c r="Y73" s="1412"/>
      <c r="Z73" s="1412"/>
      <c r="AA73" s="1412"/>
      <c r="AB73" s="1412"/>
      <c r="AC73" s="1412"/>
    </row>
    <row r="74" spans="1:29" s="1071" customFormat="1" ht="15.75" thickTop="1">
      <c r="A74" s="1327"/>
      <c r="B74" s="1324">
        <f>B14</f>
        <v>111</v>
      </c>
      <c r="C74" s="1328"/>
      <c r="D74" s="1328"/>
      <c r="E74" s="1328"/>
      <c r="F74" s="1328"/>
      <c r="G74" s="1312"/>
      <c r="H74" s="1332"/>
      <c r="I74" s="1332"/>
      <c r="J74" s="1332"/>
      <c r="K74" s="1332"/>
      <c r="L74" s="1382"/>
      <c r="M74" s="1383"/>
      <c r="N74" s="1379"/>
      <c r="O74" s="1379"/>
      <c r="P74" s="1675"/>
      <c r="Q74" s="1411"/>
      <c r="R74" s="1412"/>
      <c r="S74" s="1412"/>
      <c r="T74" s="1412"/>
      <c r="U74" s="1412"/>
      <c r="V74" s="1412"/>
      <c r="W74" s="1412"/>
      <c r="X74" s="1412"/>
      <c r="Y74" s="1412"/>
      <c r="Z74" s="1412"/>
      <c r="AA74" s="1412"/>
      <c r="AB74" s="1412"/>
      <c r="AC74" s="1412"/>
    </row>
    <row r="75" spans="1:29" s="1071" customFormat="1" ht="15.75" thickBot="1">
      <c r="A75" s="1333"/>
      <c r="B75" s="1334"/>
      <c r="C75" s="1335"/>
      <c r="D75" s="1335"/>
      <c r="E75" s="1335"/>
      <c r="F75" s="1335"/>
      <c r="G75" s="1335"/>
      <c r="H75" s="1336"/>
      <c r="I75" s="1336"/>
      <c r="J75" s="1336"/>
      <c r="K75" s="1336"/>
      <c r="L75" s="1336"/>
      <c r="M75" s="1385"/>
      <c r="N75" s="1379"/>
      <c r="O75" s="1379"/>
      <c r="P75" s="1673"/>
      <c r="Q75" s="1411"/>
      <c r="R75" s="1412"/>
      <c r="S75" s="1412"/>
      <c r="T75" s="1412"/>
      <c r="U75" s="1412"/>
      <c r="V75" s="1412"/>
      <c r="W75" s="1412"/>
      <c r="X75" s="1412"/>
      <c r="Y75" s="1412"/>
      <c r="Z75" s="1412"/>
      <c r="AA75" s="1412"/>
      <c r="AB75" s="1412"/>
      <c r="AC75" s="1412"/>
    </row>
    <row r="76" spans="1:29">
      <c r="A76" s="1315" t="s">
        <v>2073</v>
      </c>
      <c r="B76" s="1316" t="s">
        <v>2074</v>
      </c>
      <c r="C76" s="1337" t="s">
        <v>2106</v>
      </c>
      <c r="D76" s="1337" t="s">
        <v>2107</v>
      </c>
      <c r="E76" s="1337" t="s">
        <v>2108</v>
      </c>
      <c r="F76" s="1337" t="s">
        <v>2109</v>
      </c>
      <c r="G76" s="1337" t="s">
        <v>2110</v>
      </c>
      <c r="H76" s="1338"/>
      <c r="I76" s="1338"/>
      <c r="J76" s="1338"/>
      <c r="K76" s="1386"/>
      <c r="L76" s="1387"/>
      <c r="M76" s="1388"/>
      <c r="N76" s="1366"/>
      <c r="O76" s="1366"/>
      <c r="P76" s="1676"/>
      <c r="Q76" s="1290"/>
      <c r="R76" s="1185"/>
      <c r="S76" s="1185"/>
      <c r="T76" s="1185"/>
      <c r="U76" s="1185"/>
      <c r="V76" s="1185"/>
      <c r="W76" s="1185"/>
      <c r="X76" s="1185"/>
      <c r="Y76" s="1185"/>
      <c r="Z76" s="1185"/>
      <c r="AA76" s="1185"/>
      <c r="AB76" s="1185"/>
      <c r="AC76" s="1185"/>
    </row>
    <row r="77" spans="1:29" ht="15.75" thickBot="1">
      <c r="A77" s="1317"/>
      <c r="B77" s="1322"/>
      <c r="C77" s="1323">
        <v>100</v>
      </c>
      <c r="D77" s="1323">
        <f>C77-$K15</f>
        <v>96</v>
      </c>
      <c r="E77" s="1323">
        <f>D77-$K15</f>
        <v>92</v>
      </c>
      <c r="F77" s="1323">
        <f>E77-$K15</f>
        <v>88</v>
      </c>
      <c r="G77" s="1323">
        <f>F77-$K15</f>
        <v>84</v>
      </c>
      <c r="H77" s="1323"/>
      <c r="I77" s="1323"/>
      <c r="J77" s="1323"/>
      <c r="K77" s="1323"/>
      <c r="L77" s="1323"/>
      <c r="M77" s="1373"/>
      <c r="N77" s="1369"/>
      <c r="O77" s="1369"/>
      <c r="P77" s="1668"/>
      <c r="Q77" s="1290"/>
      <c r="R77" s="1185"/>
      <c r="S77" s="1185"/>
      <c r="T77" s="1185"/>
      <c r="U77" s="1185"/>
      <c r="V77" s="1185"/>
      <c r="W77" s="1185"/>
      <c r="X77" s="1185"/>
      <c r="Y77" s="1185"/>
      <c r="Z77" s="1185"/>
      <c r="AA77" s="1185"/>
      <c r="AB77" s="1185"/>
      <c r="AC77" s="1185"/>
    </row>
    <row r="78" spans="1:29" ht="15.75" thickTop="1">
      <c r="A78" s="1317"/>
      <c r="B78" s="1320" t="s">
        <v>2076</v>
      </c>
      <c r="C78" s="1339" t="s">
        <v>2106</v>
      </c>
      <c r="D78" s="1339" t="s">
        <v>2107</v>
      </c>
      <c r="E78" s="1339" t="s">
        <v>2108</v>
      </c>
      <c r="F78" s="1339" t="s">
        <v>2109</v>
      </c>
      <c r="G78" s="1339" t="s">
        <v>2110</v>
      </c>
      <c r="H78" s="1321"/>
      <c r="I78" s="1321"/>
      <c r="J78" s="1321"/>
      <c r="K78" s="1370"/>
      <c r="L78" s="1371"/>
      <c r="M78" s="1372"/>
      <c r="N78" s="1366"/>
      <c r="O78" s="1366"/>
      <c r="P78" s="1668"/>
      <c r="Q78" s="1290"/>
      <c r="R78" s="1185"/>
      <c r="S78" s="1185"/>
      <c r="T78" s="1185"/>
      <c r="U78" s="1185"/>
      <c r="V78" s="1185"/>
      <c r="W78" s="1185"/>
      <c r="X78" s="1185"/>
      <c r="Y78" s="1185"/>
      <c r="Z78" s="1185"/>
      <c r="AA78" s="1185"/>
      <c r="AB78" s="1185"/>
      <c r="AC78" s="1185"/>
    </row>
    <row r="79" spans="1:29" ht="15.75" thickBot="1">
      <c r="A79" s="1317"/>
      <c r="B79" s="1322"/>
      <c r="C79" s="1323">
        <v>100</v>
      </c>
      <c r="D79" s="1323">
        <f>C79-$K17</f>
        <v>98</v>
      </c>
      <c r="E79" s="1323">
        <f>D79-$K17</f>
        <v>96</v>
      </c>
      <c r="F79" s="1323">
        <f>E79-$K17</f>
        <v>94</v>
      </c>
      <c r="G79" s="1323">
        <f>F79-$K17</f>
        <v>92</v>
      </c>
      <c r="H79" s="1323"/>
      <c r="I79" s="1323"/>
      <c r="J79" s="1323"/>
      <c r="K79" s="1323"/>
      <c r="L79" s="1323"/>
      <c r="M79" s="1373"/>
      <c r="N79" s="1369"/>
      <c r="O79" s="1369"/>
      <c r="P79" s="1668"/>
      <c r="Q79" s="1290"/>
      <c r="R79" s="1185"/>
      <c r="S79" s="1185"/>
      <c r="T79" s="1185"/>
      <c r="U79" s="1185"/>
      <c r="V79" s="1185"/>
      <c r="W79" s="1185"/>
      <c r="X79" s="1185"/>
      <c r="Y79" s="1185"/>
      <c r="Z79" s="1185"/>
      <c r="AA79" s="1185"/>
      <c r="AB79" s="1185"/>
      <c r="AC79" s="1185"/>
    </row>
    <row r="80" spans="1:29" ht="15.75" thickTop="1">
      <c r="A80" s="1317"/>
      <c r="B80" s="1320" t="s">
        <v>2077</v>
      </c>
      <c r="C80" s="1339" t="s">
        <v>2106</v>
      </c>
      <c r="D80" s="1339" t="s">
        <v>2107</v>
      </c>
      <c r="E80" s="1339" t="s">
        <v>2108</v>
      </c>
      <c r="F80" s="1339" t="s">
        <v>2109</v>
      </c>
      <c r="G80" s="1339" t="s">
        <v>2110</v>
      </c>
      <c r="H80" s="1321"/>
      <c r="I80" s="1321"/>
      <c r="J80" s="1321"/>
      <c r="K80" s="1370"/>
      <c r="L80" s="1371"/>
      <c r="M80" s="1372"/>
      <c r="N80" s="1366"/>
      <c r="O80" s="1366"/>
      <c r="P80" s="1668"/>
      <c r="Q80" s="1290"/>
      <c r="R80" s="1185"/>
      <c r="S80" s="1185"/>
      <c r="T80" s="1185"/>
      <c r="U80" s="1185"/>
      <c r="V80" s="1185"/>
      <c r="W80" s="1185"/>
      <c r="X80" s="1185"/>
      <c r="Y80" s="1185"/>
      <c r="Z80" s="1185"/>
      <c r="AA80" s="1185"/>
      <c r="AB80" s="1185"/>
      <c r="AC80" s="1185"/>
    </row>
    <row r="81" spans="1:29" ht="15.75" thickBot="1">
      <c r="A81" s="1317"/>
      <c r="B81" s="1322"/>
      <c r="C81" s="1323">
        <v>100</v>
      </c>
      <c r="D81" s="1323">
        <f>C81-$K19</f>
        <v>98</v>
      </c>
      <c r="E81" s="1323">
        <f>D81-$K19</f>
        <v>96</v>
      </c>
      <c r="F81" s="1323">
        <f>E81-$K19</f>
        <v>94</v>
      </c>
      <c r="G81" s="1323">
        <f>F81-$K19</f>
        <v>92</v>
      </c>
      <c r="H81" s="1323"/>
      <c r="I81" s="1323"/>
      <c r="J81" s="1323"/>
      <c r="K81" s="1323"/>
      <c r="L81" s="1323"/>
      <c r="M81" s="1373"/>
      <c r="N81" s="1369"/>
      <c r="O81" s="1369"/>
      <c r="P81" s="1668"/>
      <c r="Q81" s="1290"/>
      <c r="R81" s="1185"/>
      <c r="S81" s="1185"/>
      <c r="T81" s="1185"/>
      <c r="U81" s="1185"/>
      <c r="V81" s="1185"/>
      <c r="W81" s="1185"/>
      <c r="X81" s="1185"/>
      <c r="Y81" s="1185"/>
      <c r="Z81" s="1185"/>
      <c r="AA81" s="1185"/>
      <c r="AB81" s="1185"/>
      <c r="AC81" s="1185"/>
    </row>
    <row r="82" spans="1:29" ht="15.75" thickTop="1">
      <c r="A82" s="1317"/>
      <c r="B82" s="1324" t="s">
        <v>2078</v>
      </c>
      <c r="C82" s="1344" t="s">
        <v>2111</v>
      </c>
      <c r="D82" s="1344" t="s">
        <v>2112</v>
      </c>
      <c r="E82" s="1344" t="s">
        <v>2113</v>
      </c>
      <c r="F82" s="1344" t="s">
        <v>2114</v>
      </c>
      <c r="G82" s="1344" t="s">
        <v>2115</v>
      </c>
      <c r="H82" s="1321"/>
      <c r="I82" s="1321"/>
      <c r="J82" s="1321"/>
      <c r="K82" s="1321"/>
      <c r="L82" s="1321"/>
      <c r="M82" s="1517"/>
      <c r="N82" s="1369"/>
      <c r="O82" s="1369"/>
      <c r="P82" s="1668"/>
      <c r="Q82" s="1290"/>
      <c r="R82" s="1185"/>
      <c r="S82" s="1185"/>
      <c r="T82" s="1185"/>
      <c r="U82" s="1185"/>
      <c r="V82" s="1185"/>
      <c r="W82" s="1185"/>
      <c r="X82" s="1185"/>
      <c r="Y82" s="1185"/>
      <c r="Z82" s="1185"/>
      <c r="AA82" s="1185"/>
      <c r="AB82" s="1185"/>
      <c r="AC82" s="1185"/>
    </row>
    <row r="83" spans="1:29" ht="15.75" thickBot="1">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68"/>
      <c r="Q83" s="1290"/>
      <c r="R83" s="1185"/>
      <c r="S83" s="1185"/>
      <c r="T83" s="1185"/>
      <c r="U83" s="1185"/>
      <c r="V83" s="1185"/>
      <c r="W83" s="1185"/>
      <c r="X83" s="1185"/>
      <c r="Y83" s="1185"/>
      <c r="Z83" s="1185"/>
      <c r="AA83" s="1185"/>
      <c r="AB83" s="1185"/>
      <c r="AC83" s="1185"/>
    </row>
    <row r="84" spans="1:29" ht="15.75" thickTop="1">
      <c r="A84" s="1317"/>
      <c r="B84" s="1320" t="s">
        <v>2079</v>
      </c>
      <c r="C84" s="1339" t="s">
        <v>2106</v>
      </c>
      <c r="D84" s="1339" t="s">
        <v>2107</v>
      </c>
      <c r="E84" s="1339" t="s">
        <v>2108</v>
      </c>
      <c r="F84" s="1339" t="s">
        <v>2109</v>
      </c>
      <c r="G84" s="1339" t="s">
        <v>2110</v>
      </c>
      <c r="H84" s="1321"/>
      <c r="I84" s="1321"/>
      <c r="J84" s="1321"/>
      <c r="K84" s="1370"/>
      <c r="L84" s="1371"/>
      <c r="M84" s="1372"/>
      <c r="N84" s="1366"/>
      <c r="O84" s="1366"/>
      <c r="P84" s="1668"/>
      <c r="Q84" s="1290"/>
      <c r="R84" s="1185"/>
      <c r="S84" s="1185"/>
      <c r="T84" s="1185"/>
      <c r="U84" s="1185"/>
      <c r="V84" s="1185"/>
      <c r="W84" s="1185"/>
      <c r="X84" s="1185"/>
      <c r="Y84" s="1185"/>
      <c r="Z84" s="1185"/>
      <c r="AA84" s="1185"/>
      <c r="AB84" s="1185"/>
      <c r="AC84" s="1185"/>
    </row>
    <row r="85" spans="1:29" ht="15.75" thickBot="1">
      <c r="A85" s="1317"/>
      <c r="B85" s="1322"/>
      <c r="C85" s="1323">
        <v>100</v>
      </c>
      <c r="D85" s="1323">
        <f>C85-$K23</f>
        <v>98</v>
      </c>
      <c r="E85" s="1323">
        <f>D85-$K23</f>
        <v>96</v>
      </c>
      <c r="F85" s="1323">
        <f>E85-$K23</f>
        <v>94</v>
      </c>
      <c r="G85" s="1323">
        <f>F85-$K23</f>
        <v>92</v>
      </c>
      <c r="H85" s="1323"/>
      <c r="I85" s="1323"/>
      <c r="J85" s="1323"/>
      <c r="K85" s="1323"/>
      <c r="L85" s="1323"/>
      <c r="M85" s="1373"/>
      <c r="N85" s="1369"/>
      <c r="O85" s="1369"/>
      <c r="P85" s="1668"/>
      <c r="Q85" s="1290"/>
      <c r="R85" s="1185"/>
      <c r="S85" s="1185"/>
      <c r="T85" s="1185"/>
      <c r="U85" s="1185"/>
      <c r="V85" s="1185"/>
      <c r="W85" s="1185"/>
      <c r="X85" s="1185"/>
      <c r="Y85" s="1185"/>
      <c r="Z85" s="1185"/>
      <c r="AA85" s="1185"/>
      <c r="AB85" s="1185"/>
      <c r="AC85" s="1185"/>
    </row>
    <row r="86" spans="1:29" s="1069" customFormat="1" ht="15.75" thickTop="1">
      <c r="A86" s="1340"/>
      <c r="B86" s="1320" t="s">
        <v>2138</v>
      </c>
      <c r="C86" s="1627" t="s">
        <v>3349</v>
      </c>
      <c r="D86" s="1627" t="s">
        <v>3350</v>
      </c>
      <c r="E86" s="1627" t="s">
        <v>3351</v>
      </c>
      <c r="F86" s="1627" t="s">
        <v>3352</v>
      </c>
      <c r="G86" s="1328"/>
      <c r="H86" s="1328"/>
      <c r="I86" s="1328"/>
      <c r="J86" s="1328"/>
      <c r="K86" s="1328"/>
      <c r="L86" s="1518"/>
      <c r="M86" s="1519"/>
      <c r="N86" s="1360"/>
      <c r="O86" s="1360"/>
      <c r="P86" s="1668"/>
      <c r="Q86" s="1290"/>
      <c r="R86" s="1410"/>
      <c r="S86" s="1410"/>
      <c r="T86" s="1410"/>
      <c r="U86" s="1410"/>
      <c r="V86" s="1410"/>
      <c r="W86" s="1410"/>
      <c r="X86" s="1410"/>
      <c r="Y86" s="1410"/>
      <c r="Z86" s="1410"/>
      <c r="AA86" s="1410"/>
      <c r="AB86" s="1410"/>
      <c r="AC86" s="1410"/>
    </row>
    <row r="87" spans="1:29" s="1069" customFormat="1" ht="15.75" thickBot="1">
      <c r="A87" s="1340"/>
      <c r="B87" s="1322"/>
      <c r="C87" s="1341">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69"/>
      <c r="O87" s="1369"/>
      <c r="P87" s="1668"/>
      <c r="Q87" s="1290"/>
      <c r="R87" s="1410"/>
      <c r="S87" s="1410"/>
      <c r="T87" s="1410"/>
      <c r="U87" s="1410"/>
      <c r="V87" s="1410"/>
      <c r="W87" s="1410"/>
      <c r="X87" s="1410"/>
      <c r="Y87" s="1410"/>
      <c r="Z87" s="1410"/>
      <c r="AA87" s="1410"/>
      <c r="AB87" s="1410"/>
      <c r="AC87" s="1410"/>
    </row>
    <row r="88" spans="1:29" s="1069" customFormat="1" ht="15.75" thickTop="1">
      <c r="A88" s="1340"/>
      <c r="B88" s="1320" t="str">
        <f>B26</f>
        <v>平面位置/可视性</v>
      </c>
      <c r="C88" s="3572" t="s">
        <v>3374</v>
      </c>
      <c r="D88" s="3572" t="s">
        <v>3375</v>
      </c>
      <c r="E88" s="3572" t="s">
        <v>3376</v>
      </c>
      <c r="F88" s="3572" t="s">
        <v>3377</v>
      </c>
      <c r="G88" s="3572" t="s">
        <v>3378</v>
      </c>
      <c r="H88" s="1328"/>
      <c r="I88" s="1328"/>
      <c r="J88" s="1328"/>
      <c r="K88" s="1328"/>
      <c r="L88" s="1328"/>
      <c r="M88" s="1519"/>
      <c r="N88" s="1360"/>
      <c r="O88" s="1360"/>
      <c r="P88" s="1668"/>
      <c r="Q88" s="1290"/>
      <c r="R88" s="1410"/>
      <c r="S88" s="1410"/>
      <c r="T88" s="1410"/>
      <c r="U88" s="1410"/>
      <c r="V88" s="1410"/>
      <c r="W88" s="1410"/>
      <c r="X88" s="1410"/>
      <c r="Y88" s="1410"/>
      <c r="Z88" s="1410"/>
      <c r="AA88" s="1410"/>
      <c r="AB88" s="1410"/>
      <c r="AC88" s="1410"/>
    </row>
    <row r="89" spans="1:29" s="1069" customFormat="1" ht="15.75" thickBot="1">
      <c r="A89" s="1340"/>
      <c r="B89" s="1322"/>
      <c r="C89" s="1330">
        <v>100</v>
      </c>
      <c r="D89" s="1319">
        <f>C89-2</f>
        <v>98</v>
      </c>
      <c r="E89" s="1319">
        <f t="shared" ref="E89:G89" si="21">D89-2</f>
        <v>96</v>
      </c>
      <c r="F89" s="1319">
        <f t="shared" si="21"/>
        <v>94</v>
      </c>
      <c r="G89" s="1319">
        <f t="shared" si="21"/>
        <v>92</v>
      </c>
      <c r="H89" s="1319"/>
      <c r="I89" s="1319"/>
      <c r="J89" s="1319"/>
      <c r="K89" s="1319"/>
      <c r="L89" s="1319"/>
      <c r="M89" s="1319"/>
      <c r="N89" s="1369"/>
      <c r="O89" s="1369"/>
      <c r="P89" s="1668"/>
      <c r="Q89" s="1290"/>
      <c r="R89" s="1410"/>
      <c r="S89" s="1410"/>
      <c r="T89" s="1410"/>
      <c r="U89" s="1410"/>
      <c r="V89" s="1410"/>
      <c r="W89" s="1410"/>
      <c r="X89" s="1410"/>
      <c r="Y89" s="1410"/>
      <c r="Z89" s="1410"/>
      <c r="AA89" s="1410"/>
      <c r="AB89" s="1410"/>
      <c r="AC89" s="1410"/>
    </row>
    <row r="90" spans="1:29" s="1071" customFormat="1" ht="15.75" thickTop="1">
      <c r="A90" s="1327"/>
      <c r="B90" s="1320" t="str">
        <f>B27</f>
        <v>人流量</v>
      </c>
      <c r="C90" s="1627" t="s">
        <v>3369</v>
      </c>
      <c r="D90" s="1627" t="s">
        <v>3370</v>
      </c>
      <c r="E90" s="1627" t="s">
        <v>3371</v>
      </c>
      <c r="F90" s="1627" t="s">
        <v>3372</v>
      </c>
      <c r="G90" s="1627" t="s">
        <v>3373</v>
      </c>
      <c r="H90" s="1329"/>
      <c r="I90" s="1329"/>
      <c r="J90" s="1329"/>
      <c r="K90" s="1329"/>
      <c r="L90" s="1377"/>
      <c r="M90" s="1378"/>
      <c r="N90" s="1379"/>
      <c r="O90" s="1379"/>
      <c r="P90" s="1673"/>
      <c r="Q90" s="1411"/>
      <c r="R90" s="1412"/>
      <c r="S90" s="1412"/>
      <c r="T90" s="1412"/>
      <c r="U90" s="1412"/>
      <c r="V90" s="1412"/>
      <c r="W90" s="1412"/>
      <c r="X90" s="1412"/>
      <c r="Y90" s="1412"/>
      <c r="Z90" s="1412"/>
      <c r="AA90" s="1412"/>
      <c r="AB90" s="1412"/>
      <c r="AC90" s="1412"/>
    </row>
    <row r="91" spans="1:29" s="1071" customFormat="1" ht="15.75" thickBot="1">
      <c r="A91" s="1327"/>
      <c r="B91" s="1322"/>
      <c r="C91" s="1341">
        <v>100</v>
      </c>
      <c r="D91" s="1323">
        <f>C91-$K27</f>
        <v>95</v>
      </c>
      <c r="E91" s="1323">
        <f t="shared" ref="E91:M91" si="22">D91-$K27</f>
        <v>90</v>
      </c>
      <c r="F91" s="1323">
        <f t="shared" si="22"/>
        <v>85</v>
      </c>
      <c r="G91" s="1323">
        <f t="shared" si="22"/>
        <v>80</v>
      </c>
      <c r="H91" s="1323">
        <f t="shared" si="22"/>
        <v>75</v>
      </c>
      <c r="I91" s="1323">
        <f t="shared" si="22"/>
        <v>70</v>
      </c>
      <c r="J91" s="1323">
        <f t="shared" si="22"/>
        <v>65</v>
      </c>
      <c r="K91" s="1323">
        <f t="shared" si="22"/>
        <v>60</v>
      </c>
      <c r="L91" s="1323">
        <f t="shared" si="22"/>
        <v>55</v>
      </c>
      <c r="M91" s="1323">
        <f t="shared" si="22"/>
        <v>50</v>
      </c>
      <c r="N91" s="1379"/>
      <c r="O91" s="1379"/>
      <c r="P91" s="1673"/>
      <c r="Q91" s="1411"/>
      <c r="R91" s="1412"/>
      <c r="S91" s="1412"/>
      <c r="T91" s="1412"/>
      <c r="U91" s="1412"/>
      <c r="V91" s="1412"/>
      <c r="W91" s="1412"/>
      <c r="X91" s="1412"/>
      <c r="Y91" s="1412"/>
      <c r="Z91" s="1412"/>
      <c r="AA91" s="1412"/>
      <c r="AB91" s="1412"/>
      <c r="AC91" s="1412"/>
    </row>
    <row r="92" spans="1:29" ht="15.75" thickTop="1">
      <c r="A92" s="1317"/>
      <c r="B92" s="1320" t="str">
        <f>B28</f>
        <v>楼层</v>
      </c>
      <c r="C92" s="1328">
        <v>1</v>
      </c>
      <c r="D92" s="3573" t="s">
        <v>3380</v>
      </c>
      <c r="E92" s="1328"/>
      <c r="F92" s="1328"/>
      <c r="G92" s="1328"/>
      <c r="H92" s="1328"/>
      <c r="I92" s="1328"/>
      <c r="J92" s="1328"/>
      <c r="K92" s="1328"/>
      <c r="L92" s="1518"/>
      <c r="M92" s="1519"/>
      <c r="N92" s="1366"/>
      <c r="O92" s="1366"/>
      <c r="P92" s="1668"/>
      <c r="Q92" s="1290"/>
      <c r="R92" s="1185"/>
      <c r="S92" s="1185"/>
      <c r="T92" s="1185"/>
      <c r="U92" s="1185"/>
      <c r="V92" s="1185"/>
      <c r="W92" s="1185"/>
      <c r="X92" s="1185"/>
      <c r="Y92" s="1185"/>
      <c r="Z92" s="1185"/>
      <c r="AA92" s="1185"/>
      <c r="AB92" s="1185"/>
      <c r="AC92" s="1185"/>
    </row>
    <row r="93" spans="1:29" ht="15.75" thickBot="1">
      <c r="A93" s="1317"/>
      <c r="B93" s="1322"/>
      <c r="C93" s="1319">
        <v>100</v>
      </c>
      <c r="D93" s="1319">
        <v>85</v>
      </c>
      <c r="E93" s="1319"/>
      <c r="F93" s="1319"/>
      <c r="G93" s="1319"/>
      <c r="H93" s="1319"/>
      <c r="I93" s="1319"/>
      <c r="J93" s="1319"/>
      <c r="K93" s="1319"/>
      <c r="L93" s="1319"/>
      <c r="M93" s="1368"/>
      <c r="N93" s="1369"/>
      <c r="O93" s="1369"/>
      <c r="P93" s="1668"/>
      <c r="Q93" s="1290"/>
      <c r="R93" s="1185"/>
      <c r="S93" s="1185"/>
      <c r="T93" s="1185"/>
      <c r="U93" s="1185"/>
      <c r="V93" s="1185"/>
      <c r="W93" s="1185"/>
      <c r="X93" s="1185"/>
      <c r="Y93" s="1185"/>
      <c r="Z93" s="1185"/>
      <c r="AA93" s="1185"/>
      <c r="AB93" s="1185"/>
      <c r="AC93" s="1185"/>
    </row>
    <row r="94" spans="1:29" ht="15.75" thickTop="1">
      <c r="A94" s="1317"/>
      <c r="B94" s="1320">
        <f>B29</f>
        <v>111</v>
      </c>
      <c r="C94" s="1328"/>
      <c r="D94" s="1328"/>
      <c r="E94" s="1328"/>
      <c r="F94" s="1328"/>
      <c r="G94" s="1345"/>
      <c r="H94" s="1345"/>
      <c r="I94" s="1345"/>
      <c r="J94" s="1345"/>
      <c r="K94" s="1396"/>
      <c r="L94" s="1397"/>
      <c r="M94" s="1398"/>
      <c r="N94" s="1366"/>
      <c r="O94" s="1366"/>
      <c r="P94" s="1668"/>
      <c r="Q94" s="1290"/>
      <c r="R94" s="1185"/>
      <c r="S94" s="1185"/>
      <c r="T94" s="1185"/>
      <c r="U94" s="1185"/>
      <c r="V94" s="1185"/>
      <c r="W94" s="1185"/>
      <c r="X94" s="1185"/>
      <c r="Y94" s="1185"/>
      <c r="Z94" s="1185"/>
      <c r="AA94" s="1185"/>
      <c r="AB94" s="1185"/>
      <c r="AC94" s="1185"/>
    </row>
    <row r="95" spans="1:29" ht="15.75" thickBot="1">
      <c r="A95" s="1317"/>
      <c r="B95" s="1322"/>
      <c r="C95" s="1330"/>
      <c r="D95" s="1319"/>
      <c r="E95" s="1319"/>
      <c r="F95" s="1319"/>
      <c r="G95" s="1319"/>
      <c r="H95" s="1319"/>
      <c r="I95" s="1319"/>
      <c r="J95" s="1319"/>
      <c r="K95" s="1319"/>
      <c r="L95" s="1319"/>
      <c r="M95" s="1368"/>
      <c r="N95" s="1369"/>
      <c r="O95" s="1369"/>
      <c r="P95" s="1668"/>
      <c r="Q95" s="1290"/>
      <c r="R95" s="1185"/>
      <c r="S95" s="1185"/>
      <c r="T95" s="1185"/>
      <c r="U95" s="1185"/>
      <c r="V95" s="1185"/>
      <c r="W95" s="1185"/>
      <c r="X95" s="1185"/>
      <c r="Y95" s="1185"/>
      <c r="Z95" s="1185"/>
      <c r="AA95" s="1185"/>
      <c r="AB95" s="1185"/>
      <c r="AC95" s="1185"/>
    </row>
    <row r="96" spans="1:29" ht="15.75" thickTop="1">
      <c r="A96" s="1317"/>
      <c r="B96" s="1320">
        <f>B30</f>
        <v>111</v>
      </c>
      <c r="C96" s="1328"/>
      <c r="D96" s="1328"/>
      <c r="E96" s="1328"/>
      <c r="F96" s="1328"/>
      <c r="G96" s="1345"/>
      <c r="H96" s="1345"/>
      <c r="I96" s="1345"/>
      <c r="J96" s="1345"/>
      <c r="K96" s="1396"/>
      <c r="L96" s="1397"/>
      <c r="M96" s="1398"/>
      <c r="N96" s="1366"/>
      <c r="O96" s="1366"/>
      <c r="P96" s="1668"/>
      <c r="Q96" s="1290"/>
      <c r="R96" s="1185"/>
      <c r="S96" s="1185"/>
      <c r="T96" s="1185"/>
      <c r="U96" s="1185"/>
      <c r="V96" s="1185"/>
      <c r="W96" s="1185"/>
      <c r="X96" s="1185"/>
      <c r="Y96" s="1185"/>
      <c r="Z96" s="1185"/>
      <c r="AA96" s="1185"/>
      <c r="AB96" s="1185"/>
      <c r="AC96" s="1185"/>
    </row>
    <row r="97" spans="1:29" ht="15.75" thickBot="1">
      <c r="A97" s="1317"/>
      <c r="B97" s="1322"/>
      <c r="C97" s="1330"/>
      <c r="D97" s="1319"/>
      <c r="E97" s="1319"/>
      <c r="F97" s="1319"/>
      <c r="G97" s="1319"/>
      <c r="H97" s="1319"/>
      <c r="I97" s="1319"/>
      <c r="J97" s="1319"/>
      <c r="K97" s="1319"/>
      <c r="L97" s="1319"/>
      <c r="M97" s="1368"/>
      <c r="N97" s="1369"/>
      <c r="O97" s="1369"/>
      <c r="P97" s="1668"/>
      <c r="Q97" s="1290"/>
      <c r="R97" s="1185"/>
      <c r="S97" s="1185"/>
      <c r="T97" s="1185"/>
      <c r="U97" s="1185"/>
      <c r="V97" s="1185"/>
      <c r="W97" s="1185"/>
      <c r="X97" s="1185"/>
      <c r="Y97" s="1185"/>
      <c r="Z97" s="1185"/>
      <c r="AA97" s="1185"/>
      <c r="AB97" s="1185"/>
      <c r="AC97" s="1185"/>
    </row>
    <row r="98" spans="1:29" ht="15.75" thickTop="1">
      <c r="A98" s="1317"/>
      <c r="B98" s="1324">
        <f>B31</f>
        <v>111</v>
      </c>
      <c r="C98" s="1328"/>
      <c r="D98" s="1328"/>
      <c r="E98" s="1328"/>
      <c r="F98" s="1328"/>
      <c r="G98" s="1346"/>
      <c r="H98" s="1346"/>
      <c r="I98" s="1346"/>
      <c r="J98" s="1346"/>
      <c r="K98" s="1399"/>
      <c r="L98" s="1400"/>
      <c r="M98" s="1401"/>
      <c r="N98" s="1366"/>
      <c r="O98" s="1366"/>
      <c r="P98" s="1668"/>
      <c r="Q98" s="1290"/>
      <c r="R98" s="1185"/>
      <c r="S98" s="1185"/>
      <c r="T98" s="1185"/>
      <c r="U98" s="1185"/>
      <c r="V98" s="1185"/>
      <c r="W98" s="1185"/>
      <c r="X98" s="1185"/>
      <c r="Y98" s="1185"/>
      <c r="Z98" s="1185"/>
      <c r="AA98" s="1185"/>
      <c r="AB98" s="1185"/>
      <c r="AC98" s="1185"/>
    </row>
    <row r="99" spans="1:29" ht="15.75" thickBot="1">
      <c r="A99" s="1625"/>
      <c r="B99" s="1334"/>
      <c r="C99" s="1335"/>
      <c r="D99" s="1335"/>
      <c r="E99" s="1335"/>
      <c r="F99" s="1335"/>
      <c r="G99" s="1347"/>
      <c r="H99" s="1347"/>
      <c r="I99" s="1347"/>
      <c r="J99" s="1347"/>
      <c r="K99" s="1347"/>
      <c r="L99" s="1347"/>
      <c r="M99" s="1402"/>
      <c r="N99" s="1369"/>
      <c r="O99" s="1369"/>
      <c r="P99" s="1668"/>
      <c r="Q99" s="1290"/>
      <c r="R99" s="1185"/>
      <c r="S99" s="1185"/>
      <c r="T99" s="1185"/>
      <c r="U99" s="1185"/>
      <c r="V99" s="1185"/>
      <c r="W99" s="1185"/>
      <c r="X99" s="1185"/>
      <c r="Y99" s="1185"/>
      <c r="Z99" s="1185"/>
      <c r="AA99" s="1185"/>
      <c r="AB99" s="1185"/>
      <c r="AC99" s="1185"/>
    </row>
    <row r="100" spans="1:29">
      <c r="A100" s="1315" t="s">
        <v>2082</v>
      </c>
      <c r="B100" s="1316" t="s">
        <v>2142</v>
      </c>
      <c r="C100" s="1626" t="s">
        <v>3387</v>
      </c>
      <c r="D100" s="1626" t="s">
        <v>3354</v>
      </c>
      <c r="E100" s="1626" t="s">
        <v>3356</v>
      </c>
      <c r="F100" s="1258"/>
      <c r="G100" s="1258"/>
      <c r="H100" s="1258"/>
      <c r="I100" s="1258"/>
      <c r="J100" s="1258"/>
      <c r="K100" s="1363"/>
      <c r="L100" s="1364"/>
      <c r="M100" s="1365"/>
      <c r="N100" s="1366"/>
      <c r="O100" s="1366"/>
      <c r="P100" s="1668"/>
      <c r="Q100" s="1290"/>
      <c r="R100" s="1185"/>
      <c r="S100" s="1185"/>
      <c r="T100" s="1185"/>
      <c r="U100" s="1185"/>
      <c r="V100" s="1185"/>
      <c r="W100" s="1185"/>
      <c r="X100" s="1185"/>
      <c r="Y100" s="1185"/>
      <c r="Z100" s="1185"/>
      <c r="AA100" s="1185"/>
      <c r="AB100" s="1185"/>
      <c r="AC100" s="1185"/>
    </row>
    <row r="101" spans="1:29" ht="15.75" thickBot="1">
      <c r="A101" s="1317"/>
      <c r="B101" s="1322"/>
      <c r="C101" s="1323">
        <v>100</v>
      </c>
      <c r="D101" s="1323">
        <f t="shared" ref="D101:M101" si="23">C101-$K32</f>
        <v>98</v>
      </c>
      <c r="E101" s="1323">
        <f t="shared" si="23"/>
        <v>96</v>
      </c>
      <c r="F101" s="1323">
        <f t="shared" si="23"/>
        <v>94</v>
      </c>
      <c r="G101" s="1323">
        <f t="shared" si="23"/>
        <v>92</v>
      </c>
      <c r="H101" s="1323">
        <f t="shared" si="23"/>
        <v>90</v>
      </c>
      <c r="I101" s="1323">
        <f t="shared" si="23"/>
        <v>88</v>
      </c>
      <c r="J101" s="1323">
        <f t="shared" si="23"/>
        <v>86</v>
      </c>
      <c r="K101" s="1323">
        <f t="shared" si="23"/>
        <v>84</v>
      </c>
      <c r="L101" s="1323">
        <f t="shared" si="23"/>
        <v>82</v>
      </c>
      <c r="M101" s="1373">
        <f t="shared" si="23"/>
        <v>80</v>
      </c>
      <c r="N101" s="1369"/>
      <c r="O101" s="1369"/>
      <c r="P101" s="1668"/>
      <c r="Q101" s="1290"/>
      <c r="R101" s="1185"/>
      <c r="S101" s="1185"/>
      <c r="T101" s="1185"/>
      <c r="U101" s="1185"/>
      <c r="V101" s="1185"/>
      <c r="W101" s="1185"/>
      <c r="X101" s="1185"/>
      <c r="Y101" s="1185"/>
      <c r="Z101" s="1185"/>
      <c r="AA101" s="1185"/>
      <c r="AB101" s="1185"/>
      <c r="AC101" s="1185"/>
    </row>
    <row r="102" spans="1:29" ht="15.75" thickTop="1">
      <c r="A102" s="1317"/>
      <c r="B102" s="1320" t="s">
        <v>2085</v>
      </c>
      <c r="C102" s="1339" t="str">
        <f>C103&amp;"(含)"&amp;"-"&amp;D103</f>
        <v>0(含)-100</v>
      </c>
      <c r="D102" s="1339" t="str">
        <f t="shared" ref="D102:L102" si="24">D103&amp;"(含)"&amp;"-"&amp;E103</f>
        <v>100(含)-200</v>
      </c>
      <c r="E102" s="1339" t="str">
        <f t="shared" si="24"/>
        <v>200(含)-300</v>
      </c>
      <c r="F102" s="1339" t="str">
        <f t="shared" si="24"/>
        <v>300(含)-400</v>
      </c>
      <c r="G102" s="1339" t="str">
        <f t="shared" si="24"/>
        <v>400(含)-500</v>
      </c>
      <c r="H102" s="1339" t="str">
        <f t="shared" si="24"/>
        <v>500(含)-600</v>
      </c>
      <c r="I102" s="1339" t="str">
        <f t="shared" si="24"/>
        <v>600(含)-</v>
      </c>
      <c r="J102" s="1339" t="str">
        <f t="shared" si="24"/>
        <v>(含)-</v>
      </c>
      <c r="K102" s="1339" t="str">
        <f t="shared" si="24"/>
        <v>(含)-</v>
      </c>
      <c r="L102" s="1339" t="str">
        <f t="shared" si="24"/>
        <v>(含)-</v>
      </c>
      <c r="M102" s="1391" t="str">
        <f>M103&amp;"(含)"&amp;"-"&amp;P103</f>
        <v>(含)-</v>
      </c>
      <c r="N102" s="1360"/>
      <c r="O102" s="1360"/>
      <c r="P102" s="1668"/>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f>C103+100</f>
        <v>100</v>
      </c>
      <c r="E103" s="1304">
        <f t="shared" ref="E103:I103" si="25">D103+100</f>
        <v>200</v>
      </c>
      <c r="F103" s="1304">
        <f t="shared" si="25"/>
        <v>300</v>
      </c>
      <c r="G103" s="1304">
        <f t="shared" si="25"/>
        <v>400</v>
      </c>
      <c r="H103" s="1304">
        <f t="shared" si="25"/>
        <v>500</v>
      </c>
      <c r="I103" s="1304">
        <f t="shared" si="25"/>
        <v>600</v>
      </c>
      <c r="J103" s="1403"/>
      <c r="K103" s="1403"/>
      <c r="L103" s="1404"/>
      <c r="M103" s="1405"/>
      <c r="N103" s="1379"/>
      <c r="O103" s="1379"/>
      <c r="P103" s="1673"/>
      <c r="Q103" s="1411"/>
      <c r="R103" s="1412"/>
      <c r="S103" s="1412"/>
      <c r="T103" s="1412"/>
      <c r="U103" s="1412"/>
      <c r="V103" s="1412"/>
      <c r="W103" s="1412"/>
      <c r="X103" s="1412"/>
      <c r="Y103" s="1412"/>
      <c r="Z103" s="1412"/>
      <c r="AA103" s="1412"/>
      <c r="AB103" s="1412"/>
      <c r="AC103" s="1412"/>
    </row>
    <row r="104" spans="1:29" s="1071" customFormat="1" ht="15.75" thickBot="1">
      <c r="A104" s="1327"/>
      <c r="B104" s="1322"/>
      <c r="C104" s="1330">
        <v>100</v>
      </c>
      <c r="D104" s="1319">
        <f>C104-1</f>
        <v>99</v>
      </c>
      <c r="E104" s="1319">
        <f t="shared" ref="E104:I104" si="26">D104-1</f>
        <v>98</v>
      </c>
      <c r="F104" s="1319">
        <f t="shared" si="26"/>
        <v>97</v>
      </c>
      <c r="G104" s="1319">
        <f t="shared" si="26"/>
        <v>96</v>
      </c>
      <c r="H104" s="1319">
        <f t="shared" si="26"/>
        <v>95</v>
      </c>
      <c r="I104" s="1319">
        <f t="shared" si="26"/>
        <v>94</v>
      </c>
      <c r="J104" s="1319"/>
      <c r="K104" s="1319"/>
      <c r="L104" s="1319"/>
      <c r="M104" s="1368"/>
      <c r="N104" s="1369"/>
      <c r="O104" s="1369"/>
      <c r="P104" s="1673"/>
      <c r="Q104" s="1411"/>
      <c r="R104" s="1412"/>
      <c r="S104" s="1412"/>
      <c r="T104" s="1412"/>
      <c r="U104" s="1412"/>
      <c r="V104" s="1412"/>
      <c r="W104" s="1412"/>
      <c r="X104" s="1412"/>
      <c r="Y104" s="1412"/>
      <c r="Z104" s="1412"/>
      <c r="AA104" s="1412"/>
      <c r="AB104" s="1412"/>
      <c r="AC104" s="1412"/>
    </row>
    <row r="105" spans="1:29" ht="15" thickTop="1">
      <c r="A105" s="1351"/>
      <c r="B105" s="1320" t="s">
        <v>2086</v>
      </c>
      <c r="C105" s="1627" t="s">
        <v>3357</v>
      </c>
      <c r="D105" s="1328"/>
      <c r="E105" s="1345"/>
      <c r="F105" s="1345"/>
      <c r="G105" s="1345"/>
      <c r="H105" s="1345"/>
      <c r="I105" s="1345"/>
      <c r="J105" s="1345"/>
      <c r="K105" s="1396"/>
      <c r="L105" s="1397"/>
      <c r="M105" s="1398"/>
      <c r="N105" s="1366"/>
      <c r="O105" s="1366"/>
      <c r="P105" s="1668"/>
      <c r="Q105" s="1290"/>
      <c r="R105" s="1185"/>
      <c r="S105" s="1185"/>
      <c r="T105" s="1185"/>
      <c r="U105" s="1185"/>
      <c r="V105" s="1185"/>
      <c r="W105" s="1185"/>
      <c r="X105" s="1185"/>
      <c r="Y105" s="1185"/>
      <c r="Z105" s="1185"/>
      <c r="AA105" s="1185"/>
      <c r="AB105" s="1185"/>
      <c r="AC105" s="1185"/>
    </row>
    <row r="106" spans="1:29" ht="15.75" thickBot="1">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73">
        <f t="shared" si="27"/>
        <v>80</v>
      </c>
      <c r="N106" s="1369"/>
      <c r="O106" s="1369"/>
      <c r="P106" s="1668"/>
      <c r="Q106" s="1290"/>
      <c r="R106" s="1185"/>
      <c r="S106" s="1185"/>
      <c r="T106" s="1185"/>
      <c r="U106" s="1185"/>
      <c r="V106" s="1185"/>
      <c r="W106" s="1185"/>
      <c r="X106" s="1185"/>
      <c r="Y106" s="1185"/>
      <c r="Z106" s="1185"/>
      <c r="AA106" s="1185"/>
      <c r="AB106" s="1185"/>
      <c r="AC106" s="1185"/>
    </row>
    <row r="107" spans="1:29" ht="15" thickTop="1">
      <c r="A107" s="1351"/>
      <c r="B107" s="1320" t="s">
        <v>2088</v>
      </c>
      <c r="C107" s="1627" t="s">
        <v>3358</v>
      </c>
      <c r="D107" s="1627" t="s">
        <v>3359</v>
      </c>
      <c r="E107" s="1627" t="s">
        <v>3360</v>
      </c>
      <c r="F107" s="3571" t="s">
        <v>3361</v>
      </c>
      <c r="G107" s="1345"/>
      <c r="H107" s="1345"/>
      <c r="I107" s="1345"/>
      <c r="J107" s="1345"/>
      <c r="K107" s="1396"/>
      <c r="L107" s="1397"/>
      <c r="M107" s="1398"/>
      <c r="N107" s="1366"/>
      <c r="O107" s="1366"/>
      <c r="P107" s="1668"/>
      <c r="Q107" s="1290"/>
      <c r="R107" s="1185"/>
      <c r="S107" s="1185"/>
      <c r="T107" s="1185"/>
      <c r="U107" s="1185"/>
      <c r="V107" s="1185"/>
      <c r="W107" s="1185"/>
      <c r="X107" s="1185"/>
      <c r="Y107" s="1185"/>
      <c r="Z107" s="1185"/>
      <c r="AA107" s="1185"/>
      <c r="AB107" s="1185"/>
      <c r="AC107" s="1185"/>
    </row>
    <row r="108" spans="1:29" ht="15.75" thickBot="1">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73">
        <f t="shared" si="28"/>
        <v>80</v>
      </c>
      <c r="N108" s="1369"/>
      <c r="O108" s="1369"/>
      <c r="P108" s="1668"/>
      <c r="Q108" s="1290"/>
      <c r="R108" s="1185"/>
      <c r="S108" s="1185"/>
      <c r="T108" s="1185"/>
      <c r="U108" s="1185"/>
      <c r="V108" s="1185"/>
      <c r="W108" s="1185"/>
      <c r="X108" s="1185"/>
      <c r="Y108" s="1185"/>
      <c r="Z108" s="1185"/>
      <c r="AA108" s="1185"/>
      <c r="AB108" s="1185"/>
      <c r="AC108" s="1185"/>
    </row>
    <row r="109" spans="1:29" ht="15" thickTop="1">
      <c r="A109" s="1351"/>
      <c r="B109" s="1320" t="s">
        <v>1202</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8"/>
      <c r="Q109" s="1290"/>
      <c r="R109" s="1185"/>
      <c r="S109" s="1185"/>
      <c r="T109" s="1185"/>
      <c r="U109" s="1185"/>
      <c r="V109" s="1185"/>
      <c r="W109" s="1185"/>
      <c r="X109" s="1185"/>
      <c r="Y109" s="1185"/>
      <c r="Z109" s="1185"/>
      <c r="AA109" s="1185"/>
      <c r="AB109" s="1185"/>
      <c r="AC109" s="1185"/>
    </row>
    <row r="110" spans="1:29">
      <c r="A110" s="1351"/>
      <c r="B110" s="1324"/>
      <c r="C110" s="842">
        <v>0.5</v>
      </c>
      <c r="D110" s="842">
        <v>0.6</v>
      </c>
      <c r="E110" s="842">
        <v>0.7</v>
      </c>
      <c r="F110" s="842">
        <v>0.8</v>
      </c>
      <c r="G110" s="842">
        <v>0.9</v>
      </c>
      <c r="H110" s="842">
        <v>1.0001</v>
      </c>
      <c r="I110" s="1579"/>
      <c r="J110" s="1579"/>
      <c r="K110" s="1580"/>
      <c r="L110" s="1581"/>
      <c r="M110" s="1582"/>
      <c r="N110" s="1366"/>
      <c r="O110" s="1366"/>
      <c r="P110" s="1668"/>
      <c r="Q110" s="1290"/>
      <c r="R110" s="1185"/>
      <c r="S110" s="1185"/>
      <c r="T110" s="1185"/>
      <c r="U110" s="1185"/>
      <c r="V110" s="1185"/>
      <c r="W110" s="1185"/>
      <c r="X110" s="1185"/>
      <c r="Y110" s="1185"/>
      <c r="Z110" s="1185"/>
      <c r="AA110" s="1185"/>
      <c r="AB110" s="1185"/>
      <c r="AC110" s="1185"/>
    </row>
    <row r="111" spans="1:29" ht="15.75" thickBot="1">
      <c r="A111" s="1317"/>
      <c r="B111" s="1322"/>
      <c r="C111" s="1341">
        <v>100</v>
      </c>
      <c r="D111" s="1323">
        <f>C111+$K36</f>
        <v>101</v>
      </c>
      <c r="E111" s="1323">
        <f t="shared" ref="E111:M111" si="29">D111+$K36</f>
        <v>102</v>
      </c>
      <c r="F111" s="1323">
        <f t="shared" si="29"/>
        <v>103</v>
      </c>
      <c r="G111" s="1323">
        <f t="shared" si="29"/>
        <v>104</v>
      </c>
      <c r="H111" s="1323">
        <f t="shared" si="29"/>
        <v>105</v>
      </c>
      <c r="I111" s="1323">
        <f t="shared" si="29"/>
        <v>106</v>
      </c>
      <c r="J111" s="1323">
        <f t="shared" si="29"/>
        <v>107</v>
      </c>
      <c r="K111" s="1323">
        <f t="shared" si="29"/>
        <v>108</v>
      </c>
      <c r="L111" s="1323">
        <f t="shared" si="29"/>
        <v>109</v>
      </c>
      <c r="M111" s="1323">
        <f t="shared" si="29"/>
        <v>110</v>
      </c>
      <c r="N111" s="1369"/>
      <c r="O111" s="1369"/>
      <c r="P111" s="1668"/>
      <c r="Q111" s="1290"/>
      <c r="R111" s="1185"/>
      <c r="S111" s="1185"/>
      <c r="T111" s="1185"/>
      <c r="U111" s="1185"/>
      <c r="V111" s="1185"/>
      <c r="W111" s="1185"/>
      <c r="X111" s="1185"/>
      <c r="Y111" s="1185"/>
      <c r="Z111" s="1185"/>
      <c r="AA111" s="1185"/>
      <c r="AB111" s="1185"/>
      <c r="AC111" s="1185"/>
    </row>
    <row r="112" spans="1:29" s="1071" customFormat="1" ht="15" thickTop="1">
      <c r="A112" s="1348"/>
      <c r="B112" s="1320" t="s">
        <v>2090</v>
      </c>
      <c r="C112" s="1627" t="s">
        <v>3362</v>
      </c>
      <c r="D112" s="1627" t="s">
        <v>3363</v>
      </c>
      <c r="E112" s="1328"/>
      <c r="F112" s="1328"/>
      <c r="G112" s="1328"/>
      <c r="H112" s="1345"/>
      <c r="I112" s="1345"/>
      <c r="J112" s="1345"/>
      <c r="K112" s="1396"/>
      <c r="L112" s="1397"/>
      <c r="M112" s="1398"/>
      <c r="N112" s="1379"/>
      <c r="O112" s="1379"/>
      <c r="P112" s="1673"/>
      <c r="Q112" s="1411"/>
      <c r="R112" s="1412"/>
      <c r="S112" s="1412"/>
      <c r="T112" s="1412"/>
      <c r="U112" s="1412"/>
      <c r="V112" s="1412"/>
      <c r="W112" s="1412"/>
      <c r="X112" s="1412"/>
      <c r="Y112" s="1412"/>
      <c r="Z112" s="1412"/>
      <c r="AA112" s="1412"/>
      <c r="AB112" s="1412"/>
      <c r="AC112" s="1412"/>
    </row>
    <row r="113" spans="1:29" s="1071" customFormat="1" ht="15.75" thickBot="1">
      <c r="A113" s="1327"/>
      <c r="B113" s="1322"/>
      <c r="C113" s="1323">
        <v>100</v>
      </c>
      <c r="D113" s="1323">
        <f>C113-$K37</f>
        <v>100</v>
      </c>
      <c r="E113" s="1323">
        <f t="shared" ref="E113:M113" si="30">D113-$K37</f>
        <v>100</v>
      </c>
      <c r="F113" s="1323">
        <f t="shared" si="30"/>
        <v>100</v>
      </c>
      <c r="G113" s="1323">
        <f t="shared" si="30"/>
        <v>100</v>
      </c>
      <c r="H113" s="1323">
        <f t="shared" si="30"/>
        <v>100</v>
      </c>
      <c r="I113" s="1323">
        <f t="shared" si="30"/>
        <v>100</v>
      </c>
      <c r="J113" s="1323">
        <f t="shared" si="30"/>
        <v>100</v>
      </c>
      <c r="K113" s="1323">
        <f t="shared" si="30"/>
        <v>100</v>
      </c>
      <c r="L113" s="1323">
        <f t="shared" si="30"/>
        <v>100</v>
      </c>
      <c r="M113" s="1323">
        <f t="shared" si="30"/>
        <v>100</v>
      </c>
      <c r="N113" s="1379"/>
      <c r="O113" s="1379"/>
      <c r="P113" s="1673"/>
      <c r="Q113" s="1411"/>
      <c r="R113" s="1412"/>
      <c r="S113" s="1412"/>
      <c r="T113" s="1412"/>
      <c r="U113" s="1412"/>
      <c r="V113" s="1412"/>
      <c r="W113" s="1412"/>
      <c r="X113" s="1412"/>
      <c r="Y113" s="1412"/>
      <c r="Z113" s="1412"/>
      <c r="AA113" s="1412"/>
      <c r="AB113" s="1412"/>
      <c r="AC113" s="1412"/>
    </row>
    <row r="114" spans="1:29" ht="15" thickTop="1">
      <c r="A114" s="1351"/>
      <c r="B114" s="1320" t="s">
        <v>2143</v>
      </c>
      <c r="C114" s="1328"/>
      <c r="D114" s="1328"/>
      <c r="E114" s="1345"/>
      <c r="F114" s="1345"/>
      <c r="G114" s="1345"/>
      <c r="H114" s="1345"/>
      <c r="I114" s="1345"/>
      <c r="J114" s="1345"/>
      <c r="K114" s="1396"/>
      <c r="L114" s="1397"/>
      <c r="M114" s="1398"/>
      <c r="N114" s="1366"/>
      <c r="O114" s="1366"/>
      <c r="P114" s="1668"/>
      <c r="Q114" s="1290"/>
      <c r="R114" s="1185"/>
      <c r="S114" s="1185"/>
      <c r="T114" s="1185"/>
      <c r="U114" s="1185"/>
      <c r="V114" s="1185"/>
      <c r="W114" s="1185"/>
      <c r="X114" s="1185"/>
      <c r="Y114" s="1185"/>
      <c r="Z114" s="1185"/>
      <c r="AA114" s="1185"/>
      <c r="AB114" s="1185"/>
      <c r="AC114" s="1185"/>
    </row>
    <row r="115" spans="1:29" ht="15.75" thickBot="1">
      <c r="A115" s="1317"/>
      <c r="B115" s="1322"/>
      <c r="C115" s="1323">
        <v>100</v>
      </c>
      <c r="D115" s="1323">
        <f t="shared" ref="D115:M115" si="31">C115-$K38</f>
        <v>100</v>
      </c>
      <c r="E115" s="1323">
        <f t="shared" si="31"/>
        <v>100</v>
      </c>
      <c r="F115" s="1323">
        <f t="shared" si="31"/>
        <v>100</v>
      </c>
      <c r="G115" s="1323">
        <f t="shared" si="31"/>
        <v>100</v>
      </c>
      <c r="H115" s="1323">
        <f t="shared" si="31"/>
        <v>100</v>
      </c>
      <c r="I115" s="1323">
        <f t="shared" si="31"/>
        <v>100</v>
      </c>
      <c r="J115" s="1323">
        <f t="shared" si="31"/>
        <v>100</v>
      </c>
      <c r="K115" s="1323">
        <f t="shared" si="31"/>
        <v>100</v>
      </c>
      <c r="L115" s="1323">
        <f t="shared" si="31"/>
        <v>100</v>
      </c>
      <c r="M115" s="1373">
        <f t="shared" si="31"/>
        <v>100</v>
      </c>
      <c r="N115" s="1369"/>
      <c r="O115" s="1369"/>
      <c r="P115" s="1668"/>
      <c r="Q115" s="1290"/>
      <c r="R115" s="1185"/>
      <c r="S115" s="1185"/>
      <c r="T115" s="1185"/>
      <c r="U115" s="1185"/>
      <c r="V115" s="1185"/>
      <c r="W115" s="1185"/>
      <c r="X115" s="1185"/>
      <c r="Y115" s="1185"/>
      <c r="Z115" s="1185"/>
      <c r="AA115" s="1185"/>
      <c r="AB115" s="1185"/>
      <c r="AC115" s="1185"/>
    </row>
    <row r="116" spans="1:29" ht="15" thickTop="1">
      <c r="A116" s="1351"/>
      <c r="B116" s="1320" t="s">
        <v>2144</v>
      </c>
      <c r="C116" s="1627" t="s">
        <v>3364</v>
      </c>
      <c r="D116" s="1328"/>
      <c r="E116" s="1328"/>
      <c r="F116" s="1328"/>
      <c r="G116" s="1328"/>
      <c r="H116" s="1345"/>
      <c r="I116" s="1345"/>
      <c r="J116" s="1345"/>
      <c r="K116" s="1396"/>
      <c r="L116" s="1397"/>
      <c r="M116" s="1398"/>
      <c r="N116" s="1366"/>
      <c r="O116" s="1366"/>
      <c r="P116" s="1668"/>
      <c r="Q116" s="1290"/>
      <c r="R116" s="1185"/>
      <c r="S116" s="1185"/>
      <c r="T116" s="1185"/>
      <c r="U116" s="1185"/>
      <c r="V116" s="1185"/>
      <c r="W116" s="1185"/>
      <c r="X116" s="1185"/>
      <c r="Y116" s="1185"/>
      <c r="Z116" s="1185"/>
      <c r="AA116" s="1185"/>
      <c r="AB116" s="1185"/>
      <c r="AC116" s="1185"/>
    </row>
    <row r="117" spans="1:29" ht="15.75" thickBot="1">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1668"/>
      <c r="Q117" s="1290"/>
      <c r="R117" s="1185"/>
      <c r="S117" s="1185"/>
      <c r="T117" s="1185"/>
      <c r="U117" s="1185"/>
      <c r="V117" s="1185"/>
      <c r="W117" s="1185"/>
      <c r="X117" s="1185"/>
      <c r="Y117" s="1185"/>
      <c r="Z117" s="1185"/>
      <c r="AA117" s="1185"/>
      <c r="AB117" s="1185"/>
      <c r="AC117" s="1185"/>
    </row>
    <row r="118" spans="1:29" ht="15" thickTop="1">
      <c r="A118" s="1351"/>
      <c r="B118" s="1320" t="s">
        <v>2145</v>
      </c>
      <c r="C118" s="1672"/>
      <c r="D118" s="1672"/>
      <c r="E118" s="1672"/>
      <c r="F118" s="1672"/>
      <c r="G118" s="1672"/>
      <c r="H118" s="1329"/>
      <c r="I118" s="1329"/>
      <c r="J118" s="1329"/>
      <c r="K118" s="1329"/>
      <c r="L118" s="1377"/>
      <c r="M118" s="1378"/>
      <c r="N118" s="1366"/>
      <c r="O118" s="1366"/>
      <c r="P118" s="1668"/>
      <c r="Q118" s="1290"/>
      <c r="R118" s="1185"/>
      <c r="S118" s="1185"/>
      <c r="T118" s="1185"/>
      <c r="U118" s="1185"/>
      <c r="V118" s="1185"/>
      <c r="W118" s="1185"/>
      <c r="X118" s="1185"/>
      <c r="Y118" s="1185"/>
      <c r="Z118" s="1185"/>
      <c r="AA118" s="1185"/>
      <c r="AB118" s="1185"/>
      <c r="AC118" s="1185"/>
    </row>
    <row r="119" spans="1:29" ht="15.75" thickBot="1">
      <c r="A119" s="1317"/>
      <c r="B119" s="1322"/>
      <c r="C119" s="1330"/>
      <c r="D119" s="1319"/>
      <c r="E119" s="1319"/>
      <c r="F119" s="1319"/>
      <c r="G119" s="1319"/>
      <c r="H119" s="1319"/>
      <c r="I119" s="1319"/>
      <c r="J119" s="1319"/>
      <c r="K119" s="1319"/>
      <c r="L119" s="1319"/>
      <c r="M119" s="1368"/>
      <c r="N119" s="1369"/>
      <c r="O119" s="1369"/>
      <c r="P119" s="1668"/>
      <c r="Q119" s="1290"/>
      <c r="R119" s="1185"/>
      <c r="S119" s="1185"/>
      <c r="T119" s="1185"/>
      <c r="U119" s="1185"/>
      <c r="V119" s="1185"/>
      <c r="W119" s="1185"/>
      <c r="X119" s="1185"/>
      <c r="Y119" s="1185"/>
      <c r="Z119" s="1185"/>
      <c r="AA119" s="1185"/>
      <c r="AB119" s="1185"/>
      <c r="AC119" s="1185"/>
    </row>
    <row r="120" spans="1:29" s="1071" customFormat="1" ht="15" thickTop="1">
      <c r="A120" s="1348"/>
      <c r="B120" s="1320" t="s">
        <v>2147</v>
      </c>
      <c r="C120" s="1345"/>
      <c r="D120" s="1345"/>
      <c r="E120" s="1345"/>
      <c r="F120" s="1345"/>
      <c r="G120" s="1329"/>
      <c r="H120" s="1329"/>
      <c r="I120" s="1329"/>
      <c r="J120" s="1329"/>
      <c r="K120" s="1329"/>
      <c r="L120" s="1377"/>
      <c r="M120" s="1378"/>
      <c r="N120" s="1379"/>
      <c r="O120" s="1379"/>
      <c r="P120" s="1673"/>
      <c r="Q120" s="1411"/>
      <c r="R120" s="1412"/>
      <c r="S120" s="1412"/>
      <c r="T120" s="1412"/>
      <c r="U120" s="1412"/>
      <c r="V120" s="1412"/>
      <c r="W120" s="1412"/>
      <c r="X120" s="1412"/>
      <c r="Y120" s="1412"/>
      <c r="Z120" s="1412"/>
      <c r="AA120" s="1412"/>
      <c r="AB120" s="1412"/>
      <c r="AC120" s="1412"/>
    </row>
    <row r="121" spans="1:29" s="1071" customFormat="1" ht="15.75" thickBot="1">
      <c r="A121" s="1327"/>
      <c r="B121" s="1318"/>
      <c r="C121" s="1341">
        <v>100</v>
      </c>
      <c r="D121" s="1323">
        <f>C121-$K41</f>
        <v>100</v>
      </c>
      <c r="E121" s="1323">
        <f t="shared" ref="E121:M121" si="32">D121-$K41</f>
        <v>100</v>
      </c>
      <c r="F121" s="1323">
        <f t="shared" si="32"/>
        <v>100</v>
      </c>
      <c r="G121" s="1323">
        <f t="shared" si="32"/>
        <v>100</v>
      </c>
      <c r="H121" s="1323">
        <f t="shared" si="32"/>
        <v>100</v>
      </c>
      <c r="I121" s="1323">
        <f t="shared" si="32"/>
        <v>100</v>
      </c>
      <c r="J121" s="1323">
        <f t="shared" si="32"/>
        <v>100</v>
      </c>
      <c r="K121" s="1323">
        <f t="shared" si="32"/>
        <v>100</v>
      </c>
      <c r="L121" s="1323">
        <f t="shared" si="32"/>
        <v>100</v>
      </c>
      <c r="M121" s="1373">
        <f t="shared" si="32"/>
        <v>100</v>
      </c>
      <c r="N121" s="1379"/>
      <c r="O121" s="1379"/>
      <c r="P121" s="1673"/>
      <c r="Q121" s="1411"/>
      <c r="R121" s="1412"/>
      <c r="S121" s="1412"/>
      <c r="T121" s="1412"/>
      <c r="U121" s="1412"/>
      <c r="V121" s="1412"/>
      <c r="W121" s="1412"/>
      <c r="X121" s="1412"/>
      <c r="Y121" s="1412"/>
      <c r="Z121" s="1412"/>
      <c r="AA121" s="1412"/>
      <c r="AB121" s="1412"/>
      <c r="AC121" s="1412"/>
    </row>
    <row r="122" spans="1:29" ht="15" thickTop="1">
      <c r="A122" s="1351"/>
      <c r="B122" s="1320" t="s">
        <v>2093</v>
      </c>
      <c r="C122" s="1627" t="s">
        <v>3358</v>
      </c>
      <c r="D122" s="1627" t="s">
        <v>3359</v>
      </c>
      <c r="E122" s="1627" t="s">
        <v>3360</v>
      </c>
      <c r="F122" s="3571" t="s">
        <v>3361</v>
      </c>
      <c r="G122" s="1345"/>
      <c r="H122" s="1345"/>
      <c r="I122" s="1345"/>
      <c r="J122" s="1345"/>
      <c r="K122" s="1396"/>
      <c r="L122" s="1397"/>
      <c r="M122" s="1398"/>
      <c r="N122" s="1366"/>
      <c r="O122" s="1366"/>
      <c r="P122" s="1668"/>
      <c r="Q122" s="1290"/>
      <c r="R122" s="1185"/>
      <c r="S122" s="1185"/>
      <c r="T122" s="1185"/>
      <c r="U122" s="1185"/>
      <c r="V122" s="1185"/>
      <c r="W122" s="1185"/>
      <c r="X122" s="1185"/>
      <c r="Y122" s="1185"/>
      <c r="Z122" s="1185"/>
      <c r="AA122" s="1185"/>
      <c r="AB122" s="1185"/>
      <c r="AC122" s="1185"/>
    </row>
    <row r="123" spans="1:29" ht="15.75" thickBot="1">
      <c r="A123" s="1317"/>
      <c r="B123" s="1322"/>
      <c r="C123" s="1323">
        <v>100</v>
      </c>
      <c r="D123" s="1323">
        <f t="shared" ref="D123:M123" si="33">C123-$K42</f>
        <v>98</v>
      </c>
      <c r="E123" s="1323">
        <f t="shared" si="33"/>
        <v>96</v>
      </c>
      <c r="F123" s="1323">
        <f t="shared" si="33"/>
        <v>94</v>
      </c>
      <c r="G123" s="1323">
        <f t="shared" si="33"/>
        <v>92</v>
      </c>
      <c r="H123" s="1323">
        <f t="shared" si="33"/>
        <v>90</v>
      </c>
      <c r="I123" s="1323">
        <f t="shared" si="33"/>
        <v>88</v>
      </c>
      <c r="J123" s="1323">
        <f t="shared" si="33"/>
        <v>86</v>
      </c>
      <c r="K123" s="1323">
        <f t="shared" si="33"/>
        <v>84</v>
      </c>
      <c r="L123" s="1323">
        <f t="shared" si="33"/>
        <v>82</v>
      </c>
      <c r="M123" s="1373">
        <f t="shared" si="33"/>
        <v>80</v>
      </c>
      <c r="N123" s="1369"/>
      <c r="O123" s="1369"/>
      <c r="P123" s="1668"/>
      <c r="Q123" s="1290"/>
      <c r="R123" s="1185"/>
      <c r="S123" s="1185"/>
      <c r="T123" s="1185"/>
      <c r="U123" s="1185"/>
      <c r="V123" s="1185"/>
      <c r="W123" s="1185"/>
      <c r="X123" s="1185"/>
      <c r="Y123" s="1185"/>
      <c r="Z123" s="1185"/>
      <c r="AA123" s="1185"/>
      <c r="AB123" s="1185"/>
      <c r="AC123" s="1185"/>
    </row>
    <row r="124" spans="1:29" ht="15" thickTop="1">
      <c r="A124" s="1351"/>
      <c r="B124" s="1320" t="s">
        <v>2094</v>
      </c>
      <c r="C124" s="1339" t="s">
        <v>2106</v>
      </c>
      <c r="D124" s="1339" t="s">
        <v>2107</v>
      </c>
      <c r="E124" s="1339" t="s">
        <v>2108</v>
      </c>
      <c r="F124" s="1339" t="s">
        <v>2109</v>
      </c>
      <c r="G124" s="1339" t="s">
        <v>2110</v>
      </c>
      <c r="H124" s="1321"/>
      <c r="I124" s="1321"/>
      <c r="J124" s="1321"/>
      <c r="K124" s="1370"/>
      <c r="L124" s="1371"/>
      <c r="M124" s="1372"/>
      <c r="N124" s="1366"/>
      <c r="O124" s="1366"/>
      <c r="P124" s="1673"/>
      <c r="Q124" s="1290"/>
      <c r="R124" s="1185"/>
      <c r="S124" s="1185"/>
      <c r="T124" s="1185"/>
      <c r="U124" s="1185"/>
      <c r="V124" s="1185"/>
      <c r="W124" s="1185"/>
      <c r="X124" s="1185"/>
      <c r="Y124" s="1185"/>
      <c r="Z124" s="1185"/>
      <c r="AA124" s="1185"/>
      <c r="AB124" s="1185"/>
      <c r="AC124" s="1185"/>
    </row>
    <row r="125" spans="1:29" ht="15.75" thickBot="1">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1668"/>
      <c r="Q125" s="1290"/>
      <c r="R125" s="1185"/>
      <c r="S125" s="1185"/>
      <c r="T125" s="1185"/>
      <c r="U125" s="1185"/>
      <c r="V125" s="1185"/>
      <c r="W125" s="1185"/>
      <c r="X125" s="1185"/>
      <c r="Y125" s="1185"/>
      <c r="Z125" s="1185"/>
      <c r="AA125" s="1185"/>
      <c r="AB125" s="1185"/>
      <c r="AC125" s="1185"/>
    </row>
    <row r="126" spans="1:29" s="1071" customFormat="1" ht="15" thickTop="1">
      <c r="A126" s="1348"/>
      <c r="B126" s="1320">
        <f>B44</f>
        <v>111</v>
      </c>
      <c r="C126" s="1328"/>
      <c r="D126" s="1328"/>
      <c r="E126" s="1328"/>
      <c r="F126" s="1328"/>
      <c r="G126" s="1328"/>
      <c r="H126" s="1329"/>
      <c r="I126" s="1329"/>
      <c r="J126" s="1329"/>
      <c r="K126" s="1329"/>
      <c r="L126" s="1377"/>
      <c r="M126" s="1378"/>
      <c r="N126" s="1379"/>
      <c r="O126" s="1379"/>
      <c r="P126" s="1673"/>
      <c r="Q126" s="1411"/>
      <c r="R126" s="1412"/>
      <c r="S126" s="1412"/>
      <c r="T126" s="1412"/>
      <c r="U126" s="1412"/>
      <c r="V126" s="1412"/>
      <c r="W126" s="1412"/>
      <c r="X126" s="1412"/>
      <c r="Y126" s="1412"/>
      <c r="Z126" s="1412"/>
      <c r="AA126" s="1412"/>
      <c r="AB126" s="1412"/>
      <c r="AC126" s="1412"/>
    </row>
    <row r="127" spans="1:29" s="1071" customFormat="1" ht="15.75" thickBot="1">
      <c r="A127" s="1327"/>
      <c r="B127" s="1322"/>
      <c r="C127" s="1330"/>
      <c r="D127" s="1319"/>
      <c r="E127" s="1319"/>
      <c r="F127" s="1319"/>
      <c r="G127" s="1330"/>
      <c r="H127" s="1331"/>
      <c r="I127" s="1331"/>
      <c r="J127" s="1331"/>
      <c r="K127" s="1331"/>
      <c r="L127" s="1331"/>
      <c r="M127" s="1381"/>
      <c r="N127" s="1379"/>
      <c r="O127" s="1379"/>
      <c r="P127" s="1673"/>
      <c r="Q127" s="1411"/>
      <c r="R127" s="1412"/>
      <c r="S127" s="1412"/>
      <c r="T127" s="1412"/>
      <c r="U127" s="1412"/>
      <c r="V127" s="1412"/>
      <c r="W127" s="1412"/>
      <c r="X127" s="1412"/>
      <c r="Y127" s="1412"/>
      <c r="Z127" s="1412"/>
      <c r="AA127" s="1412"/>
      <c r="AB127" s="1412"/>
      <c r="AC127" s="1412"/>
    </row>
    <row r="128" spans="1:29" ht="15" thickTop="1">
      <c r="A128" s="1351"/>
      <c r="B128" s="1320">
        <f>B45</f>
        <v>111</v>
      </c>
      <c r="C128" s="1328"/>
      <c r="D128" s="1328"/>
      <c r="E128" s="1328"/>
      <c r="F128" s="1328"/>
      <c r="G128" s="1345"/>
      <c r="H128" s="1345"/>
      <c r="I128" s="1345"/>
      <c r="J128" s="1345"/>
      <c r="K128" s="1396"/>
      <c r="L128" s="1397"/>
      <c r="M128" s="1398"/>
      <c r="N128" s="1366"/>
      <c r="O128" s="1366"/>
      <c r="P128" s="1668"/>
      <c r="Q128" s="1290"/>
      <c r="R128" s="1185"/>
      <c r="S128" s="1185"/>
      <c r="T128" s="1185"/>
      <c r="U128" s="1185"/>
      <c r="V128" s="1185"/>
      <c r="W128" s="1185"/>
      <c r="X128" s="1185"/>
      <c r="Y128" s="1185"/>
      <c r="Z128" s="1185"/>
      <c r="AA128" s="1185"/>
      <c r="AB128" s="1185"/>
      <c r="AC128" s="1185"/>
    </row>
    <row r="129" spans="1:29" ht="15.75" thickBot="1">
      <c r="A129" s="1317"/>
      <c r="B129" s="1322"/>
      <c r="C129" s="1330"/>
      <c r="D129" s="1319"/>
      <c r="E129" s="1319"/>
      <c r="F129" s="1319"/>
      <c r="G129" s="1319"/>
      <c r="H129" s="1319"/>
      <c r="I129" s="1319"/>
      <c r="J129" s="1319"/>
      <c r="K129" s="1319"/>
      <c r="L129" s="1319"/>
      <c r="M129" s="1368"/>
      <c r="N129" s="1369"/>
      <c r="O129" s="1369"/>
      <c r="P129" s="1668"/>
      <c r="Q129" s="1290"/>
      <c r="R129" s="1185"/>
      <c r="S129" s="1185"/>
      <c r="T129" s="1185"/>
      <c r="U129" s="1185"/>
      <c r="V129" s="1185"/>
      <c r="W129" s="1185"/>
      <c r="X129" s="1185"/>
      <c r="Y129" s="1185"/>
      <c r="Z129" s="1185"/>
      <c r="AA129" s="1185"/>
      <c r="AB129" s="1185"/>
      <c r="AC129" s="1185"/>
    </row>
    <row r="130" spans="1:29" ht="15" thickTop="1">
      <c r="A130" s="1351"/>
      <c r="B130" s="1324">
        <f>B46</f>
        <v>111</v>
      </c>
      <c r="C130" s="1328"/>
      <c r="D130" s="1328"/>
      <c r="E130" s="1328"/>
      <c r="F130" s="1328"/>
      <c r="G130" s="1346"/>
      <c r="H130" s="1346"/>
      <c r="I130" s="1346"/>
      <c r="J130" s="1346"/>
      <c r="K130" s="1312"/>
      <c r="L130" s="1358"/>
      <c r="M130" s="1401"/>
      <c r="N130" s="1366"/>
      <c r="O130" s="1366"/>
      <c r="P130" s="1668"/>
      <c r="Q130" s="1290"/>
      <c r="R130" s="1185"/>
      <c r="S130" s="1185"/>
      <c r="T130" s="1185"/>
      <c r="U130" s="1185"/>
      <c r="V130" s="1185"/>
      <c r="W130" s="1185"/>
      <c r="X130" s="1185"/>
      <c r="Y130" s="1185"/>
      <c r="Z130" s="1185"/>
      <c r="AA130" s="1185"/>
      <c r="AB130" s="1185"/>
      <c r="AC130" s="1185"/>
    </row>
    <row r="131" spans="1:29" ht="15.75" thickBot="1">
      <c r="A131" s="1625"/>
      <c r="B131" s="1334"/>
      <c r="C131" s="1335"/>
      <c r="D131" s="1335"/>
      <c r="E131" s="1335"/>
      <c r="F131" s="1335"/>
      <c r="G131" s="1347"/>
      <c r="H131" s="1347"/>
      <c r="I131" s="1347"/>
      <c r="J131" s="1347"/>
      <c r="K131" s="1347"/>
      <c r="L131" s="1347"/>
      <c r="M131" s="1402"/>
      <c r="N131" s="1369"/>
      <c r="O131" s="1369"/>
      <c r="P131" s="1668"/>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0"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1923</v>
      </c>
      <c r="B1" s="1789"/>
      <c r="C1" s="1790"/>
      <c r="D1" s="1790"/>
      <c r="E1" s="1791"/>
      <c r="F1" s="1792"/>
      <c r="G1" s="1793"/>
      <c r="J1" s="1895" t="s">
        <v>1924</v>
      </c>
      <c r="K1" s="1896"/>
      <c r="L1" s="1896"/>
      <c r="M1" s="1896"/>
      <c r="N1" s="1896"/>
      <c r="O1" s="1896"/>
      <c r="P1" s="1896"/>
      <c r="Q1" s="1896"/>
      <c r="R1" s="1935"/>
      <c r="S1" s="1936"/>
      <c r="T1" s="1936"/>
      <c r="U1" s="1936"/>
    </row>
    <row r="2" spans="1:22" s="1781" customFormat="1" ht="13.15" customHeight="1">
      <c r="A2" s="1794" t="s">
        <v>1721</v>
      </c>
      <c r="B2" s="1795" t="e">
        <f>IF(D2="——",C40,C40+E2)</f>
        <v>#DIV/0!</v>
      </c>
      <c r="C2" s="1790" t="s">
        <v>1722</v>
      </c>
      <c r="D2" s="1796" t="s">
        <v>1925</v>
      </c>
      <c r="E2" s="1797"/>
      <c r="F2" s="1798"/>
      <c r="G2" s="1799"/>
      <c r="H2" s="1800"/>
      <c r="I2" s="1897"/>
      <c r="J2" s="3868" t="s">
        <v>1926</v>
      </c>
      <c r="K2" s="3869"/>
      <c r="L2" s="1898" t="s">
        <v>1927</v>
      </c>
      <c r="M2" s="1898" t="s">
        <v>1928</v>
      </c>
      <c r="N2" s="1898" t="s">
        <v>1929</v>
      </c>
      <c r="O2" s="1898" t="s">
        <v>1930</v>
      </c>
      <c r="P2" s="1898" t="s">
        <v>1931</v>
      </c>
      <c r="Q2" s="1937" t="s">
        <v>1932</v>
      </c>
      <c r="R2" s="1938" t="s">
        <v>1933</v>
      </c>
      <c r="S2" s="1936"/>
      <c r="T2" s="1936"/>
      <c r="U2" s="1936"/>
      <c r="V2" s="1897"/>
    </row>
    <row r="3" spans="1:22" s="1781" customFormat="1" ht="13.15" customHeight="1">
      <c r="A3" s="1801" t="s">
        <v>1723</v>
      </c>
      <c r="B3" s="1802" t="e">
        <f>ROUND(B2*10000/B4,0)</f>
        <v>#DIV/0!</v>
      </c>
      <c r="C3" s="1790" t="s">
        <v>1724</v>
      </c>
      <c r="D3" s="1790"/>
      <c r="E3" s="1803"/>
      <c r="F3" s="1798"/>
      <c r="G3" s="1799"/>
      <c r="H3" s="1800"/>
      <c r="I3" s="1897"/>
      <c r="J3" s="3862" t="s">
        <v>1934</v>
      </c>
      <c r="K3" s="3863"/>
      <c r="L3" s="1899"/>
      <c r="M3" s="1899"/>
      <c r="N3" s="1899"/>
      <c r="O3" s="1899"/>
      <c r="P3" s="1899"/>
      <c r="Q3" s="1939"/>
      <c r="R3" s="1940">
        <f>SUM(L3:Q3)</f>
        <v>0</v>
      </c>
      <c r="S3" s="1936"/>
      <c r="T3" s="1936"/>
      <c r="U3" s="1936"/>
      <c r="V3" s="1897"/>
    </row>
    <row r="4" spans="1:22" s="1781" customFormat="1" ht="13.15" customHeight="1">
      <c r="A4" s="1804" t="s">
        <v>622</v>
      </c>
      <c r="B4" s="1805"/>
      <c r="C4" s="1790"/>
      <c r="D4" s="1790"/>
      <c r="E4" s="1803"/>
      <c r="F4" s="1798"/>
      <c r="G4" s="1799"/>
      <c r="H4" s="1800"/>
      <c r="I4" s="1897"/>
      <c r="J4" s="3862" t="s">
        <v>1935</v>
      </c>
      <c r="K4" s="3863"/>
      <c r="L4" s="1900"/>
      <c r="M4" s="1900"/>
      <c r="N4" s="1900"/>
      <c r="O4" s="1900"/>
      <c r="P4" s="1900"/>
      <c r="Q4" s="1941"/>
      <c r="R4" s="1942">
        <f>SUM(L4:Q4)</f>
        <v>0</v>
      </c>
      <c r="S4" s="1936"/>
      <c r="T4" s="1936"/>
      <c r="U4" s="1936"/>
      <c r="V4" s="1897"/>
    </row>
    <row r="5" spans="1:22" s="1781" customFormat="1" ht="13.15" customHeight="1">
      <c r="A5" s="1806" t="s">
        <v>1936</v>
      </c>
      <c r="B5" s="1807"/>
      <c r="C5" s="1790"/>
      <c r="D5" s="1808"/>
      <c r="E5" s="1798"/>
      <c r="F5" s="1798"/>
      <c r="G5" s="1799"/>
      <c r="H5" s="1800"/>
      <c r="I5" s="1897"/>
      <c r="J5" s="1901" t="s">
        <v>1937</v>
      </c>
      <c r="K5" s="1902"/>
      <c r="L5" s="1902"/>
      <c r="M5" s="1903"/>
      <c r="N5" s="1903"/>
      <c r="O5" s="1903"/>
      <c r="P5" s="1903"/>
      <c r="Q5" s="1903"/>
      <c r="R5" s="1938">
        <f>SUM(R14,R19,R24,R25,R27,R28)</f>
        <v>0</v>
      </c>
      <c r="S5" s="1936"/>
      <c r="T5" s="1936" t="s">
        <v>1938</v>
      </c>
      <c r="U5" s="1936" t="e">
        <f>ROUND(R5*10000/365/R3,1)</f>
        <v>#DIV/0!</v>
      </c>
      <c r="V5" s="1897"/>
    </row>
    <row r="6" spans="1:22" s="1781" customFormat="1" ht="13.15" customHeight="1">
      <c r="A6" s="3872" t="s">
        <v>1939</v>
      </c>
      <c r="B6" s="3873"/>
      <c r="C6" s="3874"/>
      <c r="D6" s="1809"/>
      <c r="E6" s="1810"/>
      <c r="F6" s="1811"/>
      <c r="G6" s="1812"/>
      <c r="H6" s="1800"/>
      <c r="I6" s="1897"/>
      <c r="J6" s="3856">
        <v>1</v>
      </c>
      <c r="K6" s="3859" t="s">
        <v>1940</v>
      </c>
      <c r="L6" s="1905" t="s">
        <v>1941</v>
      </c>
      <c r="M6" s="1906" t="s">
        <v>1942</v>
      </c>
      <c r="N6" s="1906" t="s">
        <v>1943</v>
      </c>
      <c r="O6" s="1906" t="s">
        <v>1944</v>
      </c>
      <c r="P6" s="1906" t="s">
        <v>1945</v>
      </c>
      <c r="Q6" s="1906" t="s">
        <v>1946</v>
      </c>
      <c r="R6" s="1940" t="s">
        <v>1947</v>
      </c>
      <c r="S6" s="1936"/>
      <c r="T6" s="1936" t="s">
        <v>1948</v>
      </c>
      <c r="U6" s="1936"/>
      <c r="V6" s="1897"/>
    </row>
    <row r="7" spans="1:22" s="1781" customFormat="1" ht="13.15" customHeight="1">
      <c r="A7" s="1813" t="s">
        <v>1949</v>
      </c>
      <c r="B7" s="1814"/>
      <c r="C7" s="1815"/>
      <c r="D7" s="1816">
        <f>SUM(D9,D10,D11,D17,0)</f>
        <v>0</v>
      </c>
      <c r="E7" s="1817" t="e">
        <f>E9+E10+E11+E17</f>
        <v>#DIV/0!</v>
      </c>
      <c r="F7" s="1818"/>
      <c r="G7" s="1819"/>
      <c r="H7" s="1800"/>
      <c r="I7" s="1897"/>
      <c r="J7" s="3856"/>
      <c r="K7" s="3860"/>
      <c r="L7" s="1907" t="s">
        <v>1950</v>
      </c>
      <c r="M7" s="1908"/>
      <c r="N7" s="1805"/>
      <c r="O7" s="1909"/>
      <c r="P7" s="1909"/>
      <c r="Q7" s="1838">
        <v>365</v>
      </c>
      <c r="R7" s="1943">
        <f>ROUND(M7*N7*O7*P7*Q7/10000,0)</f>
        <v>0</v>
      </c>
      <c r="S7" s="1936"/>
      <c r="T7" s="1936" t="s">
        <v>1951</v>
      </c>
      <c r="U7" s="1936"/>
      <c r="V7" s="1897"/>
    </row>
    <row r="8" spans="1:22" s="1781" customFormat="1" ht="13.15" customHeight="1">
      <c r="A8" s="1820" t="s">
        <v>1952</v>
      </c>
      <c r="B8" s="3870" t="s">
        <v>1953</v>
      </c>
      <c r="C8" s="3871"/>
      <c r="D8" s="1823" t="s">
        <v>1954</v>
      </c>
      <c r="E8" s="1824" t="s">
        <v>1955</v>
      </c>
      <c r="F8" s="1825" t="s">
        <v>1956</v>
      </c>
      <c r="G8" s="1826"/>
      <c r="H8" s="1800"/>
      <c r="I8" s="1897"/>
      <c r="J8" s="3856"/>
      <c r="K8" s="3860"/>
      <c r="L8" s="1907" t="s">
        <v>1957</v>
      </c>
      <c r="M8" s="1908"/>
      <c r="N8" s="1805"/>
      <c r="O8" s="1909"/>
      <c r="P8" s="1909"/>
      <c r="Q8" s="1838">
        <v>365</v>
      </c>
      <c r="R8" s="1943">
        <f t="shared" ref="R8:R13" si="0">ROUND(M8*N8*O8*P8*Q8/10000,0)</f>
        <v>0</v>
      </c>
      <c r="S8" s="1936"/>
      <c r="T8" s="1936" t="s">
        <v>1958</v>
      </c>
      <c r="U8" s="1936"/>
      <c r="V8" s="1897"/>
    </row>
    <row r="9" spans="1:22" s="1781" customFormat="1" ht="13.15" customHeight="1">
      <c r="A9" s="1820">
        <v>1</v>
      </c>
      <c r="B9" s="3870" t="s">
        <v>1959</v>
      </c>
      <c r="C9" s="3871"/>
      <c r="D9" s="1823">
        <f>ROUND(D6*E9,0)</f>
        <v>0</v>
      </c>
      <c r="E9" s="1827"/>
      <c r="F9" s="1828" t="s">
        <v>1960</v>
      </c>
      <c r="G9" s="1812"/>
      <c r="H9" s="1800"/>
      <c r="I9" s="1897"/>
      <c r="J9" s="3856"/>
      <c r="K9" s="3860"/>
      <c r="L9" s="1907" t="s">
        <v>1961</v>
      </c>
      <c r="M9" s="1908"/>
      <c r="N9" s="1805"/>
      <c r="O9" s="1909"/>
      <c r="P9" s="1909"/>
      <c r="Q9" s="1838">
        <v>365</v>
      </c>
      <c r="R9" s="1943">
        <f t="shared" si="0"/>
        <v>0</v>
      </c>
      <c r="S9" s="1936"/>
      <c r="T9" s="1936"/>
      <c r="U9" s="1936"/>
      <c r="V9" s="1897"/>
    </row>
    <row r="10" spans="1:22" s="1781" customFormat="1" ht="13.15" customHeight="1">
      <c r="A10" s="1820">
        <v>2</v>
      </c>
      <c r="B10" s="3870" t="s">
        <v>1962</v>
      </c>
      <c r="C10" s="3871"/>
      <c r="D10" s="1823">
        <f>ROUND(D6*E10,0)</f>
        <v>0</v>
      </c>
      <c r="E10" s="1827"/>
      <c r="F10" s="1828" t="s">
        <v>1963</v>
      </c>
      <c r="G10" s="1812"/>
      <c r="H10" s="1800"/>
      <c r="I10" s="1897"/>
      <c r="J10" s="3856"/>
      <c r="K10" s="3860"/>
      <c r="L10" s="1907" t="s">
        <v>1964</v>
      </c>
      <c r="M10" s="1908"/>
      <c r="N10" s="1805"/>
      <c r="O10" s="1909"/>
      <c r="P10" s="1909"/>
      <c r="Q10" s="1838">
        <v>365</v>
      </c>
      <c r="R10" s="1943">
        <f t="shared" si="0"/>
        <v>0</v>
      </c>
      <c r="S10" s="1936"/>
      <c r="T10" s="1936"/>
      <c r="U10" s="1936"/>
      <c r="V10" s="1897"/>
    </row>
    <row r="11" spans="1:22" s="1781" customFormat="1" ht="13.15" customHeight="1">
      <c r="A11" s="1820">
        <v>3</v>
      </c>
      <c r="B11" s="3870" t="s">
        <v>1965</v>
      </c>
      <c r="C11" s="3871"/>
      <c r="D11" s="1823">
        <f>D12+D14+D15+D16</f>
        <v>0</v>
      </c>
      <c r="E11" s="1829" t="e">
        <f>D11/D6</f>
        <v>#DIV/0!</v>
      </c>
      <c r="F11" s="1825"/>
      <c r="G11" s="1826"/>
      <c r="H11" s="1800"/>
      <c r="I11" s="1897"/>
      <c r="J11" s="3856"/>
      <c r="K11" s="3860"/>
      <c r="L11" s="1907" t="s">
        <v>1966</v>
      </c>
      <c r="M11" s="1908"/>
      <c r="N11" s="1805"/>
      <c r="O11" s="1909"/>
      <c r="P11" s="1909"/>
      <c r="Q11" s="1838">
        <v>365</v>
      </c>
      <c r="R11" s="1943">
        <f t="shared" si="0"/>
        <v>0</v>
      </c>
      <c r="S11" s="1936"/>
      <c r="T11" s="1936"/>
      <c r="U11" s="1936"/>
      <c r="V11" s="1897"/>
    </row>
    <row r="12" spans="1:22" s="1781" customFormat="1" ht="13.15" customHeight="1">
      <c r="A12" s="1830" t="s">
        <v>1967</v>
      </c>
      <c r="B12" s="3864" t="s">
        <v>1968</v>
      </c>
      <c r="C12" s="3865"/>
      <c r="D12" s="1833">
        <f>ROUND(D13*1.2%*(1-30%),0)</f>
        <v>0</v>
      </c>
      <c r="E12" s="1834">
        <v>1.2E-2</v>
      </c>
      <c r="F12" s="1825" t="s">
        <v>1969</v>
      </c>
      <c r="G12" s="1826"/>
      <c r="H12" s="1800"/>
      <c r="I12" s="1897"/>
      <c r="J12" s="3856"/>
      <c r="K12" s="3860"/>
      <c r="L12" s="1907" t="s">
        <v>1970</v>
      </c>
      <c r="M12" s="1908"/>
      <c r="N12" s="1805"/>
      <c r="O12" s="1909"/>
      <c r="P12" s="1909"/>
      <c r="Q12" s="1838">
        <v>365</v>
      </c>
      <c r="R12" s="1943">
        <f t="shared" si="0"/>
        <v>0</v>
      </c>
      <c r="S12" s="1936"/>
      <c r="T12" s="1936"/>
      <c r="U12" s="1936"/>
      <c r="V12" s="1897"/>
    </row>
    <row r="13" spans="1:22" s="1781" customFormat="1" ht="13.15" customHeight="1">
      <c r="A13" s="1830"/>
      <c r="B13" s="1831"/>
      <c r="C13" s="1835" t="s">
        <v>1971</v>
      </c>
      <c r="D13" s="1836"/>
      <c r="E13" s="1837"/>
      <c r="F13" s="1825"/>
      <c r="G13" s="1826"/>
      <c r="H13" s="1800"/>
      <c r="I13" s="1897"/>
      <c r="J13" s="3856"/>
      <c r="K13" s="3860"/>
      <c r="L13" s="1907" t="s">
        <v>1972</v>
      </c>
      <c r="M13" s="1908"/>
      <c r="N13" s="1805"/>
      <c r="O13" s="1909"/>
      <c r="P13" s="1909"/>
      <c r="Q13" s="1838">
        <v>365</v>
      </c>
      <c r="R13" s="1943">
        <f t="shared" si="0"/>
        <v>0</v>
      </c>
      <c r="S13" s="1936"/>
      <c r="T13" s="1936"/>
      <c r="U13" s="1936"/>
      <c r="V13" s="1897"/>
    </row>
    <row r="14" spans="1:22" s="1781" customFormat="1" ht="13.15" customHeight="1">
      <c r="A14" s="1830" t="s">
        <v>1973</v>
      </c>
      <c r="B14" s="3864" t="s">
        <v>1974</v>
      </c>
      <c r="C14" s="3865"/>
      <c r="D14" s="1833">
        <f>ROUND(E14*B5/10000,0)</f>
        <v>0</v>
      </c>
      <c r="E14" s="1838"/>
      <c r="F14" s="1825" t="s">
        <v>1975</v>
      </c>
      <c r="G14" s="1826"/>
      <c r="H14" s="1800"/>
      <c r="I14" s="1897"/>
      <c r="J14" s="3856"/>
      <c r="K14" s="3861"/>
      <c r="L14" s="1910" t="s">
        <v>1976</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1977</v>
      </c>
      <c r="B15" s="3864" t="s">
        <v>1978</v>
      </c>
      <c r="C15" s="3865"/>
      <c r="D15" s="1833">
        <f>ROUND(D6*E15,0)</f>
        <v>0</v>
      </c>
      <c r="E15" s="1834">
        <v>5.5E-2</v>
      </c>
      <c r="F15" s="1825" t="s">
        <v>1979</v>
      </c>
      <c r="G15" s="1812"/>
      <c r="H15" s="1800"/>
      <c r="I15" s="1897"/>
      <c r="J15" s="3856">
        <v>2</v>
      </c>
      <c r="K15" s="3859" t="s">
        <v>1980</v>
      </c>
      <c r="L15" s="1907" t="s">
        <v>1981</v>
      </c>
      <c r="M15" s="1908" t="s">
        <v>1982</v>
      </c>
      <c r="N15" s="1908" t="s">
        <v>1983</v>
      </c>
      <c r="O15" s="1909" t="s">
        <v>1984</v>
      </c>
      <c r="P15" s="1909" t="s">
        <v>1946</v>
      </c>
      <c r="Q15" s="1805" t="s">
        <v>124</v>
      </c>
      <c r="R15" s="1945" t="s">
        <v>1947</v>
      </c>
      <c r="S15" s="1936"/>
      <c r="T15" s="1936"/>
      <c r="U15" s="1936"/>
      <c r="V15" s="1897"/>
    </row>
    <row r="16" spans="1:22" s="1781" customFormat="1" ht="13.15" customHeight="1">
      <c r="A16" s="1830" t="s">
        <v>1985</v>
      </c>
      <c r="B16" s="3864" t="s">
        <v>1986</v>
      </c>
      <c r="C16" s="3865"/>
      <c r="D16" s="1839">
        <f>D6*E16</f>
        <v>0</v>
      </c>
      <c r="E16" s="1840"/>
      <c r="F16" s="1828" t="s">
        <v>1987</v>
      </c>
      <c r="G16" s="1812"/>
      <c r="H16" s="1800"/>
      <c r="I16" s="1897"/>
      <c r="J16" s="3856"/>
      <c r="K16" s="3860"/>
      <c r="L16" s="1907" t="s">
        <v>1988</v>
      </c>
      <c r="M16" s="1908"/>
      <c r="N16" s="1908"/>
      <c r="O16" s="1909"/>
      <c r="P16" s="1838">
        <v>365</v>
      </c>
      <c r="Q16" s="1805"/>
      <c r="R16" s="1945">
        <f>ROUND(M16*N16*O16*P16/10000,0)</f>
        <v>0</v>
      </c>
      <c r="S16" s="1936"/>
      <c r="T16" s="1936"/>
      <c r="U16" s="1936"/>
      <c r="V16" s="1897"/>
    </row>
    <row r="17" spans="1:22" s="1781" customFormat="1" ht="13.15" customHeight="1">
      <c r="A17" s="1841">
        <v>4</v>
      </c>
      <c r="B17" s="3866" t="s">
        <v>1989</v>
      </c>
      <c r="C17" s="3867"/>
      <c r="D17" s="1842">
        <f>ROUND(D6*E17,0)</f>
        <v>0</v>
      </c>
      <c r="E17" s="1843"/>
      <c r="F17" s="1844" t="s">
        <v>1990</v>
      </c>
      <c r="G17" s="1812"/>
      <c r="H17" s="1800"/>
      <c r="I17" s="1897"/>
      <c r="J17" s="3856"/>
      <c r="K17" s="3860"/>
      <c r="L17" s="1907" t="s">
        <v>1991</v>
      </c>
      <c r="M17" s="1908"/>
      <c r="N17" s="1908"/>
      <c r="O17" s="1909"/>
      <c r="P17" s="1838">
        <v>365</v>
      </c>
      <c r="Q17" s="1805"/>
      <c r="R17" s="1945">
        <f>ROUND(M17*N17*O17*P17/10000,0)</f>
        <v>0</v>
      </c>
      <c r="S17" s="1936"/>
      <c r="T17" s="1936"/>
      <c r="U17" s="1936"/>
      <c r="V17" s="1897"/>
    </row>
    <row r="18" spans="1:22" s="1781" customFormat="1" ht="13.15" customHeight="1">
      <c r="A18" s="1813" t="s">
        <v>1992</v>
      </c>
      <c r="B18" s="1814"/>
      <c r="C18" s="1814"/>
      <c r="D18" s="1845">
        <f>ROUND(D6*E18,0)</f>
        <v>0</v>
      </c>
      <c r="E18" s="1846"/>
      <c r="F18" s="1847" t="s">
        <v>1993</v>
      </c>
      <c r="G18" s="1812"/>
      <c r="H18" s="1800"/>
      <c r="I18" s="1897"/>
      <c r="J18" s="3856"/>
      <c r="K18" s="3860"/>
      <c r="L18" s="1907" t="s">
        <v>1994</v>
      </c>
      <c r="M18" s="1908"/>
      <c r="N18" s="1908"/>
      <c r="O18" s="1909"/>
      <c r="P18" s="1838">
        <v>365</v>
      </c>
      <c r="Q18" s="1805"/>
      <c r="R18" s="1945">
        <f>ROUND(M18*N18*O18*P18/10000,0)</f>
        <v>0</v>
      </c>
      <c r="S18" s="1936"/>
      <c r="T18" s="1936"/>
      <c r="U18" s="1936"/>
      <c r="V18" s="1897"/>
    </row>
    <row r="19" spans="1:22" s="1781" customFormat="1" ht="13.15" customHeight="1">
      <c r="A19" s="1848" t="s">
        <v>1995</v>
      </c>
      <c r="B19" s="1810"/>
      <c r="C19" s="1810"/>
      <c r="D19" s="1810"/>
      <c r="E19" s="1810"/>
      <c r="F19" s="1811"/>
      <c r="G19" s="1826"/>
      <c r="H19" s="1800"/>
      <c r="I19" s="1897"/>
      <c r="J19" s="3856"/>
      <c r="K19" s="3861"/>
      <c r="L19" s="1910" t="s">
        <v>1976</v>
      </c>
      <c r="M19" s="1911"/>
      <c r="N19" s="1911">
        <f>SUM(N16:N18)</f>
        <v>0</v>
      </c>
      <c r="O19" s="1912"/>
      <c r="P19" s="1913" t="s">
        <v>1996</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856">
        <v>3</v>
      </c>
      <c r="K20" s="3859" t="s">
        <v>1997</v>
      </c>
      <c r="L20" s="1907" t="s">
        <v>1998</v>
      </c>
      <c r="M20" s="1908" t="s">
        <v>1999</v>
      </c>
      <c r="N20" s="1914" t="s">
        <v>2000</v>
      </c>
      <c r="O20" s="1909" t="s">
        <v>2001</v>
      </c>
      <c r="P20" s="1838" t="s">
        <v>1946</v>
      </c>
      <c r="Q20" s="1805" t="s">
        <v>124</v>
      </c>
      <c r="R20" s="1945" t="s">
        <v>1947</v>
      </c>
      <c r="S20" s="1933"/>
      <c r="T20" s="1933"/>
      <c r="U20" s="1933"/>
      <c r="V20" s="1897"/>
    </row>
    <row r="21" spans="1:22" s="1781" customFormat="1" ht="13.15" customHeight="1">
      <c r="A21" s="1813"/>
      <c r="B21" s="1814"/>
      <c r="C21" s="1821" t="s">
        <v>2002</v>
      </c>
      <c r="D21" s="1850" t="s">
        <v>2003</v>
      </c>
      <c r="E21" s="1822" t="s">
        <v>2004</v>
      </c>
      <c r="F21" s="1849"/>
      <c r="G21" s="1826"/>
      <c r="H21" s="1800"/>
      <c r="I21" s="1897"/>
      <c r="J21" s="3856"/>
      <c r="K21" s="3860"/>
      <c r="L21" s="1907" t="s">
        <v>2005</v>
      </c>
      <c r="M21" s="1908"/>
      <c r="N21" s="1908"/>
      <c r="O21" s="1909"/>
      <c r="P21" s="1838">
        <v>365</v>
      </c>
      <c r="Q21" s="1805"/>
      <c r="R21" s="1947">
        <f>ROUND(M21*N21*O21*P21/10000,0)</f>
        <v>0</v>
      </c>
      <c r="S21" s="1933"/>
      <c r="T21" s="1933"/>
      <c r="U21" s="1933"/>
      <c r="V21" s="1897"/>
    </row>
    <row r="22" spans="1:22" s="1781" customFormat="1" ht="13.15" customHeight="1">
      <c r="A22" s="1813"/>
      <c r="B22" s="1814"/>
      <c r="C22" s="1851" t="s">
        <v>2006</v>
      </c>
      <c r="D22" s="1852" t="s">
        <v>2007</v>
      </c>
      <c r="E22" s="1853" t="s">
        <v>2008</v>
      </c>
      <c r="F22" s="1849"/>
      <c r="G22" s="1854"/>
      <c r="H22" s="1800"/>
      <c r="I22" s="1897"/>
      <c r="J22" s="3856"/>
      <c r="K22" s="3860"/>
      <c r="L22" s="1907" t="s">
        <v>2009</v>
      </c>
      <c r="M22" s="1908"/>
      <c r="N22" s="1908"/>
      <c r="O22" s="1909"/>
      <c r="P22" s="1838">
        <v>365</v>
      </c>
      <c r="Q22" s="1805"/>
      <c r="R22" s="1947">
        <f>ROUND(M22*N22*O22*P22/10000,0)</f>
        <v>0</v>
      </c>
      <c r="S22" s="1933"/>
      <c r="T22" s="1933"/>
      <c r="U22" s="1933"/>
      <c r="V22" s="1897"/>
    </row>
    <row r="23" spans="1:22" s="1781" customFormat="1" ht="13.15" customHeight="1">
      <c r="A23" s="1855">
        <v>1</v>
      </c>
      <c r="B23" s="1856" t="s">
        <v>2010</v>
      </c>
      <c r="C23" s="1857">
        <f>D6</f>
        <v>0</v>
      </c>
      <c r="D23" s="1858">
        <f>C23*(1+D24)</f>
        <v>0</v>
      </c>
      <c r="E23" s="1859">
        <f>D23*(1+E24)</f>
        <v>0</v>
      </c>
      <c r="F23" s="1860"/>
      <c r="G23" s="1861"/>
      <c r="H23" s="1800"/>
      <c r="I23" s="1897"/>
      <c r="J23" s="3856"/>
      <c r="K23" s="3860"/>
      <c r="L23" s="1907" t="s">
        <v>2011</v>
      </c>
      <c r="M23" s="1908"/>
      <c r="N23" s="1908"/>
      <c r="O23" s="1909"/>
      <c r="P23" s="1838">
        <v>365</v>
      </c>
      <c r="Q23" s="1805"/>
      <c r="R23" s="1947">
        <f>ROUND(M23*N23*O23*P23/10000,0)</f>
        <v>0</v>
      </c>
      <c r="S23" s="1936"/>
      <c r="T23" s="1936"/>
      <c r="U23" s="1936"/>
      <c r="V23" s="1897"/>
    </row>
    <row r="24" spans="1:22" s="1781" customFormat="1" ht="13.15" customHeight="1">
      <c r="A24" s="1862"/>
      <c r="B24" s="1863" t="s">
        <v>2012</v>
      </c>
      <c r="C24" s="1864"/>
      <c r="D24" s="1865"/>
      <c r="E24" s="1866"/>
      <c r="F24" s="1867"/>
      <c r="G24" s="1861"/>
      <c r="H24" s="1800"/>
      <c r="I24" s="1897"/>
      <c r="J24" s="3856"/>
      <c r="K24" s="3861"/>
      <c r="L24" s="1910" t="s">
        <v>1976</v>
      </c>
      <c r="M24" s="1911">
        <f>SUM(M21:M23)</f>
        <v>0</v>
      </c>
      <c r="N24" s="1911"/>
      <c r="O24" s="1912"/>
      <c r="P24" s="1913" t="s">
        <v>1996</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2013</v>
      </c>
      <c r="L25" s="1916"/>
      <c r="M25" s="1916"/>
      <c r="N25" s="1916"/>
      <c r="O25" s="1916"/>
      <c r="P25" s="1917"/>
      <c r="Q25" s="1948">
        <v>0</v>
      </c>
      <c r="R25" s="1946">
        <f>ROUND(R14*Q25,0)</f>
        <v>0</v>
      </c>
      <c r="S25" s="1936"/>
      <c r="T25" s="1936"/>
      <c r="U25" s="1936"/>
      <c r="V25" s="1923"/>
    </row>
    <row r="26" spans="1:22" s="1782" customFormat="1" ht="13.15" customHeight="1">
      <c r="A26" s="1855">
        <v>2</v>
      </c>
      <c r="B26" s="1856" t="s">
        <v>2014</v>
      </c>
      <c r="C26" s="1857">
        <f>D7</f>
        <v>0</v>
      </c>
      <c r="D26" s="1858">
        <f>D23*D27</f>
        <v>0</v>
      </c>
      <c r="E26" s="1859">
        <f>E23*E27</f>
        <v>0</v>
      </c>
      <c r="F26" s="1860"/>
      <c r="G26" s="1861"/>
      <c r="H26" s="1800"/>
      <c r="I26" s="1897"/>
      <c r="J26" s="3857">
        <v>5</v>
      </c>
      <c r="K26" s="1918" t="s">
        <v>2015</v>
      </c>
      <c r="L26" s="1919"/>
      <c r="M26" s="1920"/>
      <c r="N26" s="1921" t="s">
        <v>458</v>
      </c>
      <c r="O26" s="1921" t="s">
        <v>2016</v>
      </c>
      <c r="P26" s="1922" t="s">
        <v>2017</v>
      </c>
      <c r="Q26" s="1922" t="s">
        <v>2018</v>
      </c>
      <c r="R26" s="1940" t="s">
        <v>1947</v>
      </c>
      <c r="S26" s="1949"/>
      <c r="T26" s="1949"/>
      <c r="U26" s="1949"/>
      <c r="V26" s="1923"/>
    </row>
    <row r="27" spans="1:22" s="1781" customFormat="1" ht="13.15" customHeight="1">
      <c r="A27" s="1862"/>
      <c r="B27" s="1863" t="s">
        <v>2019</v>
      </c>
      <c r="C27" s="1868" t="e">
        <f>E7</f>
        <v>#DIV/0!</v>
      </c>
      <c r="D27" s="1865"/>
      <c r="E27" s="1866"/>
      <c r="F27" s="1867"/>
      <c r="G27" s="1861"/>
      <c r="H27" s="1869"/>
      <c r="I27" s="1923"/>
      <c r="J27" s="3858"/>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2020</v>
      </c>
      <c r="F28" s="1867"/>
      <c r="G28" s="1854"/>
      <c r="H28" s="1869"/>
      <c r="I28" s="1923"/>
      <c r="J28" s="1928">
        <v>6</v>
      </c>
      <c r="K28" s="1929" t="s">
        <v>2021</v>
      </c>
      <c r="L28" s="1930" t="s">
        <v>2022</v>
      </c>
      <c r="M28" s="1931"/>
      <c r="N28" s="1930" t="s">
        <v>2023</v>
      </c>
      <c r="O28" s="1932"/>
      <c r="P28" s="1930" t="s">
        <v>2024</v>
      </c>
      <c r="Q28" s="1951">
        <v>1.4999999999999999E-2</v>
      </c>
      <c r="R28" s="1952"/>
      <c r="S28" s="1933"/>
      <c r="T28" s="1933"/>
      <c r="U28" s="1933"/>
      <c r="V28" s="1923"/>
    </row>
    <row r="29" spans="1:22" s="1782" customFormat="1" ht="13.15" customHeight="1">
      <c r="A29" s="1855">
        <v>3</v>
      </c>
      <c r="B29" s="1856" t="s">
        <v>2025</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2019</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2026</v>
      </c>
      <c r="K31" s="1896"/>
      <c r="L31" s="1896"/>
      <c r="M31" s="1896"/>
      <c r="N31" s="1896"/>
      <c r="O31" s="1896"/>
      <c r="P31" s="1896"/>
      <c r="Q31" s="1896"/>
      <c r="R31" s="1935"/>
      <c r="S31" s="1933"/>
      <c r="T31" s="1936"/>
      <c r="U31" s="1936"/>
      <c r="V31" s="1923"/>
    </row>
    <row r="32" spans="1:22" s="1782" customFormat="1" ht="13.15" customHeight="1">
      <c r="A32" s="1855">
        <v>4</v>
      </c>
      <c r="B32" s="1856" t="s">
        <v>2027</v>
      </c>
      <c r="C32" s="1857">
        <f>C23-C26-C29</f>
        <v>0</v>
      </c>
      <c r="D32" s="1858">
        <f>D23-D26-D29</f>
        <v>0</v>
      </c>
      <c r="E32" s="1859">
        <f>E23-E26-E29</f>
        <v>0</v>
      </c>
      <c r="F32" s="1860"/>
      <c r="G32" s="1854"/>
      <c r="H32" s="1800"/>
      <c r="I32" s="1897"/>
      <c r="J32" s="3868" t="s">
        <v>1926</v>
      </c>
      <c r="K32" s="3869"/>
      <c r="L32" s="1898" t="s">
        <v>1927</v>
      </c>
      <c r="M32" s="1898" t="s">
        <v>1928</v>
      </c>
      <c r="N32" s="1898" t="s">
        <v>1929</v>
      </c>
      <c r="O32" s="1898" t="s">
        <v>1930</v>
      </c>
      <c r="P32" s="1898" t="s">
        <v>1931</v>
      </c>
      <c r="Q32" s="1937" t="s">
        <v>1932</v>
      </c>
      <c r="R32" s="1953" t="s">
        <v>1933</v>
      </c>
      <c r="S32" s="1933"/>
      <c r="T32" s="1936"/>
      <c r="U32" s="1936"/>
      <c r="V32" s="1923"/>
    </row>
    <row r="33" spans="1:23" s="1781" customFormat="1" ht="13.15" customHeight="1">
      <c r="A33" s="1855"/>
      <c r="B33" s="1856"/>
      <c r="C33" s="1857"/>
      <c r="D33" s="1872"/>
      <c r="E33" s="1832"/>
      <c r="F33" s="1860"/>
      <c r="G33" s="1854"/>
      <c r="H33" s="1869"/>
      <c r="I33" s="1923"/>
      <c r="J33" s="3862" t="s">
        <v>1934</v>
      </c>
      <c r="K33" s="3863"/>
      <c r="L33" s="1899"/>
      <c r="M33" s="1899"/>
      <c r="N33" s="1899"/>
      <c r="O33" s="1899"/>
      <c r="P33" s="1899"/>
      <c r="Q33" s="1939"/>
      <c r="R33" s="1954">
        <f>SUM(L33:Q33)</f>
        <v>0</v>
      </c>
      <c r="S33" s="1933"/>
      <c r="T33" s="1936"/>
      <c r="U33" s="1936"/>
      <c r="V33" s="1897"/>
    </row>
    <row r="34" spans="1:23" s="1781" customFormat="1" ht="13.15" customHeight="1">
      <c r="A34" s="1855">
        <v>5</v>
      </c>
      <c r="B34" s="1856" t="s">
        <v>2028</v>
      </c>
      <c r="C34" s="1873"/>
      <c r="D34" s="1874"/>
      <c r="E34" s="1875"/>
      <c r="F34" s="1860"/>
      <c r="G34" s="1854"/>
      <c r="H34" s="1869"/>
      <c r="I34" s="1923"/>
      <c r="J34" s="3862" t="s">
        <v>1935</v>
      </c>
      <c r="K34" s="3863"/>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2029</v>
      </c>
      <c r="C35" s="1876"/>
      <c r="D35" s="1877"/>
      <c r="E35" s="1878"/>
      <c r="F35" s="1860"/>
      <c r="G35" s="1879"/>
      <c r="H35" s="1800"/>
      <c r="I35" s="1923"/>
      <c r="J35" s="1901" t="s">
        <v>1937</v>
      </c>
      <c r="K35" s="1902"/>
      <c r="L35" s="1902"/>
      <c r="M35" s="1903"/>
      <c r="N35" s="1903"/>
      <c r="O35" s="1903"/>
      <c r="P35" s="1903"/>
      <c r="Q35" s="1903"/>
      <c r="R35" s="1956">
        <f>R40+R41+R43</f>
        <v>0</v>
      </c>
      <c r="S35" s="1933"/>
      <c r="T35" s="1936" t="s">
        <v>1938</v>
      </c>
      <c r="U35" s="1936"/>
      <c r="V35" s="1897"/>
    </row>
    <row r="36" spans="1:23" s="1781" customFormat="1" ht="13.15" customHeight="1">
      <c r="A36" s="1855">
        <v>7</v>
      </c>
      <c r="B36" s="1880" t="s">
        <v>2030</v>
      </c>
      <c r="C36" s="1881"/>
      <c r="D36" s="1882"/>
      <c r="E36" s="1883"/>
      <c r="F36" s="1884">
        <f>C36+D36+E36</f>
        <v>0</v>
      </c>
      <c r="G36" s="1854"/>
      <c r="H36" s="1800"/>
      <c r="I36" s="1897"/>
      <c r="J36" s="3856">
        <v>1</v>
      </c>
      <c r="K36" s="3859" t="s">
        <v>2031</v>
      </c>
      <c r="L36" s="1905"/>
      <c r="M36" s="1906"/>
      <c r="N36" s="1906"/>
      <c r="O36" s="1906"/>
      <c r="P36" s="1906"/>
      <c r="Q36" s="1906"/>
      <c r="R36" s="1940" t="s">
        <v>1947</v>
      </c>
      <c r="S36" s="1933"/>
      <c r="T36" s="1936" t="s">
        <v>1948</v>
      </c>
      <c r="U36" s="1936"/>
      <c r="V36" s="1897"/>
    </row>
    <row r="37" spans="1:23" s="1781" customFormat="1" ht="13.15" customHeight="1">
      <c r="A37" s="1855"/>
      <c r="B37" s="1856"/>
      <c r="C37" s="1856"/>
      <c r="D37" s="1856"/>
      <c r="E37" s="1856"/>
      <c r="F37" s="1860"/>
      <c r="G37" s="1854"/>
      <c r="H37" s="1800"/>
      <c r="I37" s="1897"/>
      <c r="J37" s="3856"/>
      <c r="K37" s="3860"/>
      <c r="L37" s="1907"/>
      <c r="M37" s="1908"/>
      <c r="N37" s="1805"/>
      <c r="O37" s="1909"/>
      <c r="P37" s="1909"/>
      <c r="Q37" s="1838"/>
      <c r="R37" s="1943"/>
      <c r="S37" s="1933"/>
      <c r="T37" s="1936" t="s">
        <v>1951</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856"/>
      <c r="K38" s="3860"/>
      <c r="L38" s="1907"/>
      <c r="M38" s="1908"/>
      <c r="N38" s="1805"/>
      <c r="O38" s="1909"/>
      <c r="P38" s="1909"/>
      <c r="Q38" s="1838"/>
      <c r="R38" s="1943"/>
      <c r="S38" s="1933"/>
      <c r="T38" s="1936" t="s">
        <v>1958</v>
      </c>
      <c r="U38" s="1936"/>
      <c r="V38" s="1897"/>
    </row>
    <row r="39" spans="1:23" s="1781" customFormat="1" ht="13.15" customHeight="1">
      <c r="A39" s="1855">
        <v>9</v>
      </c>
      <c r="B39" s="1856" t="s">
        <v>2032</v>
      </c>
      <c r="C39" s="1833" t="e">
        <f>C38</f>
        <v>#DIV/0!</v>
      </c>
      <c r="D39" s="1856">
        <f>D38/(1+D34)^C36</f>
        <v>0</v>
      </c>
      <c r="E39" s="1856">
        <f>E38/(1+E34)^(C36+D36)</f>
        <v>0</v>
      </c>
      <c r="F39" s="1860"/>
      <c r="G39" s="1885"/>
      <c r="H39" s="1800"/>
      <c r="I39" s="1897"/>
      <c r="J39" s="3856"/>
      <c r="K39" s="3860"/>
      <c r="L39" s="1907"/>
      <c r="M39" s="1908"/>
      <c r="N39" s="1805"/>
      <c r="O39" s="1909"/>
      <c r="P39" s="1909"/>
      <c r="Q39" s="1838"/>
      <c r="R39" s="1943"/>
      <c r="S39" s="1933"/>
      <c r="T39" s="1936"/>
      <c r="U39" s="1936"/>
      <c r="V39" s="1897"/>
    </row>
    <row r="40" spans="1:23" s="1781" customFormat="1" ht="13.15" customHeight="1">
      <c r="A40" s="1886">
        <v>10</v>
      </c>
      <c r="B40" s="1856" t="s">
        <v>2033</v>
      </c>
      <c r="C40" s="1887" t="e">
        <f>C39+D39+E39</f>
        <v>#DIV/0!</v>
      </c>
      <c r="D40" s="1888"/>
      <c r="E40" s="1888"/>
      <c r="F40" s="1889"/>
      <c r="G40" s="1854"/>
      <c r="H40" s="1800"/>
      <c r="I40" s="1897"/>
      <c r="J40" s="3856"/>
      <c r="K40" s="3861"/>
      <c r="L40" s="1910" t="s">
        <v>1976</v>
      </c>
      <c r="M40" s="1911"/>
      <c r="N40" s="1911"/>
      <c r="O40" s="1912"/>
      <c r="P40" s="1912"/>
      <c r="Q40" s="1944"/>
      <c r="R40" s="1938">
        <f>SUM(R37:R39)</f>
        <v>0</v>
      </c>
      <c r="S40" s="1933"/>
      <c r="T40" s="1936"/>
      <c r="U40" s="1936"/>
      <c r="V40" s="1897"/>
    </row>
    <row r="41" spans="1:23" s="1781" customFormat="1" ht="13.15" customHeight="1">
      <c r="A41" s="1890">
        <v>11</v>
      </c>
      <c r="B41" s="1891" t="s">
        <v>2034</v>
      </c>
      <c r="C41" s="1891" t="e">
        <f>ROUND(C40*10000/B4,0)</f>
        <v>#DIV/0!</v>
      </c>
      <c r="D41" s="1892"/>
      <c r="E41" s="1892"/>
      <c r="F41" s="1893"/>
      <c r="G41" s="1894"/>
      <c r="H41" s="1800"/>
      <c r="I41" s="1897"/>
      <c r="J41" s="1904">
        <v>2</v>
      </c>
      <c r="K41" s="1915" t="s">
        <v>2013</v>
      </c>
      <c r="L41" s="1916"/>
      <c r="M41" s="1916"/>
      <c r="N41" s="1916"/>
      <c r="O41" s="1916"/>
      <c r="P41" s="1917"/>
      <c r="Q41" s="1948"/>
      <c r="R41" s="1946">
        <f>ROUND(R40*Q41,0)</f>
        <v>0</v>
      </c>
      <c r="S41" s="1933"/>
      <c r="T41" s="1936"/>
      <c r="U41" s="1949"/>
      <c r="V41" s="1897"/>
    </row>
    <row r="42" spans="1:23" s="1781" customFormat="1" ht="13.15" customHeight="1">
      <c r="G42" s="1894"/>
      <c r="H42" s="1800"/>
      <c r="I42" s="1897"/>
      <c r="J42" s="3857">
        <v>3</v>
      </c>
      <c r="K42" s="1918" t="s">
        <v>2015</v>
      </c>
      <c r="L42" s="1919"/>
      <c r="M42" s="1920"/>
      <c r="N42" s="1921" t="s">
        <v>458</v>
      </c>
      <c r="O42" s="1921" t="s">
        <v>2016</v>
      </c>
      <c r="P42" s="1922" t="s">
        <v>2017</v>
      </c>
      <c r="Q42" s="1922" t="s">
        <v>2018</v>
      </c>
      <c r="R42" s="1940" t="s">
        <v>1947</v>
      </c>
      <c r="S42" s="1949"/>
      <c r="T42" s="1949"/>
      <c r="U42" s="1936"/>
      <c r="V42" s="1897"/>
    </row>
    <row r="43" spans="1:23" ht="13.15" customHeight="1">
      <c r="A43" s="1781"/>
      <c r="B43" s="1781"/>
      <c r="C43" s="1781"/>
      <c r="D43" s="1781"/>
      <c r="E43" s="1781"/>
      <c r="F43" s="1781"/>
      <c r="I43" s="1785"/>
      <c r="J43" s="3858"/>
      <c r="K43" s="1924"/>
      <c r="L43" s="1925"/>
      <c r="M43" s="1926"/>
      <c r="N43" s="1908"/>
      <c r="O43" s="1908"/>
      <c r="P43" s="1908"/>
      <c r="Q43" s="1948"/>
      <c r="R43" s="1946">
        <f>ROUND(O43*N43*P43*(1-Q43)/10000,0)</f>
        <v>0</v>
      </c>
      <c r="S43" s="1933"/>
      <c r="T43" s="1936"/>
      <c r="V43" s="1787"/>
      <c r="W43" s="1957"/>
    </row>
    <row r="44" spans="1:23" ht="13.15" customHeight="1">
      <c r="J44" s="1928">
        <v>6</v>
      </c>
      <c r="K44" s="1929" t="s">
        <v>2021</v>
      </c>
      <c r="L44" s="1934" t="s">
        <v>2022</v>
      </c>
      <c r="M44" s="1931"/>
      <c r="N44" s="1934" t="s">
        <v>2023</v>
      </c>
      <c r="O44" s="1931"/>
      <c r="P44" s="1934" t="s">
        <v>2024</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R48" sqref="P47:R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2263</v>
      </c>
      <c r="B1" s="375"/>
      <c r="C1" s="378" t="s">
        <v>2048</v>
      </c>
      <c r="D1" s="546">
        <f>SUM(D33:D34,D37:D42)</f>
        <v>0</v>
      </c>
      <c r="E1" s="547"/>
      <c r="F1" s="547"/>
      <c r="G1" s="547"/>
      <c r="H1" s="547"/>
      <c r="I1" s="547"/>
      <c r="J1" s="547"/>
      <c r="K1" s="539"/>
      <c r="L1" s="752" t="s">
        <v>2264</v>
      </c>
      <c r="M1" s="753">
        <f>SUMPRODUCT((区片价!B5:B9=I2)*(区片价!C3:G3=E2)*(区片价!C5:G9))</f>
        <v>0</v>
      </c>
      <c r="N1" s="754">
        <f>SUMPRODUCT((因素修正幅度!B5:B9=I2)*(因素修正幅度!C3:G3=E2)*(因素修正幅度!C5:G9))</f>
        <v>0</v>
      </c>
      <c r="O1" s="540"/>
      <c r="P1" s="540"/>
      <c r="Q1" s="539"/>
      <c r="R1" s="846" t="s">
        <v>2265</v>
      </c>
      <c r="S1" s="846" t="s">
        <v>2266</v>
      </c>
      <c r="T1" s="846" t="s">
        <v>2267</v>
      </c>
      <c r="U1" s="846" t="s">
        <v>2268</v>
      </c>
      <c r="V1" s="846" t="s">
        <v>2269</v>
      </c>
      <c r="W1" s="847"/>
      <c r="X1" s="847"/>
      <c r="Y1" s="847"/>
      <c r="Z1" s="847"/>
      <c r="AA1" s="847"/>
      <c r="AB1" s="847"/>
      <c r="AC1" s="858"/>
      <c r="AD1" s="859"/>
      <c r="AE1" s="859"/>
      <c r="AF1" s="859"/>
      <c r="AG1" s="859"/>
      <c r="AH1" s="859"/>
      <c r="AI1" s="859"/>
      <c r="AJ1" s="868"/>
    </row>
    <row r="2" spans="1:36" ht="15.75">
      <c r="A2" s="378" t="s">
        <v>1561</v>
      </c>
      <c r="B2" s="382" t="e">
        <f>C30</f>
        <v>#DIV/0!</v>
      </c>
      <c r="C2" s="548" t="s">
        <v>1562</v>
      </c>
      <c r="D2" s="549" t="s">
        <v>2270</v>
      </c>
      <c r="E2" s="550" t="s">
        <v>919</v>
      </c>
      <c r="F2" s="549" t="s">
        <v>2271</v>
      </c>
      <c r="G2" s="551" t="str">
        <f>IF(E2="商业",项目基本情况!B37,IF(E2="办公",项目基本情况!C37,IF(E2="住宅",项目基本情况!D37,IF(E2="工业",项目基本情况!E37,项目基本情况!F37))))</f>
        <v>六级</v>
      </c>
      <c r="H2" s="549" t="s">
        <v>2272</v>
      </c>
      <c r="I2" s="551" t="str">
        <f>IF(E2="商业",项目基本情况!B38,IF(E2="办公",项目基本情况!C38,IF(E2="住宅",项目基本情况!D38,IF(E2="工业",项目基本情况!E38,项目基本情况!F38))))</f>
        <v>Ⅵ-亦1</v>
      </c>
      <c r="J2" s="755"/>
      <c r="K2" s="539"/>
      <c r="L2" s="756" t="s">
        <v>2273</v>
      </c>
      <c r="M2" s="757">
        <f>SUMPRODUCT((区片价!B10:B29=I2)*(区片价!C3:G3=E2)*(区片价!C10:G29))</f>
        <v>0</v>
      </c>
      <c r="N2" s="754">
        <f>SUMPRODUCT((因素修正幅度!B10:B29=I2)*(因素修正幅度!C3:G3=E2)*(因素修正幅度!C10:G29))</f>
        <v>0</v>
      </c>
      <c r="O2" s="539"/>
      <c r="P2" s="539"/>
      <c r="Q2" s="539"/>
      <c r="R2" s="846">
        <v>1</v>
      </c>
      <c r="S2" s="848">
        <f>ROUND(SUMPRODUCT((B106:B110=R2)*(C105:N105=G2)*(C106:N110)),4)</f>
        <v>1.5019</v>
      </c>
      <c r="T2" s="848" t="e">
        <f t="shared" ref="T2:T16" si="0">ROUND($C$5*$C$22*$C$23*$C$24*S2*$C$28,0)</f>
        <v>#DIV/0!</v>
      </c>
      <c r="U2" s="849">
        <f>兴盛国际不动产查询!B17</f>
        <v>2495.27</v>
      </c>
      <c r="V2" s="848" t="e">
        <f>ROUND(T2*U2/10000,0)</f>
        <v>#DIV/0!</v>
      </c>
      <c r="W2" s="847"/>
      <c r="X2" s="847"/>
      <c r="Y2" s="847"/>
      <c r="Z2" s="847"/>
      <c r="AA2" s="847"/>
      <c r="AB2" s="847"/>
      <c r="AC2" s="858"/>
      <c r="AD2" s="859"/>
      <c r="AE2" s="859"/>
      <c r="AF2" s="859"/>
      <c r="AG2" s="859"/>
      <c r="AH2" s="859"/>
      <c r="AI2" s="859"/>
      <c r="AJ2" s="868"/>
    </row>
    <row r="3" spans="1:36" ht="15.75">
      <c r="A3" s="381" t="s">
        <v>1563</v>
      </c>
      <c r="B3" s="382" t="e">
        <f>ROUND(B2*10000/D1,0)</f>
        <v>#DIV/0!</v>
      </c>
      <c r="C3" s="548" t="s">
        <v>1564</v>
      </c>
      <c r="D3" s="549" t="s">
        <v>2274</v>
      </c>
      <c r="E3" s="552" t="s">
        <v>2468</v>
      </c>
      <c r="F3" s="553" t="s">
        <v>2276</v>
      </c>
      <c r="G3" s="554">
        <f>IF(F3="宗地容积率",'数据-汇总表'!I4,IF(F3="估价对象容积率",'数据-汇总表'!I6,'数据-汇总表'!I7))</f>
        <v>2</v>
      </c>
      <c r="H3" s="555" t="s">
        <v>2277</v>
      </c>
      <c r="I3" s="758">
        <v>1</v>
      </c>
      <c r="J3" s="755" t="s">
        <v>2278</v>
      </c>
      <c r="K3" s="539"/>
      <c r="L3" s="756" t="s">
        <v>2279</v>
      </c>
      <c r="M3" s="757">
        <f>SUMPRODUCT((区片价!B30:B54=I2)*(区片价!C3:G3=E2)*(区片价!C30:G54))</f>
        <v>0</v>
      </c>
      <c r="N3" s="754">
        <f>SUMPRODUCT((因素修正幅度!B30:B54=I2)*(因素修正幅度!C3:G3=E2)*(因素修正幅度!C30:G54))</f>
        <v>0</v>
      </c>
      <c r="O3" s="539"/>
      <c r="P3" s="539"/>
      <c r="Q3" s="539"/>
      <c r="R3" s="846">
        <v>2</v>
      </c>
      <c r="S3" s="848">
        <f>ROUND(SUMPRODUCT((B106:B110=R3)*(C105:N105=G2)*(C106:N110)),4)</f>
        <v>1.1838</v>
      </c>
      <c r="T3" s="848" t="e">
        <f t="shared" si="0"/>
        <v>#DIV/0!</v>
      </c>
      <c r="U3" s="849">
        <f>兴盛国际不动产查询!B18</f>
        <v>3270.77</v>
      </c>
      <c r="V3" s="848" t="e">
        <f t="shared" ref="V3:V16" si="1">ROUND(T3*U3/10000,0)</f>
        <v>#DIV/0!</v>
      </c>
      <c r="W3" s="847"/>
      <c r="X3" s="847"/>
      <c r="Y3" s="847"/>
      <c r="Z3" s="847"/>
      <c r="AA3" s="847"/>
      <c r="AB3" s="847"/>
      <c r="AC3" s="858"/>
      <c r="AD3" s="859"/>
      <c r="AE3" s="859"/>
      <c r="AF3" s="859"/>
      <c r="AG3" s="859"/>
      <c r="AH3" s="859"/>
      <c r="AI3" s="859"/>
      <c r="AJ3" s="868"/>
    </row>
    <row r="4" spans="1:36" ht="15.75">
      <c r="A4" s="3791"/>
      <c r="B4" s="3792"/>
      <c r="C4" s="3792"/>
      <c r="D4" s="3793"/>
      <c r="E4" s="3793"/>
      <c r="F4" s="3793"/>
      <c r="G4" s="3793"/>
      <c r="H4" s="3793"/>
      <c r="I4" s="3793"/>
      <c r="J4" s="3794"/>
      <c r="K4" s="539"/>
      <c r="L4" s="756" t="s">
        <v>2280</v>
      </c>
      <c r="M4" s="757">
        <f>SUMPRODUCT((区片价!B55:B86=I2)*(区片价!C3:G3=E2)*(区片价!C55:G86))</f>
        <v>0</v>
      </c>
      <c r="N4" s="754">
        <f>SUMPRODUCT((因素修正幅度!B55:B86=I2)*(因素修正幅度!C3:G3=E2)*(因素修正幅度!C55:G86))</f>
        <v>0</v>
      </c>
      <c r="O4" s="539"/>
      <c r="P4" s="539"/>
      <c r="Q4" s="539"/>
      <c r="R4" s="846">
        <v>3</v>
      </c>
      <c r="S4" s="848">
        <f>ROUND(SUMPRODUCT((B106:B110=R4)*(C105:N105=G2)*(C106:N110)),4)</f>
        <v>1.0004999999999999</v>
      </c>
      <c r="T4" s="848" t="e">
        <f t="shared" si="0"/>
        <v>#DIV/0!</v>
      </c>
      <c r="U4" s="849"/>
      <c r="V4" s="848" t="e">
        <f t="shared" si="1"/>
        <v>#DIV/0!</v>
      </c>
      <c r="W4" s="847"/>
      <c r="X4" s="847"/>
      <c r="Y4" s="847"/>
      <c r="Z4" s="847"/>
      <c r="AA4" s="847"/>
      <c r="AB4" s="847"/>
      <c r="AC4" s="858"/>
      <c r="AD4" s="859"/>
      <c r="AE4" s="859"/>
      <c r="AF4" s="859"/>
      <c r="AG4" s="859"/>
      <c r="AH4" s="859"/>
      <c r="AI4" s="859"/>
      <c r="AJ4" s="868"/>
    </row>
    <row r="5" spans="1:36" s="538" customFormat="1" ht="15">
      <c r="A5" s="556" t="s">
        <v>1466</v>
      </c>
      <c r="B5" s="557" t="s">
        <v>2281</v>
      </c>
      <c r="C5" s="558">
        <f>ROUND(IF(E2="商业",C6*C7*C17+C20,(IF(E2="住宅",C6*C13*C17+C20,IF(E2="办公",C6*C12*C17+C20,C6+C20)))),0)</f>
        <v>11024</v>
      </c>
      <c r="D5" s="559">
        <f>ROUND(C6*C17+C20,0)</f>
        <v>11024</v>
      </c>
      <c r="E5" s="559"/>
      <c r="F5" s="560"/>
      <c r="G5" s="561"/>
      <c r="H5" s="561"/>
      <c r="I5" s="561"/>
      <c r="J5" s="759"/>
      <c r="K5" s="760"/>
      <c r="L5" s="756" t="s">
        <v>2282</v>
      </c>
      <c r="M5" s="757">
        <f>SUMPRODUCT((区片价!B87:B126=I2)*(区片价!C3:G3=E2)*(区片价!C87:G126))</f>
        <v>0</v>
      </c>
      <c r="N5" s="754">
        <f>SUMPRODUCT((因素修正幅度!B87:B126=I2)*(因素修正幅度!C3:G3=E2)*(因素修正幅度!C87:G126))</f>
        <v>0</v>
      </c>
      <c r="O5" s="539"/>
      <c r="P5" s="539"/>
      <c r="Q5" s="539"/>
      <c r="R5" s="846">
        <v>4</v>
      </c>
      <c r="S5" s="848">
        <f>ROUND(SUMPRODUCT((B106:B110=R5)*(C105:N105=G2)*(C106:N110)),4)</f>
        <v>0.88239999999999996</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2" t="s">
        <v>1566</v>
      </c>
      <c r="B6" s="563" t="s">
        <v>2283</v>
      </c>
      <c r="C6" s="564">
        <f>SUMIF(L1:L12,G2,M1:M12)</f>
        <v>11060</v>
      </c>
      <c r="D6" s="565"/>
      <c r="E6" s="566"/>
      <c r="F6" s="566"/>
      <c r="G6" s="567"/>
      <c r="H6" s="567"/>
      <c r="I6" s="567"/>
      <c r="J6" s="761"/>
      <c r="K6" s="762"/>
      <c r="L6" s="756" t="s">
        <v>2284</v>
      </c>
      <c r="M6" s="757">
        <f>SUMPRODUCT((区片价!B127:B189=I2)*(区片价!C3:G3=E2)*(区片价!C127:G189))</f>
        <v>11060</v>
      </c>
      <c r="N6" s="754">
        <f>SUMPRODUCT((因素修正幅度!B127:B189=I2)*(因素修正幅度!C3:G3=E2)*(因素修正幅度!C127:G189))</f>
        <v>0.126</v>
      </c>
      <c r="O6" s="539"/>
      <c r="P6" s="539"/>
      <c r="Q6" s="539"/>
      <c r="R6" s="846">
        <v>5</v>
      </c>
      <c r="S6" s="848">
        <f>ROUND(SUMPRODUCT((B106:B110=R6)*(C105:N105=G2)*(C106:N110)),4)</f>
        <v>0.84799999999999998</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68" t="s">
        <v>2285</v>
      </c>
      <c r="B7" s="569" t="s">
        <v>2286</v>
      </c>
      <c r="C7" s="570">
        <f>IF(C8="不临65条商业街",1,ROUND(1+(1.6*E8+1.2*E9+0.8*E10+0.4*E11)*C9,4))</f>
        <v>1</v>
      </c>
      <c r="D7" s="571" t="s">
        <v>2287</v>
      </c>
      <c r="E7" s="572"/>
      <c r="F7" s="573"/>
      <c r="G7" s="574"/>
      <c r="H7" s="574"/>
      <c r="I7" s="574"/>
      <c r="J7" s="763"/>
      <c r="K7" s="762"/>
      <c r="L7" s="756" t="s">
        <v>2288</v>
      </c>
      <c r="M7" s="757">
        <f>SUMPRODUCT((区片价!B190:B233=I2)*(区片价!C3:G3=E2)*(区片价!C190:G233))</f>
        <v>0</v>
      </c>
      <c r="N7" s="754">
        <f>SUMPRODUCT((因素修正幅度!B190:B233=I2)*(因素修正幅度!C3:G3=E2)*(因素修正幅度!C190:G233))</f>
        <v>0</v>
      </c>
      <c r="O7" s="539"/>
      <c r="P7" s="539"/>
      <c r="Q7" s="539"/>
      <c r="R7" s="846">
        <v>6</v>
      </c>
      <c r="S7" s="850"/>
      <c r="T7" s="848" t="e">
        <f t="shared" si="0"/>
        <v>#DIV/0!</v>
      </c>
      <c r="U7" s="849"/>
      <c r="V7" s="848" t="e">
        <f t="shared" si="1"/>
        <v>#DIV/0!</v>
      </c>
      <c r="W7" s="851" t="s">
        <v>2289</v>
      </c>
      <c r="X7" s="852" t="str">
        <f>G2</f>
        <v>六级</v>
      </c>
      <c r="Y7" s="852" t="s">
        <v>2290</v>
      </c>
      <c r="Z7" s="862">
        <f>G3</f>
        <v>2</v>
      </c>
      <c r="AA7" s="847"/>
      <c r="AB7" s="847"/>
      <c r="AC7" s="858"/>
      <c r="AD7" s="859"/>
      <c r="AE7" s="859"/>
      <c r="AF7" s="859"/>
      <c r="AG7" s="859"/>
      <c r="AH7" s="859"/>
      <c r="AI7" s="859"/>
      <c r="AJ7" s="868"/>
    </row>
    <row r="8" spans="1:36" ht="25.5">
      <c r="A8" s="575"/>
      <c r="B8" s="555" t="s">
        <v>2291</v>
      </c>
      <c r="C8" s="576" t="s">
        <v>2292</v>
      </c>
      <c r="D8" s="577" t="s">
        <v>2293</v>
      </c>
      <c r="E8" s="578" t="e">
        <f>ROUND(C11/E7,4)</f>
        <v>#DIV/0!</v>
      </c>
      <c r="F8" s="579" t="s">
        <v>2294</v>
      </c>
      <c r="G8" s="580"/>
      <c r="H8" s="580"/>
      <c r="I8" s="580"/>
      <c r="J8" s="764"/>
      <c r="K8" s="539"/>
      <c r="L8" s="756" t="s">
        <v>2295</v>
      </c>
      <c r="M8" s="757">
        <f>SUMPRODUCT((区片价!B234:B276=I2)*(区片价!C3:G3=E2)*(区片价!C234:G276))</f>
        <v>0</v>
      </c>
      <c r="N8" s="754">
        <f>SUMPRODUCT((因素修正幅度!B234:B276=I2)*(因素修正幅度!C3:G3=E2)*(因素修正幅度!C234:G276))</f>
        <v>0</v>
      </c>
      <c r="O8" s="539"/>
      <c r="P8" s="539"/>
      <c r="Q8" s="539"/>
      <c r="R8" s="846">
        <v>7</v>
      </c>
      <c r="S8" s="849"/>
      <c r="T8" s="848" t="e">
        <f t="shared" si="0"/>
        <v>#DIV/0!</v>
      </c>
      <c r="U8" s="849"/>
      <c r="V8" s="848" t="e">
        <f t="shared" si="1"/>
        <v>#DIV/0!</v>
      </c>
      <c r="W8" s="3795" t="s">
        <v>2296</v>
      </c>
      <c r="X8" s="3796"/>
      <c r="Y8" s="863" t="s">
        <v>2297</v>
      </c>
      <c r="Z8" s="863" t="s">
        <v>2298</v>
      </c>
      <c r="AA8" s="863" t="s">
        <v>2299</v>
      </c>
      <c r="AB8" s="863" t="s">
        <v>2300</v>
      </c>
      <c r="AC8" s="863" t="s">
        <v>2301</v>
      </c>
      <c r="AD8" s="863" t="s">
        <v>2302</v>
      </c>
      <c r="AE8" s="863" t="s">
        <v>2303</v>
      </c>
      <c r="AF8" s="863" t="s">
        <v>2304</v>
      </c>
      <c r="AG8" s="863" t="s">
        <v>2305</v>
      </c>
      <c r="AH8" s="863" t="s">
        <v>2306</v>
      </c>
      <c r="AI8" s="863" t="s">
        <v>2307</v>
      </c>
      <c r="AJ8" s="863" t="s">
        <v>2308</v>
      </c>
    </row>
    <row r="9" spans="1:36" ht="15">
      <c r="A9" s="575"/>
      <c r="B9" s="555" t="s">
        <v>2309</v>
      </c>
      <c r="C9" s="581">
        <f>SUMIF(修正!C71:C138,C8,修正!E71:E138)</f>
        <v>0</v>
      </c>
      <c r="D9" s="582" t="s">
        <v>2310</v>
      </c>
      <c r="E9" s="582" t="e">
        <f>ROUND(C11/E7,4)</f>
        <v>#DIV/0!</v>
      </c>
      <c r="F9" s="579" t="s">
        <v>2311</v>
      </c>
      <c r="G9" s="580"/>
      <c r="H9" s="580"/>
      <c r="I9" s="580"/>
      <c r="J9" s="764"/>
      <c r="K9" s="539"/>
      <c r="L9" s="756" t="s">
        <v>2312</v>
      </c>
      <c r="M9" s="757">
        <f>SUMPRODUCT((区片价!B277:B326=I2)*(区片价!C3:G3=E2)*(区片价!C277:G326))</f>
        <v>0</v>
      </c>
      <c r="N9" s="754">
        <f>SUMPRODUCT((因素修正幅度!B277:B326=I2)*(因素修正幅度!C3:G3=E2)*(因素修正幅度!C277:G326))</f>
        <v>0</v>
      </c>
      <c r="O9" s="539"/>
      <c r="P9" s="539"/>
      <c r="Q9" s="539"/>
      <c r="R9" s="846">
        <v>8</v>
      </c>
      <c r="S9" s="849"/>
      <c r="T9" s="848" t="e">
        <f t="shared" si="0"/>
        <v>#DIV/0!</v>
      </c>
      <c r="U9" s="849"/>
      <c r="V9" s="848" t="e">
        <f t="shared" si="1"/>
        <v>#DIV/0!</v>
      </c>
      <c r="W9" s="3809"/>
      <c r="X9" s="853" t="s">
        <v>2313</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5"/>
      <c r="B10" s="555" t="s">
        <v>2314</v>
      </c>
      <c r="C10" s="582">
        <f>SUMIF(修正!C71:C138,C8,修正!F71:F138)</f>
        <v>0</v>
      </c>
      <c r="D10" s="582" t="s">
        <v>2315</v>
      </c>
      <c r="E10" s="582" t="e">
        <f>ROUND(C11/E7,4)</f>
        <v>#DIV/0!</v>
      </c>
      <c r="F10" s="579" t="s">
        <v>2316</v>
      </c>
      <c r="G10" s="580"/>
      <c r="H10" s="580"/>
      <c r="I10" s="580"/>
      <c r="J10" s="764"/>
      <c r="K10" s="539"/>
      <c r="L10" s="756" t="s">
        <v>2317</v>
      </c>
      <c r="M10" s="757">
        <f>SUMPRODUCT((区片价!B327:B357=I2)*(区片价!C3:G3=E2)*(区片价!C327:G357))</f>
        <v>0</v>
      </c>
      <c r="N10" s="754">
        <f>SUMPRODUCT((因素修正幅度!B327:B357=I2)*(因素修正幅度!C3:G3=E2)*(因素修正幅度!C327:G357))</f>
        <v>0</v>
      </c>
      <c r="O10" s="539"/>
      <c r="P10" s="539"/>
      <c r="Q10" s="539"/>
      <c r="R10" s="846">
        <v>9</v>
      </c>
      <c r="S10" s="849"/>
      <c r="T10" s="848" t="e">
        <f t="shared" si="0"/>
        <v>#DIV/0!</v>
      </c>
      <c r="U10" s="849"/>
      <c r="V10" s="848" t="e">
        <f t="shared" si="1"/>
        <v>#DIV/0!</v>
      </c>
      <c r="W10" s="380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3"/>
      <c r="B11" s="584" t="s">
        <v>2318</v>
      </c>
      <c r="C11" s="585">
        <f>C10/4</f>
        <v>0</v>
      </c>
      <c r="D11" s="585" t="s">
        <v>2319</v>
      </c>
      <c r="E11" s="585" t="e">
        <f>ROUND(C11/E7,4)</f>
        <v>#DIV/0!</v>
      </c>
      <c r="F11" s="586" t="s">
        <v>2320</v>
      </c>
      <c r="G11" s="587"/>
      <c r="H11" s="587"/>
      <c r="I11" s="587"/>
      <c r="J11" s="765"/>
      <c r="K11" s="539"/>
      <c r="L11" s="756" t="s">
        <v>2321</v>
      </c>
      <c r="M11" s="757">
        <f>SUMPRODUCT((区片价!B358:B377=I2)*(区片价!C3:G3=E2)*(区片价!C358:G377))</f>
        <v>0</v>
      </c>
      <c r="N11" s="754">
        <f>SUMPRODUCT((因素修正幅度!B358:B377=I2)*(因素修正幅度!C3:G3=E2)*(因素修正幅度!C358:G377))</f>
        <v>0</v>
      </c>
      <c r="O11" s="539"/>
      <c r="P11" s="539"/>
      <c r="Q11" s="539"/>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68" t="s">
        <v>2322</v>
      </c>
      <c r="B12" s="588" t="s">
        <v>2323</v>
      </c>
      <c r="C12" s="589"/>
      <c r="D12" s="590" t="s">
        <v>2324</v>
      </c>
      <c r="E12" s="591" t="s">
        <v>2325</v>
      </c>
      <c r="F12" s="592"/>
      <c r="G12" s="593"/>
      <c r="H12" s="593"/>
      <c r="I12" s="593"/>
      <c r="J12" s="766"/>
      <c r="K12" s="539"/>
      <c r="L12" s="767" t="s">
        <v>2326</v>
      </c>
      <c r="M12" s="768">
        <f>SUMPRODUCT((区片价!B378:B384=I2)*(区片价!C3:G3=E2)*(区片价!C378:G384))</f>
        <v>0</v>
      </c>
      <c r="N12" s="754">
        <f>SUMPRODUCT((因素修正幅度!B378:B384=I2)*(因素修正幅度!C3:G3=E2)*(因素修正幅度!C378:G384))</f>
        <v>0</v>
      </c>
      <c r="O12" s="539"/>
      <c r="P12" s="539"/>
      <c r="Q12" s="539"/>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68" t="s">
        <v>2327</v>
      </c>
      <c r="B13" s="594" t="s">
        <v>2328</v>
      </c>
      <c r="C13" s="570">
        <f>ROUND(C16*D16*E16*F16*G16*H16*I16*J16,4)</f>
        <v>0</v>
      </c>
      <c r="D13" s="595" t="s">
        <v>2329</v>
      </c>
      <c r="E13" s="596"/>
      <c r="F13" s="596"/>
      <c r="G13" s="597"/>
      <c r="H13" s="597"/>
      <c r="I13" s="597"/>
      <c r="J13" s="769"/>
      <c r="K13" s="539"/>
      <c r="L13" s="770"/>
      <c r="M13" s="771"/>
      <c r="N13" s="772"/>
      <c r="O13" s="539"/>
      <c r="P13" s="539"/>
      <c r="Q13" s="539"/>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598"/>
      <c r="B14" s="599" t="s">
        <v>2330</v>
      </c>
      <c r="C14" s="600" t="s">
        <v>2331</v>
      </c>
      <c r="D14" s="601" t="s">
        <v>2332</v>
      </c>
      <c r="E14" s="602" t="s">
        <v>2333</v>
      </c>
      <c r="F14" s="603" t="s">
        <v>2334</v>
      </c>
      <c r="G14" s="603" t="s">
        <v>2334</v>
      </c>
      <c r="H14" s="603" t="s">
        <v>2334</v>
      </c>
      <c r="I14" s="603" t="s">
        <v>2334</v>
      </c>
      <c r="J14" s="603" t="s">
        <v>2334</v>
      </c>
      <c r="K14" s="539"/>
      <c r="L14" s="539"/>
      <c r="M14" s="539"/>
      <c r="N14" s="539"/>
      <c r="O14" s="539"/>
      <c r="P14" s="539"/>
      <c r="Q14" s="539"/>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598"/>
      <c r="B15" s="604"/>
      <c r="C15" s="605"/>
      <c r="D15" s="606"/>
      <c r="E15" s="607"/>
      <c r="F15" s="608" t="s">
        <v>2335</v>
      </c>
      <c r="G15" s="609"/>
      <c r="H15" s="610"/>
      <c r="I15" s="773"/>
      <c r="J15" s="774"/>
      <c r="K15" s="539"/>
      <c r="L15" s="539"/>
      <c r="M15" s="539"/>
      <c r="N15" s="539"/>
      <c r="O15" s="539"/>
      <c r="P15" s="539"/>
      <c r="Q15" s="539"/>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598"/>
      <c r="B16" s="611" t="s">
        <v>2238</v>
      </c>
      <c r="C16" s="612"/>
      <c r="D16" s="612"/>
      <c r="E16" s="612"/>
      <c r="F16" s="612">
        <v>1</v>
      </c>
      <c r="G16" s="612">
        <v>1</v>
      </c>
      <c r="H16" s="612">
        <v>1</v>
      </c>
      <c r="I16" s="612">
        <v>1</v>
      </c>
      <c r="J16" s="775">
        <v>1</v>
      </c>
      <c r="K16" s="539"/>
      <c r="L16" s="540"/>
      <c r="M16" s="540"/>
      <c r="N16" s="540"/>
      <c r="O16" s="540"/>
      <c r="P16" s="540"/>
      <c r="Q16" s="539"/>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3" t="s">
        <v>2336</v>
      </c>
      <c r="B17" s="614" t="s">
        <v>2337</v>
      </c>
      <c r="C17" s="615">
        <f>ROUND(IF(OR(E2="工业",E2="公共服务"),1,IF(AND(E18=0,E19=0),1,IF(AND(E18=J24,E19=G19),0.8,IF(E19=0,1+E17*(-0.2),1+E17*G17*(-0.2))))),4)</f>
        <v>1</v>
      </c>
      <c r="D17" s="616" t="s">
        <v>2338</v>
      </c>
      <c r="E17" s="615">
        <f>ROUND(G18/I18,2)</f>
        <v>0</v>
      </c>
      <c r="F17" s="616" t="s">
        <v>2339</v>
      </c>
      <c r="G17" s="615" t="e">
        <f>ROUND(E19/G19,2)</f>
        <v>#DIV/0!</v>
      </c>
      <c r="H17" s="615"/>
      <c r="I17" s="615"/>
      <c r="J17" s="776"/>
      <c r="K17" s="539"/>
      <c r="L17" s="540"/>
      <c r="M17" s="540"/>
      <c r="N17" s="540"/>
      <c r="O17" s="540"/>
      <c r="P17" s="540"/>
      <c r="Q17" s="539"/>
      <c r="R17" s="539"/>
      <c r="S17" s="539"/>
      <c r="T17" s="539"/>
      <c r="U17" s="539"/>
      <c r="V17" s="539"/>
      <c r="W17" s="539"/>
      <c r="X17" s="539"/>
      <c r="Y17" s="539"/>
      <c r="Z17" s="716"/>
      <c r="AA17" s="716"/>
      <c r="AB17" s="716"/>
      <c r="AC17" s="716"/>
      <c r="AD17" s="716"/>
      <c r="AE17" s="539"/>
      <c r="AF17" s="539"/>
      <c r="AG17" s="540"/>
      <c r="AH17" s="540"/>
      <c r="AI17" s="540"/>
      <c r="AJ17" s="540"/>
    </row>
    <row r="18" spans="1:37" s="538" customFormat="1" ht="14.25">
      <c r="A18" s="617"/>
      <c r="B18" s="618"/>
      <c r="C18" s="619"/>
      <c r="D18" s="620" t="s">
        <v>2340</v>
      </c>
      <c r="E18" s="621"/>
      <c r="F18" s="622" t="s">
        <v>2341</v>
      </c>
      <c r="G18" s="619">
        <f>ROUND(1-(1/(POWER(1+G24,E18))),4)</f>
        <v>0</v>
      </c>
      <c r="H18" s="622" t="s">
        <v>2342</v>
      </c>
      <c r="I18" s="619">
        <f>ROUND(1-(1/(POWER(1+G24,J24))),4)</f>
        <v>0.88249999999999995</v>
      </c>
      <c r="J18" s="777"/>
      <c r="K18" s="539"/>
      <c r="L18" s="540"/>
      <c r="M18" s="540"/>
      <c r="N18" s="540"/>
      <c r="O18" s="540"/>
      <c r="P18" s="540"/>
      <c r="Q18" s="539"/>
      <c r="R18" s="854"/>
      <c r="S18" s="854"/>
      <c r="T18" s="716"/>
      <c r="U18" s="716"/>
      <c r="V18" s="716"/>
      <c r="W18" s="539"/>
      <c r="X18" s="539"/>
      <c r="Y18" s="539"/>
      <c r="Z18" s="785"/>
      <c r="AA18" s="785"/>
      <c r="AB18" s="785"/>
      <c r="AC18" s="785"/>
      <c r="AD18" s="785"/>
      <c r="AE18" s="716"/>
      <c r="AF18" s="716"/>
      <c r="AG18" s="871"/>
      <c r="AH18" s="871"/>
      <c r="AI18" s="871"/>
      <c r="AJ18" s="786"/>
    </row>
    <row r="19" spans="1:37" s="538" customFormat="1" ht="14.25">
      <c r="A19" s="623"/>
      <c r="B19" s="624"/>
      <c r="C19" s="625"/>
      <c r="D19" s="625" t="s">
        <v>2343</v>
      </c>
      <c r="E19" s="626"/>
      <c r="F19" s="627" t="s">
        <v>2344</v>
      </c>
      <c r="G19" s="626"/>
      <c r="H19" s="625"/>
      <c r="I19" s="625"/>
      <c r="J19" s="778"/>
      <c r="K19" s="539"/>
      <c r="L19" s="540"/>
      <c r="M19" s="540"/>
      <c r="N19" s="540"/>
      <c r="O19" s="540"/>
      <c r="P19" s="540"/>
      <c r="Q19" s="854"/>
      <c r="R19" s="854"/>
      <c r="S19" s="854"/>
      <c r="T19" s="716"/>
      <c r="U19" s="716"/>
      <c r="V19" s="716"/>
      <c r="W19" s="539"/>
      <c r="X19" s="539"/>
      <c r="Y19" s="539"/>
      <c r="Z19" s="785"/>
      <c r="AA19" s="785"/>
      <c r="AB19" s="785"/>
      <c r="AC19" s="785"/>
      <c r="AD19" s="785"/>
      <c r="AE19" s="785"/>
      <c r="AF19" s="854"/>
      <c r="AG19" s="872"/>
      <c r="AH19" s="871"/>
      <c r="AI19" s="873"/>
      <c r="AJ19" s="873"/>
      <c r="AK19" s="874"/>
    </row>
    <row r="20" spans="1:37" s="538" customFormat="1" ht="14.25">
      <c r="A20" s="3801" t="s">
        <v>2345</v>
      </c>
      <c r="B20" s="628" t="s">
        <v>2346</v>
      </c>
      <c r="C20" s="629">
        <f>ROUND(IF(F21="与级别开发程度一致",0,(G21-E21)/C21),0)</f>
        <v>-36</v>
      </c>
      <c r="D20" s="630" t="s">
        <v>2347</v>
      </c>
      <c r="E20" s="631"/>
      <c r="F20" s="3797" t="s">
        <v>2348</v>
      </c>
      <c r="G20" s="3798"/>
      <c r="H20" s="632" t="s">
        <v>343</v>
      </c>
      <c r="I20" s="632" t="s">
        <v>344</v>
      </c>
      <c r="J20" s="779" t="s">
        <v>345</v>
      </c>
      <c r="K20" s="780" t="s">
        <v>346</v>
      </c>
      <c r="L20" s="780" t="s">
        <v>347</v>
      </c>
      <c r="M20" s="780" t="s">
        <v>350</v>
      </c>
      <c r="N20" s="780"/>
      <c r="O20" s="781"/>
      <c r="P20" s="540"/>
      <c r="Q20" s="854"/>
      <c r="R20" s="854"/>
      <c r="S20" s="854"/>
      <c r="T20" s="716"/>
      <c r="U20" s="716"/>
      <c r="V20" s="716"/>
      <c r="W20" s="539"/>
      <c r="X20" s="539"/>
      <c r="Y20" s="539"/>
      <c r="Z20" s="785"/>
      <c r="AA20" s="785"/>
      <c r="AB20" s="785"/>
      <c r="AC20" s="785"/>
      <c r="AD20" s="785"/>
      <c r="AE20" s="785"/>
      <c r="AF20" s="785"/>
      <c r="AG20" s="786"/>
      <c r="AH20" s="786"/>
      <c r="AI20" s="786"/>
      <c r="AJ20" s="786"/>
    </row>
    <row r="21" spans="1:37" s="538" customFormat="1" ht="25.5">
      <c r="A21" s="3802"/>
      <c r="B21" s="633" t="s">
        <v>2349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2350</v>
      </c>
      <c r="G21" s="638">
        <f>SUM(H21:O21)</f>
        <v>225</v>
      </c>
      <c r="H21" s="634">
        <f>SUMPRODUCT((七通一平=H20)*(修正!B1:M1=G2)*(修正!B8:M16))</f>
        <v>70</v>
      </c>
      <c r="I21" s="634">
        <f>SUMPRODUCT((七通一平=I20)*(修正!B1:M1=G2)*(修正!B8:M16))</f>
        <v>60</v>
      </c>
      <c r="J21" s="782">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3">
        <f>SUMPRODUCT((七通一平=O20)*(修正!B1:M1=G2)*(修正!B8:M16))</f>
        <v>0</v>
      </c>
      <c r="P21" s="540"/>
      <c r="Q21" s="786"/>
      <c r="R21" s="854"/>
      <c r="S21" s="854"/>
      <c r="T21" s="716"/>
      <c r="U21" s="716"/>
      <c r="V21" s="716"/>
      <c r="W21" s="539"/>
      <c r="X21" s="539"/>
      <c r="Y21" s="539"/>
      <c r="Z21" s="785"/>
      <c r="AA21" s="785"/>
      <c r="AB21" s="785"/>
      <c r="AC21" s="785"/>
      <c r="AD21" s="785"/>
      <c r="AE21" s="785"/>
      <c r="AF21" s="785"/>
      <c r="AG21" s="786"/>
      <c r="AH21" s="786"/>
      <c r="AI21" s="786"/>
      <c r="AJ21" s="786"/>
    </row>
    <row r="22" spans="1:37" s="538" customFormat="1" ht="15">
      <c r="A22" s="639" t="s">
        <v>1477</v>
      </c>
      <c r="B22" s="640" t="s">
        <v>2351</v>
      </c>
      <c r="C22" s="641">
        <f>SUMIF(修正!C20:C51,E3,修正!E20:E51)</f>
        <v>1</v>
      </c>
      <c r="D22" s="642"/>
      <c r="E22" s="643"/>
      <c r="F22" s="643"/>
      <c r="G22" s="643"/>
      <c r="H22" s="643"/>
      <c r="I22" s="643"/>
      <c r="J22" s="784"/>
      <c r="K22" s="785"/>
      <c r="L22" s="786"/>
      <c r="M22" s="786"/>
      <c r="N22" s="786"/>
      <c r="O22" s="787"/>
      <c r="P22" s="787"/>
      <c r="Q22" s="786"/>
      <c r="R22" s="854"/>
      <c r="S22" s="854"/>
      <c r="T22" s="716"/>
      <c r="U22" s="716"/>
      <c r="V22" s="716"/>
      <c r="W22" s="539"/>
      <c r="X22" s="539"/>
      <c r="Y22" s="539"/>
      <c r="Z22" s="785"/>
      <c r="AA22" s="785"/>
      <c r="AB22" s="785"/>
      <c r="AC22" s="785"/>
      <c r="AD22" s="785"/>
      <c r="AE22" s="785"/>
      <c r="AF22" s="785"/>
      <c r="AG22" s="786"/>
      <c r="AH22" s="786"/>
      <c r="AI22" s="786"/>
      <c r="AJ22" s="786"/>
    </row>
    <row r="23" spans="1:37" ht="25.5">
      <c r="A23" s="644" t="s">
        <v>1482</v>
      </c>
      <c r="B23" s="645" t="s">
        <v>2352</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647" t="s">
        <v>2353</v>
      </c>
      <c r="E23" s="648">
        <v>44197</v>
      </c>
      <c r="F23" s="647" t="s">
        <v>2354</v>
      </c>
      <c r="G23" s="649">
        <f>'数据-取费表'!B2</f>
        <v>45300</v>
      </c>
      <c r="H23" s="650" t="s">
        <v>2355</v>
      </c>
      <c r="I23" s="788" t="str">
        <f>IF(H23="季度增幅（自定义）",SUMIF(N25:N28,E2,O25:O28),"")</f>
        <v/>
      </c>
      <c r="J23" s="789" t="s">
        <v>2469</v>
      </c>
      <c r="K23" s="785"/>
      <c r="L23" s="790" t="s">
        <v>2357</v>
      </c>
      <c r="M23" s="791">
        <f>ROUND(SUMIF(地价!B2:G2,E2,地价!B16:G16),0)</f>
        <v>350</v>
      </c>
      <c r="N23" s="792" t="s">
        <v>2358</v>
      </c>
      <c r="O23" s="793">
        <f>ROUNDDOWN(DATEDIF(E23,G23,"M")/3,0)</f>
        <v>12</v>
      </c>
      <c r="P23" s="794"/>
      <c r="Q23" s="786"/>
      <c r="R23" s="854"/>
      <c r="S23" s="854"/>
      <c r="T23" s="716"/>
      <c r="U23" s="716"/>
      <c r="V23" s="716"/>
      <c r="W23" s="539"/>
      <c r="X23" s="539"/>
      <c r="Y23" s="539"/>
      <c r="Z23" s="785"/>
      <c r="AA23" s="785"/>
      <c r="AB23" s="785"/>
      <c r="AC23" s="785"/>
      <c r="AD23" s="785"/>
      <c r="AE23" s="716"/>
      <c r="AF23" s="716"/>
      <c r="AG23" s="871"/>
      <c r="AH23" s="871"/>
      <c r="AI23" s="871"/>
      <c r="AJ23" s="871"/>
      <c r="AK23" s="541"/>
    </row>
    <row r="24" spans="1:37" s="538" customFormat="1" ht="24">
      <c r="A24" s="651" t="s">
        <v>1485</v>
      </c>
      <c r="B24" s="652" t="s">
        <v>2359</v>
      </c>
      <c r="C24" s="653" t="e">
        <f>ROUND(POWER(1+G24,J24-I24)*(POWER(1+G24,I24)-1)/(POWER(1+G24,J24)-1),4)</f>
        <v>#DIV/0!</v>
      </c>
      <c r="D24" s="654" t="s">
        <v>2360</v>
      </c>
      <c r="E24" s="655">
        <f>存贷款利率!E24/100</f>
        <v>4.3499999999999997E-2</v>
      </c>
      <c r="F24" s="654" t="s">
        <v>2361</v>
      </c>
      <c r="G24" s="656">
        <f>SUMIF(M30:Q30,E2,M33:Q33)</f>
        <v>5.5E-2</v>
      </c>
      <c r="H24" s="654" t="s">
        <v>2362</v>
      </c>
      <c r="I24" s="795" t="e">
        <f>SUMIF('数据-取费表'!C6:C15,E2,'数据-取费表'!F6:F15)/COUNTIF('数据-取费表'!C6:C15,E2)</f>
        <v>#DIV/0!</v>
      </c>
      <c r="J24" s="796">
        <f>IF(E2="住宅",70,IF(E2="商业",40,50))</f>
        <v>40</v>
      </c>
      <c r="K24" s="785"/>
      <c r="L24" s="797" t="s">
        <v>2363</v>
      </c>
      <c r="M24" s="798">
        <f>ROUND(SUMPRODUCT((地价!A4:A16=YEAR(G23)&amp;"-"&amp;ROUNDUP(MONTH(G23)/3,0))*(地价!B2:G2=E2)*(地价!B4:G16)),0)</f>
        <v>0</v>
      </c>
      <c r="N24" s="799" t="s">
        <v>2364</v>
      </c>
      <c r="O24" s="800" t="s">
        <v>2365</v>
      </c>
      <c r="P24" s="801" t="s">
        <v>2366</v>
      </c>
      <c r="Q24" s="540"/>
      <c r="R24" s="854"/>
      <c r="S24" s="854"/>
      <c r="T24" s="716"/>
      <c r="U24" s="716"/>
      <c r="V24" s="716"/>
      <c r="W24" s="539"/>
      <c r="X24" s="539"/>
      <c r="Y24" s="539"/>
      <c r="Z24" s="785"/>
      <c r="AA24" s="785"/>
      <c r="AB24" s="785"/>
      <c r="AC24" s="785"/>
      <c r="AD24" s="785"/>
      <c r="AE24" s="785"/>
      <c r="AF24" s="785"/>
      <c r="AG24" s="786"/>
      <c r="AH24" s="786"/>
      <c r="AI24" s="786"/>
      <c r="AJ24" s="786"/>
    </row>
    <row r="25" spans="1:37" ht="15">
      <c r="A25" s="657" t="s">
        <v>1507</v>
      </c>
      <c r="B25" s="658" t="s">
        <v>2470</v>
      </c>
      <c r="C25" s="659">
        <f>IF(B25="容积率修正",IF(G3&lt;10,D26,J26),C27)</f>
        <v>1.5019</v>
      </c>
      <c r="D25" s="660"/>
      <c r="E25" s="660"/>
      <c r="F25" s="660"/>
      <c r="G25" s="660"/>
      <c r="H25" s="660"/>
      <c r="I25" s="660"/>
      <c r="J25" s="802"/>
      <c r="K25" s="785"/>
      <c r="L25" s="786"/>
      <c r="M25" s="786"/>
      <c r="N25" s="803" t="s">
        <v>2368</v>
      </c>
      <c r="O25" s="804"/>
      <c r="P25" s="805">
        <f>SUMPRODUCT((地价!A3:A40=YEAR(G23)&amp;"-"&amp;ROUNDUP(MONTH(G23)/3,0))*(地价!AD2:AH2=N25)*(地价!AD3:AH40))</f>
        <v>0</v>
      </c>
      <c r="Q25" s="786"/>
      <c r="R25" s="854"/>
      <c r="S25" s="854"/>
      <c r="T25" s="716"/>
      <c r="U25" s="716"/>
      <c r="V25" s="716"/>
      <c r="W25" s="539"/>
      <c r="X25" s="539"/>
      <c r="Y25" s="539"/>
      <c r="Z25" s="785"/>
      <c r="AA25" s="785"/>
      <c r="AB25" s="785"/>
      <c r="AC25" s="785"/>
      <c r="AD25" s="785"/>
      <c r="AE25" s="716"/>
      <c r="AF25" s="716"/>
      <c r="AG25" s="871"/>
      <c r="AH25" s="871"/>
      <c r="AI25" s="871"/>
      <c r="AJ25" s="871"/>
    </row>
    <row r="26" spans="1:37" ht="14.25">
      <c r="A26" s="661" t="s">
        <v>2369</v>
      </c>
      <c r="B26" s="662" t="s">
        <v>2370</v>
      </c>
      <c r="C26" s="663" t="s">
        <v>2371</v>
      </c>
      <c r="D26" s="664">
        <f>IF(E26=G26,F26,IF(G3&lt;10,ROUND(F26+(H26-F26)*(G3-E26)/(G26-E26),4),"——"))</f>
        <v>1.0427</v>
      </c>
      <c r="E26" s="554">
        <f>ROUNDDOWN(G3,1)</f>
        <v>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663" t="s">
        <v>2372</v>
      </c>
      <c r="J26" s="806" t="str">
        <f>IF(G3&gt;=10,D115,"——")</f>
        <v>——</v>
      </c>
      <c r="K26" s="785"/>
      <c r="L26" s="786"/>
      <c r="M26" s="786"/>
      <c r="N26" s="803" t="s">
        <v>2373</v>
      </c>
      <c r="O26" s="804"/>
      <c r="P26" s="805">
        <f>SUMPRODUCT((地价!A3:A40=YEAR(G23)&amp;"-"&amp;ROUNDUP(MONTH(G23)/3,0))*(地价!AD2:AH2=N26)*(地价!AD3:AH40))</f>
        <v>0</v>
      </c>
      <c r="Q26" s="540"/>
      <c r="R26" s="854"/>
      <c r="S26" s="854"/>
      <c r="T26" s="716"/>
      <c r="U26" s="716"/>
      <c r="V26" s="716"/>
      <c r="W26" s="539"/>
      <c r="X26" s="539"/>
      <c r="Y26" s="539"/>
      <c r="Z26" s="785"/>
      <c r="AA26" s="785"/>
      <c r="AB26" s="785"/>
      <c r="AC26" s="785"/>
      <c r="AD26" s="785"/>
      <c r="AE26" s="716"/>
      <c r="AF26" s="716"/>
      <c r="AG26" s="871"/>
      <c r="AH26" s="871"/>
      <c r="AI26" s="871"/>
      <c r="AJ26" s="871"/>
    </row>
    <row r="27" spans="1:37" ht="15">
      <c r="A27" s="661" t="s">
        <v>2374</v>
      </c>
      <c r="B27" s="665" t="s">
        <v>2375</v>
      </c>
      <c r="C27" s="666">
        <f>ROUND(IF(I3&lt;6,SUMPRODUCT((B106:B110=I3)*(C105:N105=G2)*(C106:N110)),SUMIF(C105:N105,G2,C112:N112)),4)</f>
        <v>1.5019</v>
      </c>
      <c r="D27" s="667"/>
      <c r="E27" s="667"/>
      <c r="F27" s="668"/>
      <c r="G27" s="669"/>
      <c r="H27" s="670"/>
      <c r="I27" s="807"/>
      <c r="J27" s="808"/>
      <c r="K27" s="539"/>
      <c r="L27" s="540"/>
      <c r="M27" s="540"/>
      <c r="N27" s="803" t="s">
        <v>2376</v>
      </c>
      <c r="O27" s="804"/>
      <c r="P27" s="805">
        <f>SUMPRODUCT((地价!A3:A40=YEAR(G23)&amp;"-"&amp;ROUNDUP(MONTH(G23)/3,0))*(地价!AD2:AH2=N27)*(地价!AD3:AH40))</f>
        <v>0</v>
      </c>
      <c r="Q27" s="540"/>
      <c r="R27" s="854"/>
      <c r="S27" s="854"/>
      <c r="T27" s="716"/>
      <c r="U27" s="716"/>
      <c r="V27" s="716"/>
      <c r="W27" s="539"/>
      <c r="X27" s="539"/>
      <c r="Y27" s="539"/>
      <c r="Z27" s="785"/>
      <c r="AA27" s="785"/>
      <c r="AB27" s="785"/>
      <c r="AC27" s="785"/>
      <c r="AD27" s="785"/>
      <c r="AE27" s="716"/>
      <c r="AF27" s="716"/>
      <c r="AG27" s="871"/>
      <c r="AH27" s="871"/>
      <c r="AI27" s="871"/>
      <c r="AJ27" s="871"/>
    </row>
    <row r="28" spans="1:37" ht="15">
      <c r="A28" s="651" t="s">
        <v>2377</v>
      </c>
      <c r="B28" s="645" t="s">
        <v>2378</v>
      </c>
      <c r="C28" s="671">
        <f>SUMIF(A47:A101,E2,B47:B101)</f>
        <v>1</v>
      </c>
      <c r="D28" s="672"/>
      <c r="E28" s="673"/>
      <c r="F28" s="673"/>
      <c r="G28" s="673"/>
      <c r="H28" s="673"/>
      <c r="I28" s="673"/>
      <c r="J28" s="809"/>
      <c r="K28" s="785"/>
      <c r="L28" s="786"/>
      <c r="M28" s="786"/>
      <c r="N28" s="810" t="s">
        <v>2379</v>
      </c>
      <c r="O28" s="811"/>
      <c r="P28" s="812">
        <f>SUMPRODUCT((地价!A3:A40=YEAR(G23)&amp;"-"&amp;ROUNDUP(MONTH(G23)/3,0))*(地价!AD2:AH2=N28)*(地价!AD3:AH40))</f>
        <v>0</v>
      </c>
      <c r="Q28" s="854"/>
      <c r="R28" s="854"/>
      <c r="S28" s="854"/>
      <c r="T28" s="716"/>
      <c r="U28" s="716"/>
      <c r="V28" s="716"/>
      <c r="W28" s="539"/>
      <c r="X28" s="539"/>
      <c r="Y28" s="539"/>
      <c r="Z28" s="785"/>
      <c r="AA28" s="785"/>
      <c r="AB28" s="785"/>
      <c r="AC28" s="785"/>
      <c r="AD28" s="785"/>
      <c r="AE28" s="716"/>
      <c r="AF28" s="716"/>
      <c r="AG28" s="871"/>
      <c r="AH28" s="871"/>
      <c r="AI28" s="871"/>
      <c r="AJ28" s="871"/>
    </row>
    <row r="29" spans="1:37" ht="15">
      <c r="A29" s="651" t="s">
        <v>2380</v>
      </c>
      <c r="B29" s="674" t="s">
        <v>2381</v>
      </c>
      <c r="C29" s="675"/>
      <c r="D29" s="574"/>
      <c r="E29" s="574"/>
      <c r="F29" s="676"/>
      <c r="G29" s="574"/>
      <c r="H29" s="574"/>
      <c r="I29" s="574"/>
      <c r="J29" s="763"/>
      <c r="K29" s="539"/>
      <c r="L29" s="540"/>
      <c r="M29" s="540"/>
      <c r="N29" s="813" t="s">
        <v>2382</v>
      </c>
      <c r="O29" s="814"/>
      <c r="P29" s="815">
        <f>SUMPRODUCT((地价!A3:A40=YEAR(G23)&amp;"-"&amp;ROUNDUP(MONTH(G23)/3,0))*(地价!AD2:AH2=N29)*(地价!AD3:AH40))</f>
        <v>0</v>
      </c>
      <c r="Q29" s="854"/>
      <c r="R29" s="854"/>
      <c r="S29" s="854"/>
      <c r="T29" s="716"/>
      <c r="U29" s="716"/>
      <c r="V29" s="716"/>
      <c r="W29" s="539"/>
      <c r="X29" s="539"/>
      <c r="Y29" s="539"/>
      <c r="Z29" s="785"/>
      <c r="AA29" s="785"/>
      <c r="AB29" s="785"/>
      <c r="AC29" s="785"/>
      <c r="AD29" s="785"/>
      <c r="AE29" s="539"/>
      <c r="AF29" s="539"/>
      <c r="AG29" s="540"/>
      <c r="AH29" s="540"/>
      <c r="AI29" s="540"/>
      <c r="AJ29" s="540"/>
    </row>
    <row r="30" spans="1:37" ht="15">
      <c r="A30" s="677"/>
      <c r="B30" s="662" t="s">
        <v>2383</v>
      </c>
      <c r="C30" s="678" t="e">
        <f>IF(B25="容积率修正",E33+SUM(E37:E42),SUM(V2:V16)+SUM(E37:E42))</f>
        <v>#DIV/0!</v>
      </c>
      <c r="D30" s="679"/>
      <c r="E30" s="667"/>
      <c r="F30" s="680"/>
      <c r="G30" s="667"/>
      <c r="H30" s="667"/>
      <c r="I30" s="667"/>
      <c r="J30" s="816"/>
      <c r="K30" s="539"/>
      <c r="L30" s="817" t="s">
        <v>2270</v>
      </c>
      <c r="M30" s="818" t="s">
        <v>2384</v>
      </c>
      <c r="N30" s="818" t="s">
        <v>2385</v>
      </c>
      <c r="O30" s="818" t="s">
        <v>2386</v>
      </c>
      <c r="P30" s="818" t="s">
        <v>2387</v>
      </c>
      <c r="Q30" s="855" t="s">
        <v>279</v>
      </c>
      <c r="R30" s="854"/>
      <c r="S30" s="854"/>
      <c r="T30" s="716"/>
      <c r="U30" s="716"/>
      <c r="V30" s="716"/>
      <c r="W30" s="539"/>
      <c r="X30" s="539"/>
      <c r="Y30" s="539"/>
      <c r="Z30" s="785"/>
      <c r="AA30" s="785"/>
      <c r="AB30" s="785"/>
      <c r="AC30" s="785"/>
      <c r="AD30" s="785"/>
      <c r="AE30" s="539"/>
      <c r="AF30" s="539"/>
      <c r="AG30" s="540"/>
      <c r="AH30" s="540"/>
      <c r="AI30" s="540"/>
      <c r="AJ30" s="540"/>
    </row>
    <row r="31" spans="1:37" ht="15">
      <c r="A31" s="677"/>
      <c r="B31" s="681" t="s">
        <v>2388</v>
      </c>
      <c r="C31" s="682" t="e">
        <f>E34+SUM(I37:I42)</f>
        <v>#DIV/0!</v>
      </c>
      <c r="D31" s="683"/>
      <c r="E31" s="684"/>
      <c r="F31" s="685"/>
      <c r="G31" s="684"/>
      <c r="H31" s="684"/>
      <c r="I31" s="684"/>
      <c r="J31" s="819"/>
      <c r="K31" s="539"/>
      <c r="L31" s="820" t="s">
        <v>2389</v>
      </c>
      <c r="M31" s="549">
        <v>0.25</v>
      </c>
      <c r="N31" s="549">
        <v>0.2</v>
      </c>
      <c r="O31" s="549">
        <v>0.15</v>
      </c>
      <c r="P31" s="549">
        <v>0.1</v>
      </c>
      <c r="Q31" s="856">
        <v>0.15</v>
      </c>
      <c r="R31" s="854"/>
      <c r="S31" s="854"/>
      <c r="T31" s="716"/>
      <c r="U31" s="716"/>
      <c r="V31" s="716"/>
      <c r="W31" s="539"/>
      <c r="X31" s="539"/>
      <c r="Y31" s="539"/>
      <c r="Z31" s="785"/>
      <c r="AA31" s="785"/>
      <c r="AB31" s="785"/>
      <c r="AC31" s="785"/>
      <c r="AD31" s="785"/>
      <c r="AE31" s="539"/>
      <c r="AF31" s="539"/>
      <c r="AG31" s="540"/>
      <c r="AH31" s="540"/>
      <c r="AI31" s="540"/>
      <c r="AJ31" s="540"/>
    </row>
    <row r="32" spans="1:37" ht="15">
      <c r="A32" s="686"/>
      <c r="B32" s="687" t="s">
        <v>2390</v>
      </c>
      <c r="C32" s="688" t="s">
        <v>2391</v>
      </c>
      <c r="D32" s="688" t="s">
        <v>1128</v>
      </c>
      <c r="E32" s="689" t="s">
        <v>2392</v>
      </c>
      <c r="F32" s="690"/>
      <c r="G32" s="597"/>
      <c r="H32" s="597"/>
      <c r="I32" s="597"/>
      <c r="J32" s="769"/>
      <c r="K32" s="539"/>
      <c r="L32" s="821" t="s">
        <v>2361</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39"/>
      <c r="X32" s="539"/>
      <c r="Y32" s="539"/>
      <c r="Z32" s="785"/>
      <c r="AA32" s="785"/>
      <c r="AB32" s="785"/>
      <c r="AC32" s="785"/>
      <c r="AD32" s="785"/>
      <c r="AE32" s="539"/>
      <c r="AF32" s="539"/>
      <c r="AG32" s="540"/>
      <c r="AH32" s="540"/>
      <c r="AI32" s="540"/>
      <c r="AJ32" s="540"/>
    </row>
    <row r="33" spans="1:37" ht="14.25">
      <c r="A33" s="691"/>
      <c r="B33" s="692" t="s">
        <v>2393</v>
      </c>
      <c r="C33" s="693" t="e">
        <f>ROUND(C5*C22*C23*C24*C25*C28,0)</f>
        <v>#DIV/0!</v>
      </c>
      <c r="D33" s="694"/>
      <c r="E33" s="695" t="e">
        <f>ROUND(C33*D33/10000,0)</f>
        <v>#DIV/0!</v>
      </c>
      <c r="F33" s="696" t="s">
        <v>2394</v>
      </c>
      <c r="G33" s="697"/>
      <c r="H33" s="697"/>
      <c r="I33" s="697"/>
      <c r="J33" s="823"/>
      <c r="K33" s="539"/>
      <c r="L33" s="824" t="s">
        <v>2395</v>
      </c>
      <c r="M33" s="825">
        <v>5.5E-2</v>
      </c>
      <c r="N33" s="825">
        <v>5.5E-2</v>
      </c>
      <c r="O33" s="825">
        <v>0.05</v>
      </c>
      <c r="P33" s="825">
        <v>0.05</v>
      </c>
      <c r="Q33" s="825">
        <v>0.05</v>
      </c>
      <c r="R33" s="854"/>
      <c r="S33" s="854"/>
      <c r="T33" s="716"/>
      <c r="U33" s="716"/>
      <c r="V33" s="716"/>
      <c r="W33" s="539"/>
      <c r="X33" s="539"/>
      <c r="Y33" s="539"/>
      <c r="Z33" s="785"/>
      <c r="AA33" s="785"/>
      <c r="AB33" s="785"/>
      <c r="AC33" s="785"/>
      <c r="AD33" s="785"/>
      <c r="AE33" s="716"/>
      <c r="AF33" s="716"/>
      <c r="AG33" s="871"/>
      <c r="AH33" s="871"/>
      <c r="AI33" s="871"/>
      <c r="AJ33" s="871"/>
    </row>
    <row r="34" spans="1:37" ht="24.75">
      <c r="A34" s="698"/>
      <c r="B34" s="699" t="s">
        <v>2396</v>
      </c>
      <c r="C34" s="635" t="e">
        <f>ROUND(IF(E2="工业",C33*M42,IF(B25="楼层修正",SUM(V2:V16)*M41*10000/D34,C33*M41)),0)</f>
        <v>#DIV/0!</v>
      </c>
      <c r="D34" s="700"/>
      <c r="E34" s="695" t="e">
        <f>ROUND(IF(B25="楼层修正",SUM(V2:V16)*M40,C34*D34/10000),0)</f>
        <v>#DIV/0!</v>
      </c>
      <c r="F34" s="701" t="s">
        <v>2397</v>
      </c>
      <c r="G34" s="702"/>
      <c r="H34" s="702"/>
      <c r="I34" s="702"/>
      <c r="J34" s="826"/>
      <c r="K34" s="539"/>
      <c r="L34" s="824" t="s">
        <v>2398</v>
      </c>
      <c r="M34" s="825">
        <v>6.5000000000000002E-2</v>
      </c>
      <c r="N34" s="825">
        <v>6.5000000000000002E-2</v>
      </c>
      <c r="O34" s="825">
        <v>0.06</v>
      </c>
      <c r="P34" s="825">
        <v>0.06</v>
      </c>
      <c r="Q34" s="825">
        <v>0.06</v>
      </c>
      <c r="R34" s="854"/>
      <c r="S34" s="854"/>
      <c r="T34" s="716"/>
      <c r="U34" s="716"/>
      <c r="V34" s="716"/>
      <c r="W34" s="539"/>
      <c r="X34" s="539"/>
      <c r="Y34" s="539"/>
      <c r="Z34" s="785"/>
      <c r="AA34" s="785"/>
      <c r="AB34" s="785"/>
      <c r="AC34" s="785"/>
      <c r="AD34" s="785"/>
      <c r="AE34" s="716"/>
      <c r="AF34" s="716"/>
      <c r="AG34" s="871"/>
      <c r="AH34" s="871"/>
      <c r="AI34" s="871"/>
      <c r="AJ34" s="871"/>
    </row>
    <row r="35" spans="1:37">
      <c r="A35" s="703"/>
      <c r="B35" s="704" t="s">
        <v>2399</v>
      </c>
      <c r="C35" s="705" t="s">
        <v>2400</v>
      </c>
      <c r="D35" s="597"/>
      <c r="E35" s="706"/>
      <c r="F35" s="706"/>
      <c r="G35" s="595" t="s">
        <v>2397</v>
      </c>
      <c r="H35" s="597"/>
      <c r="I35" s="827"/>
      <c r="J35" s="769"/>
      <c r="K35" s="539"/>
      <c r="L35" s="539"/>
      <c r="M35" s="539"/>
      <c r="N35" s="539"/>
      <c r="O35" s="787"/>
      <c r="P35" s="787"/>
      <c r="Q35" s="854"/>
      <c r="R35" s="539"/>
      <c r="S35" s="539"/>
      <c r="T35" s="539"/>
      <c r="U35" s="539"/>
      <c r="V35" s="539"/>
      <c r="W35" s="539"/>
      <c r="X35" s="539"/>
      <c r="Y35" s="539"/>
      <c r="Z35" s="716"/>
      <c r="AA35" s="716"/>
      <c r="AB35" s="716"/>
      <c r="AC35" s="716"/>
      <c r="AD35" s="716"/>
      <c r="AE35" s="716"/>
      <c r="AF35" s="716"/>
      <c r="AG35" s="871"/>
      <c r="AH35" s="871"/>
      <c r="AI35" s="871"/>
      <c r="AJ35" s="871"/>
    </row>
    <row r="36" spans="1:37" ht="24">
      <c r="A36" s="691"/>
      <c r="B36" s="707"/>
      <c r="C36" s="708" t="s">
        <v>2391</v>
      </c>
      <c r="D36" s="709" t="s">
        <v>1128</v>
      </c>
      <c r="E36" s="709" t="s">
        <v>2392</v>
      </c>
      <c r="F36" s="546" t="s">
        <v>2401</v>
      </c>
      <c r="G36" s="710" t="s">
        <v>2391</v>
      </c>
      <c r="H36" s="710" t="s">
        <v>1128</v>
      </c>
      <c r="I36" s="710" t="s">
        <v>2392</v>
      </c>
      <c r="J36" s="429"/>
      <c r="K36" s="828" t="s">
        <v>2402</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39"/>
      <c r="S36" s="539"/>
      <c r="T36" s="539"/>
      <c r="U36" s="539"/>
      <c r="V36" s="539"/>
      <c r="W36" s="539"/>
      <c r="X36" s="539"/>
      <c r="Y36" s="539"/>
      <c r="Z36" s="716"/>
      <c r="AA36" s="716"/>
      <c r="AB36" s="716"/>
      <c r="AC36" s="716"/>
      <c r="AD36" s="716"/>
      <c r="AE36" s="716"/>
      <c r="AF36" s="716"/>
      <c r="AG36" s="871"/>
      <c r="AH36" s="871"/>
      <c r="AI36" s="871"/>
      <c r="AJ36" s="871"/>
    </row>
    <row r="37" spans="1:37" ht="24">
      <c r="A37" s="3803"/>
      <c r="B37" s="711" t="s">
        <v>2403</v>
      </c>
      <c r="C37" s="693" t="e">
        <f>ROUND(D5*C22*C23*C24*C28*F37,0)</f>
        <v>#DIV/0!</v>
      </c>
      <c r="D37" s="694"/>
      <c r="E37" s="582" t="e">
        <f>ROUND(C37*D37/10000,0)</f>
        <v>#DIV/0!</v>
      </c>
      <c r="F37" s="582">
        <f>SUMIF(修正!A57:A68,G2,修正!B57:B68)</f>
        <v>0.6</v>
      </c>
      <c r="G37" s="582" t="e">
        <f>ROUND(IF(E2="工业",C37*$M$42,C37*$M$41),0)</f>
        <v>#DIV/0!</v>
      </c>
      <c r="H37" s="582">
        <f>D37</f>
        <v>0</v>
      </c>
      <c r="I37" s="582" t="e">
        <f>ROUND(G37*H37/10000,0)</f>
        <v>#DIV/0!</v>
      </c>
      <c r="J37" s="831"/>
      <c r="K37" s="832" t="s">
        <v>2404</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39"/>
      <c r="S37" s="539"/>
      <c r="T37" s="539"/>
      <c r="U37" s="539"/>
      <c r="V37" s="539"/>
      <c r="W37" s="539"/>
      <c r="X37" s="539"/>
      <c r="Y37" s="539"/>
      <c r="Z37" s="716"/>
      <c r="AA37" s="716"/>
      <c r="AB37" s="716"/>
      <c r="AC37" s="716"/>
      <c r="AD37" s="716"/>
      <c r="AE37" s="716"/>
      <c r="AF37" s="716"/>
      <c r="AG37" s="871"/>
      <c r="AH37" s="871"/>
      <c r="AI37" s="871"/>
      <c r="AJ37" s="871"/>
    </row>
    <row r="38" spans="1:37">
      <c r="A38" s="3804"/>
      <c r="B38" s="600" t="s">
        <v>2405</v>
      </c>
      <c r="C38" s="693" t="e">
        <f>ROUND(D5*C22*C23*C24*C28*F38,0)</f>
        <v>#DIV/0!</v>
      </c>
      <c r="D38" s="694"/>
      <c r="E38" s="582" t="e">
        <f t="shared" ref="E38:E42" si="4">ROUND(C38*D38/10000,0)</f>
        <v>#DIV/0!</v>
      </c>
      <c r="F38" s="582">
        <f>SUMIF(修正!A57:A68,G2,修正!C57:C68)</f>
        <v>0.3</v>
      </c>
      <c r="G38" s="582" t="e">
        <f>ROUND(IF(E2="工业",C38*$M$42,C38*$M$41),0)</f>
        <v>#DIV/0!</v>
      </c>
      <c r="H38" s="582">
        <f t="shared" ref="H38:H42" si="5">D38</f>
        <v>0</v>
      </c>
      <c r="I38" s="582" t="e">
        <f t="shared" ref="I38:I42" si="6">ROUND(G38*H38/10000,0)</f>
        <v>#DIV/0!</v>
      </c>
      <c r="J38" s="712"/>
      <c r="K38" s="828">
        <v>5.0000000000000001E-3</v>
      </c>
      <c r="L38" s="828"/>
      <c r="M38" s="828"/>
      <c r="N38" s="828"/>
      <c r="O38" s="828"/>
      <c r="P38" s="828"/>
      <c r="Q38" s="828"/>
      <c r="R38" s="539"/>
      <c r="S38" s="539"/>
      <c r="T38" s="539"/>
      <c r="U38" s="539"/>
      <c r="V38" s="539"/>
      <c r="W38" s="539"/>
      <c r="X38" s="539"/>
      <c r="Y38" s="539"/>
      <c r="Z38" s="716"/>
      <c r="AA38" s="716"/>
      <c r="AB38" s="716"/>
      <c r="AC38" s="716"/>
      <c r="AD38" s="716"/>
    </row>
    <row r="39" spans="1:37">
      <c r="A39" s="3804"/>
      <c r="B39" s="600" t="s">
        <v>2406</v>
      </c>
      <c r="C39" s="693" t="e">
        <f>ROUND(D5*C22*C23*C24*C28*F39,0)</f>
        <v>#DIV/0!</v>
      </c>
      <c r="D39" s="694"/>
      <c r="E39" s="582" t="e">
        <f t="shared" si="4"/>
        <v>#DIV/0!</v>
      </c>
      <c r="F39" s="582">
        <f>SUMIF(修正!A57:A68,G2,修正!D57:D68)</f>
        <v>0.25</v>
      </c>
      <c r="G39" s="582" t="e">
        <f>ROUND(IF(E2="工业",C39*$M$42,C39*$M$41),0)</f>
        <v>#DIV/0!</v>
      </c>
      <c r="H39" s="582">
        <f t="shared" si="5"/>
        <v>0</v>
      </c>
      <c r="I39" s="582" t="e">
        <f t="shared" si="6"/>
        <v>#DIV/0!</v>
      </c>
      <c r="J39" s="712"/>
      <c r="K39" s="539"/>
      <c r="L39" s="539"/>
      <c r="M39" s="539"/>
      <c r="N39" s="539"/>
      <c r="O39" s="539"/>
      <c r="P39" s="539"/>
      <c r="Q39" s="539"/>
      <c r="R39" s="539"/>
      <c r="S39" s="539"/>
      <c r="T39" s="539"/>
      <c r="U39" s="539"/>
      <c r="V39" s="539"/>
      <c r="W39" s="539"/>
      <c r="X39" s="539"/>
      <c r="Y39" s="539"/>
      <c r="Z39" s="716"/>
      <c r="AA39" s="716"/>
      <c r="AB39" s="716"/>
      <c r="AC39" s="716"/>
      <c r="AD39" s="716"/>
    </row>
    <row r="40" spans="1:37" s="539" customFormat="1">
      <c r="A40" s="713"/>
      <c r="B40" s="600" t="s">
        <v>2407</v>
      </c>
      <c r="C40" s="582" t="e">
        <f>ROUND(D5*C22*C23*C24*C28*F40,0)</f>
        <v>#DIV/0!</v>
      </c>
      <c r="D40" s="694"/>
      <c r="E40" s="582" t="e">
        <f t="shared" si="4"/>
        <v>#DIV/0!</v>
      </c>
      <c r="F40" s="693">
        <f>SUMIF(修正!A57:A68,G2,修正!E57:E68)</f>
        <v>0.25</v>
      </c>
      <c r="G40" s="582" t="e">
        <f>ROUND(IF(E2="工业",C40*$M$42,C40*$M$41),0)</f>
        <v>#DIV/0!</v>
      </c>
      <c r="H40" s="582">
        <f t="shared" si="5"/>
        <v>0</v>
      </c>
      <c r="I40" s="582" t="e">
        <f t="shared" si="6"/>
        <v>#DIV/0!</v>
      </c>
      <c r="J40" s="833"/>
      <c r="L40" s="834" t="s">
        <v>2408</v>
      </c>
      <c r="M40" s="835"/>
      <c r="Z40" s="716"/>
      <c r="AA40" s="716"/>
      <c r="AB40" s="716"/>
      <c r="AC40" s="716"/>
      <c r="AD40" s="716"/>
      <c r="AE40" s="716"/>
      <c r="AF40" s="716"/>
      <c r="AG40" s="716"/>
      <c r="AH40" s="716"/>
      <c r="AI40" s="716"/>
      <c r="AJ40" s="716"/>
    </row>
    <row r="41" spans="1:37" s="539" customFormat="1">
      <c r="A41" s="713"/>
      <c r="B41" s="600" t="s">
        <v>2409</v>
      </c>
      <c r="C41" s="582">
        <f>ROUND(D5*C22*C23*C44*C28*F41,0)</f>
        <v>0</v>
      </c>
      <c r="D41" s="694"/>
      <c r="E41" s="582">
        <f t="shared" si="4"/>
        <v>0</v>
      </c>
      <c r="F41" s="693">
        <f>SUMIF(修正!A57:A68,G2,修正!F57:F68)</f>
        <v>0.25</v>
      </c>
      <c r="G41" s="582">
        <f>ROUND(IF(E2="工业",C41*$M$42,C41*$M$41),0)</f>
        <v>0</v>
      </c>
      <c r="H41" s="582">
        <f t="shared" si="5"/>
        <v>0</v>
      </c>
      <c r="I41" s="582">
        <f t="shared" si="6"/>
        <v>0</v>
      </c>
      <c r="J41" s="833"/>
      <c r="L41" s="836" t="s">
        <v>2410</v>
      </c>
      <c r="M41" s="837">
        <v>0.25</v>
      </c>
      <c r="Z41" s="716"/>
      <c r="AA41" s="716"/>
      <c r="AB41" s="716"/>
      <c r="AC41" s="716"/>
      <c r="AD41" s="716"/>
      <c r="AE41" s="716"/>
      <c r="AF41" s="716"/>
      <c r="AG41" s="716"/>
      <c r="AH41" s="716"/>
      <c r="AI41" s="716"/>
      <c r="AJ41" s="716"/>
    </row>
    <row r="42" spans="1:37" s="539" customFormat="1">
      <c r="A42" s="698"/>
      <c r="B42" s="714" t="s">
        <v>2411</v>
      </c>
      <c r="C42" s="635">
        <f>ROUND(D5*C22*C23*C44*C28*F42,0)</f>
        <v>0</v>
      </c>
      <c r="D42" s="700"/>
      <c r="E42" s="635">
        <f t="shared" si="4"/>
        <v>0</v>
      </c>
      <c r="F42" s="715">
        <f>SUMIF(修正!A57:A68,G2,修正!G57:G68)</f>
        <v>0.15</v>
      </c>
      <c r="G42" s="635">
        <f>ROUND(IF(E2="工业",C42*$M$42,C42*$M$41),0)</f>
        <v>0</v>
      </c>
      <c r="H42" s="635">
        <f t="shared" si="5"/>
        <v>0</v>
      </c>
      <c r="I42" s="635">
        <f t="shared" si="6"/>
        <v>0</v>
      </c>
      <c r="J42" s="838"/>
      <c r="L42" s="839" t="s">
        <v>2387</v>
      </c>
      <c r="M42" s="840">
        <v>0.15</v>
      </c>
      <c r="Z42" s="716"/>
      <c r="AA42" s="716"/>
      <c r="AB42" s="716"/>
      <c r="AC42" s="716"/>
      <c r="AD42" s="716"/>
      <c r="AE42" s="716"/>
      <c r="AF42" s="716"/>
      <c r="AG42" s="716"/>
      <c r="AH42" s="716"/>
      <c r="AI42" s="716"/>
      <c r="AJ42" s="716"/>
    </row>
    <row r="43" spans="1:37" s="539" customFormat="1">
      <c r="Z43" s="716"/>
      <c r="AA43" s="716"/>
      <c r="AB43" s="716"/>
      <c r="AC43" s="716"/>
      <c r="AD43" s="716"/>
      <c r="AE43" s="716"/>
      <c r="AF43" s="716"/>
      <c r="AG43" s="716"/>
      <c r="AH43" s="716"/>
      <c r="AI43" s="716"/>
      <c r="AJ43" s="716"/>
    </row>
    <row r="44" spans="1:37" s="539" customFormat="1">
      <c r="A44" s="716"/>
      <c r="B44" s="717" t="s">
        <v>2412</v>
      </c>
      <c r="C44" s="546">
        <f>ROUND(POWER(1+E44,H44-G44)*(POWER(1+E44,G44)-1)/(POWER(1+E44,H44)-1),4)</f>
        <v>0</v>
      </c>
      <c r="D44" s="582" t="s">
        <v>2361</v>
      </c>
      <c r="E44" s="718">
        <f>G24</f>
        <v>5.5E-2</v>
      </c>
      <c r="F44" s="582" t="s">
        <v>2362</v>
      </c>
      <c r="G44" s="719"/>
      <c r="H44" s="582">
        <v>50</v>
      </c>
      <c r="Z44" s="716"/>
      <c r="AA44" s="716"/>
      <c r="AB44" s="716"/>
      <c r="AC44" s="716"/>
      <c r="AD44" s="716"/>
      <c r="AE44" s="716"/>
      <c r="AF44" s="716"/>
      <c r="AG44" s="716"/>
      <c r="AH44" s="716"/>
      <c r="AI44" s="716"/>
      <c r="AJ44" s="716"/>
    </row>
    <row r="45" spans="1:37" s="539" customFormat="1">
      <c r="A45" s="716"/>
      <c r="B45" s="720"/>
      <c r="Z45" s="716"/>
      <c r="AA45" s="716"/>
      <c r="AB45" s="716"/>
      <c r="AC45" s="716"/>
      <c r="AD45" s="716"/>
      <c r="AE45" s="716"/>
      <c r="AF45" s="716"/>
      <c r="AG45" s="716"/>
      <c r="AH45" s="716"/>
      <c r="AI45" s="716"/>
      <c r="AJ45" s="716"/>
    </row>
    <row r="46" spans="1:37" s="539" customFormat="1">
      <c r="A46" s="716"/>
      <c r="B46" s="720"/>
      <c r="AA46" s="716"/>
      <c r="AB46" s="716"/>
      <c r="AC46" s="716"/>
      <c r="AD46" s="716"/>
      <c r="AE46" s="716"/>
      <c r="AF46" s="716"/>
      <c r="AG46" s="716"/>
      <c r="AH46" s="716"/>
      <c r="AI46" s="716"/>
      <c r="AJ46" s="716"/>
      <c r="AK46" s="716"/>
    </row>
    <row r="47" spans="1:37" s="539" customFormat="1" ht="15">
      <c r="A47" s="721" t="s">
        <v>2413</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39" customFormat="1" ht="15">
      <c r="A48" s="725" t="s">
        <v>2414</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39" customFormat="1" ht="24.75">
      <c r="A49" s="731" t="s">
        <v>2415</v>
      </c>
      <c r="B49" s="732" t="s">
        <v>2416</v>
      </c>
      <c r="C49" s="732" t="s">
        <v>2417</v>
      </c>
      <c r="D49" s="732" t="s">
        <v>2418</v>
      </c>
      <c r="E49" s="733" t="s">
        <v>2419</v>
      </c>
      <c r="F49" s="734" t="s">
        <v>2420</v>
      </c>
      <c r="G49" s="732" t="s">
        <v>2238</v>
      </c>
      <c r="H49" s="735" t="s">
        <v>2421</v>
      </c>
      <c r="I49" s="732" t="s">
        <v>2422</v>
      </c>
      <c r="J49" s="842" t="s">
        <v>2106</v>
      </c>
      <c r="K49" s="842" t="s">
        <v>2107</v>
      </c>
      <c r="L49" s="842" t="s">
        <v>2108</v>
      </c>
      <c r="M49" s="842" t="s">
        <v>2109</v>
      </c>
      <c r="N49" s="842" t="s">
        <v>2110</v>
      </c>
      <c r="AA49" s="716"/>
      <c r="AB49" s="716"/>
      <c r="AC49" s="716"/>
      <c r="AD49" s="716"/>
      <c r="AE49" s="716"/>
      <c r="AF49" s="716"/>
      <c r="AG49" s="716"/>
      <c r="AH49" s="716"/>
      <c r="AI49" s="716"/>
      <c r="AJ49" s="716"/>
      <c r="AK49" s="716"/>
    </row>
    <row r="50" spans="1:37" s="539" customFormat="1" ht="38.25">
      <c r="A50" s="731" t="s">
        <v>2423</v>
      </c>
      <c r="B50" s="736" t="str">
        <f>估价对象房地状况!C4</f>
        <v>估价对象位于XX商圈，周边商业氛围成熟，人流量大，商业繁华度好</v>
      </c>
      <c r="C50" s="606"/>
      <c r="D50" s="737">
        <f t="shared" ref="D50:D58" si="7">SUMIF($J$49:$N$49,C50,J50:N50)</f>
        <v>0</v>
      </c>
      <c r="E50" s="738">
        <f>ROUND(SUM(D50:D58),4)</f>
        <v>0</v>
      </c>
      <c r="F50" s="739">
        <f>IF(E2="商业",SUMIF(L1:L12,G2,N1:N12),"——")</f>
        <v>0.126</v>
      </c>
      <c r="G50" s="740"/>
      <c r="H50" s="741">
        <f t="shared" ref="H50:H58" si="8">IFERROR(ROUNDDOWN($F$50*I50/2,4),"——")</f>
        <v>1.89E-2</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39" customFormat="1" ht="38.25">
      <c r="A51" s="731" t="s">
        <v>2424</v>
      </c>
      <c r="B51" s="742" t="str">
        <f>估价对象房地状况!C18</f>
        <v>估价对象周边道路状况、公共交通通达情况、停车便捷程度，综合评价交通便捷度较好</v>
      </c>
      <c r="C51" s="606"/>
      <c r="D51" s="737">
        <f t="shared" si="7"/>
        <v>0</v>
      </c>
      <c r="E51" s="743"/>
      <c r="F51" s="739"/>
      <c r="G51" s="740"/>
      <c r="H51" s="741">
        <f t="shared" si="8"/>
        <v>1.38E-2</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39" customFormat="1" ht="36">
      <c r="A52" s="744" t="s">
        <v>2425</v>
      </c>
      <c r="B52" s="742">
        <f>估价对象房地状况!C19</f>
        <v>0</v>
      </c>
      <c r="C52" s="606"/>
      <c r="D52" s="737">
        <f t="shared" si="7"/>
        <v>0</v>
      </c>
      <c r="E52" s="743"/>
      <c r="F52" s="739"/>
      <c r="G52" s="740"/>
      <c r="H52" s="741">
        <f t="shared" si="8"/>
        <v>7.4999999999999997E-3</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39" customFormat="1" ht="36.75">
      <c r="A53" s="731" t="s">
        <v>2426</v>
      </c>
      <c r="B53" s="745" t="s">
        <v>2427</v>
      </c>
      <c r="C53" s="606"/>
      <c r="D53" s="737">
        <f t="shared" si="7"/>
        <v>0</v>
      </c>
      <c r="E53" s="743"/>
      <c r="F53" s="739"/>
      <c r="G53" s="740"/>
      <c r="H53" s="741">
        <f t="shared" si="8"/>
        <v>3.0999999999999999E-3</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39" customFormat="1" ht="24">
      <c r="A54" s="731" t="s">
        <v>2428</v>
      </c>
      <c r="B54" s="742">
        <f>估价对象房地状况!C24</f>
        <v>0</v>
      </c>
      <c r="C54" s="606"/>
      <c r="D54" s="737">
        <f t="shared" si="7"/>
        <v>0</v>
      </c>
      <c r="E54" s="743"/>
      <c r="F54" s="739"/>
      <c r="G54" s="740"/>
      <c r="H54" s="741">
        <f t="shared" si="8"/>
        <v>5.0000000000000001E-3</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39" customFormat="1" ht="24">
      <c r="A55" s="731" t="s">
        <v>2429</v>
      </c>
      <c r="B55" s="746" t="s">
        <v>2430</v>
      </c>
      <c r="C55" s="606"/>
      <c r="D55" s="737">
        <f t="shared" si="7"/>
        <v>0</v>
      </c>
      <c r="E55" s="743"/>
      <c r="F55" s="739"/>
      <c r="G55" s="740"/>
      <c r="H55" s="741">
        <f t="shared" si="8"/>
        <v>3.0999999999999999E-3</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39" customFormat="1" ht="25.5">
      <c r="A56" s="747" t="s">
        <v>2431</v>
      </c>
      <c r="B56" s="748" t="str">
        <f>估价对象房地状况!C21</f>
        <v>估价对象所在区域公共配套设施齐备情况</v>
      </c>
      <c r="C56" s="606"/>
      <c r="D56" s="737">
        <f t="shared" si="7"/>
        <v>0</v>
      </c>
      <c r="E56" s="743"/>
      <c r="F56" s="739"/>
      <c r="G56" s="740"/>
      <c r="H56" s="741">
        <f t="shared" si="8"/>
        <v>3.0999999999999999E-3</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39" customFormat="1" ht="25.5">
      <c r="A57" s="747" t="s">
        <v>2432</v>
      </c>
      <c r="B57" s="742" t="str">
        <f>估价对象房地状况!C22</f>
        <v>估价对象所在区域基础设施水平</v>
      </c>
      <c r="C57" s="606"/>
      <c r="D57" s="737">
        <f t="shared" si="7"/>
        <v>0</v>
      </c>
      <c r="E57" s="743"/>
      <c r="F57" s="739"/>
      <c r="G57" s="740"/>
      <c r="H57" s="741">
        <f t="shared" si="8"/>
        <v>5.0000000000000001E-3</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39" customFormat="1" ht="25.5">
      <c r="A58" s="749" t="s">
        <v>2433</v>
      </c>
      <c r="B58" s="750" t="str">
        <f>估价对象房地状况!C20</f>
        <v>区域自然环境：；人文环境；综合评价环境状况一般</v>
      </c>
      <c r="C58" s="606"/>
      <c r="D58" s="737">
        <f t="shared" si="7"/>
        <v>0</v>
      </c>
      <c r="E58" s="751"/>
      <c r="F58" s="739"/>
      <c r="G58" s="740"/>
      <c r="H58" s="741">
        <f t="shared" si="8"/>
        <v>3.0999999999999999E-3</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39" customFormat="1" ht="15">
      <c r="A59" s="725" t="s">
        <v>2434</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39" customFormat="1" ht="24.75">
      <c r="A60" s="731" t="s">
        <v>2415</v>
      </c>
      <c r="B60" s="732"/>
      <c r="C60" s="732" t="s">
        <v>2417</v>
      </c>
      <c r="D60" s="732" t="s">
        <v>2418</v>
      </c>
      <c r="E60" s="733" t="s">
        <v>2419</v>
      </c>
      <c r="F60" s="734" t="s">
        <v>2435</v>
      </c>
      <c r="G60" s="732" t="s">
        <v>2238</v>
      </c>
      <c r="H60" s="735" t="s">
        <v>2421</v>
      </c>
      <c r="I60" s="732" t="s">
        <v>2422</v>
      </c>
      <c r="J60" s="842" t="s">
        <v>2106</v>
      </c>
      <c r="K60" s="842" t="s">
        <v>2107</v>
      </c>
      <c r="L60" s="842" t="s">
        <v>2108</v>
      </c>
      <c r="M60" s="842" t="s">
        <v>2109</v>
      </c>
      <c r="N60" s="842" t="s">
        <v>2110</v>
      </c>
      <c r="AA60" s="716"/>
      <c r="AB60" s="716"/>
      <c r="AC60" s="716"/>
      <c r="AD60" s="716"/>
      <c r="AE60" s="716"/>
      <c r="AF60" s="716"/>
      <c r="AG60" s="716"/>
      <c r="AH60" s="716"/>
      <c r="AI60" s="716"/>
      <c r="AJ60" s="716"/>
      <c r="AK60" s="716"/>
    </row>
    <row r="61" spans="1:37" s="539" customFormat="1" ht="38.25">
      <c r="A61" s="731" t="s">
        <v>2436</v>
      </c>
      <c r="B61" s="736" t="str">
        <f>估价对象房地状况!C17</f>
        <v>估价对象位于XX商圈，周边办公楼项目较多，入驻率高，办公集聚程度较好</v>
      </c>
      <c r="C61" s="606"/>
      <c r="D61" s="737">
        <f t="shared" ref="D61:D69" si="12">SUMIF($J$60:$N$60,C61,J61:N61)</f>
        <v>0</v>
      </c>
      <c r="E61" s="738">
        <f>ROUND(SUM(D61:D69),4)</f>
        <v>0</v>
      </c>
      <c r="F61" s="739" t="str">
        <f>IF(E2="办公",SUMIF(L1:L12,G2,N1:N12),"——")</f>
        <v>——</v>
      </c>
      <c r="G61" s="740"/>
      <c r="H61" s="741"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6"/>
      <c r="AB61" s="716"/>
      <c r="AC61" s="716"/>
      <c r="AD61" s="716"/>
      <c r="AE61" s="716"/>
      <c r="AF61" s="716"/>
      <c r="AG61" s="716"/>
      <c r="AH61" s="716"/>
      <c r="AI61" s="716"/>
      <c r="AJ61" s="716"/>
      <c r="AK61" s="716"/>
    </row>
    <row r="62" spans="1:37" s="539" customFormat="1" ht="38.25">
      <c r="A62" s="731" t="s">
        <v>2424</v>
      </c>
      <c r="B62" s="742" t="str">
        <f>估价对象房地状况!C18</f>
        <v>估价对象周边道路状况、公共交通通达情况、停车便捷程度，综合评价交通便捷度较好</v>
      </c>
      <c r="C62" s="606"/>
      <c r="D62" s="737">
        <f t="shared" si="12"/>
        <v>0</v>
      </c>
      <c r="E62" s="743"/>
      <c r="F62" s="739"/>
      <c r="G62" s="740"/>
      <c r="H62" s="741" t="str">
        <f t="shared" si="13"/>
        <v>——</v>
      </c>
      <c r="I62" s="843">
        <v>0.26</v>
      </c>
      <c r="J62" s="844">
        <f t="shared" si="14"/>
        <v>0</v>
      </c>
      <c r="K62" s="844">
        <f t="shared" si="15"/>
        <v>0</v>
      </c>
      <c r="L62" s="844">
        <v>0</v>
      </c>
      <c r="M62" s="844">
        <f t="shared" si="16"/>
        <v>0</v>
      </c>
      <c r="N62" s="844">
        <f t="shared" si="16"/>
        <v>0</v>
      </c>
      <c r="AA62" s="716"/>
      <c r="AB62" s="716"/>
      <c r="AC62" s="716"/>
      <c r="AD62" s="716"/>
      <c r="AE62" s="716"/>
      <c r="AF62" s="716"/>
      <c r="AG62" s="716"/>
      <c r="AH62" s="716"/>
      <c r="AI62" s="716"/>
      <c r="AJ62" s="716"/>
      <c r="AK62" s="716"/>
    </row>
    <row r="63" spans="1:37" s="539" customFormat="1" ht="36">
      <c r="A63" s="744" t="s">
        <v>2425</v>
      </c>
      <c r="B63" s="742">
        <f>估价对象房地状况!C19</f>
        <v>0</v>
      </c>
      <c r="C63" s="606"/>
      <c r="D63" s="737">
        <f t="shared" si="12"/>
        <v>0</v>
      </c>
      <c r="E63" s="743"/>
      <c r="F63" s="739"/>
      <c r="G63" s="740"/>
      <c r="H63" s="741" t="str">
        <f t="shared" si="13"/>
        <v>——</v>
      </c>
      <c r="I63" s="843">
        <v>0.11</v>
      </c>
      <c r="J63" s="844">
        <f t="shared" si="14"/>
        <v>0</v>
      </c>
      <c r="K63" s="844">
        <f t="shared" si="15"/>
        <v>0</v>
      </c>
      <c r="L63" s="844">
        <v>0</v>
      </c>
      <c r="M63" s="844">
        <f t="shared" si="16"/>
        <v>0</v>
      </c>
      <c r="N63" s="844">
        <f t="shared" si="16"/>
        <v>0</v>
      </c>
      <c r="AA63" s="716"/>
      <c r="AB63" s="716"/>
      <c r="AC63" s="716"/>
      <c r="AD63" s="716"/>
      <c r="AE63" s="716"/>
      <c r="AF63" s="716"/>
      <c r="AG63" s="716"/>
      <c r="AH63" s="716"/>
      <c r="AI63" s="716"/>
      <c r="AJ63" s="716"/>
      <c r="AK63" s="716"/>
    </row>
    <row r="64" spans="1:37" s="539" customFormat="1" ht="36.75">
      <c r="A64" s="731" t="s">
        <v>2426</v>
      </c>
      <c r="B64" s="745" t="s">
        <v>2427</v>
      </c>
      <c r="C64" s="606"/>
      <c r="D64" s="737">
        <f t="shared" si="12"/>
        <v>0</v>
      </c>
      <c r="E64" s="743"/>
      <c r="F64" s="739"/>
      <c r="G64" s="740"/>
      <c r="H64" s="741" t="str">
        <f t="shared" si="13"/>
        <v>——</v>
      </c>
      <c r="I64" s="843">
        <v>0.05</v>
      </c>
      <c r="J64" s="844">
        <f t="shared" si="14"/>
        <v>0</v>
      </c>
      <c r="K64" s="844">
        <f t="shared" si="15"/>
        <v>0</v>
      </c>
      <c r="L64" s="844">
        <v>0</v>
      </c>
      <c r="M64" s="844">
        <f t="shared" si="16"/>
        <v>0</v>
      </c>
      <c r="N64" s="844">
        <f t="shared" si="16"/>
        <v>0</v>
      </c>
      <c r="AA64" s="716"/>
      <c r="AB64" s="716"/>
      <c r="AC64" s="716"/>
      <c r="AD64" s="716"/>
      <c r="AE64" s="716"/>
      <c r="AF64" s="716"/>
      <c r="AG64" s="716"/>
      <c r="AH64" s="716"/>
      <c r="AI64" s="716"/>
      <c r="AJ64" s="716"/>
      <c r="AK64" s="716"/>
    </row>
    <row r="65" spans="1:37" s="539" customFormat="1" ht="24">
      <c r="A65" s="731" t="s">
        <v>2428</v>
      </c>
      <c r="B65" s="742">
        <f>估价对象房地状况!C24</f>
        <v>0</v>
      </c>
      <c r="C65" s="606"/>
      <c r="D65" s="737">
        <f t="shared" si="12"/>
        <v>0</v>
      </c>
      <c r="E65" s="743"/>
      <c r="F65" s="739"/>
      <c r="G65" s="740"/>
      <c r="H65" s="741" t="str">
        <f t="shared" si="13"/>
        <v>——</v>
      </c>
      <c r="I65" s="843">
        <v>0.05</v>
      </c>
      <c r="J65" s="844">
        <f t="shared" si="14"/>
        <v>0</v>
      </c>
      <c r="K65" s="844">
        <f t="shared" si="15"/>
        <v>0</v>
      </c>
      <c r="L65" s="844">
        <v>0</v>
      </c>
      <c r="M65" s="844">
        <f t="shared" si="16"/>
        <v>0</v>
      </c>
      <c r="N65" s="844">
        <f t="shared" si="16"/>
        <v>0</v>
      </c>
      <c r="AA65" s="716"/>
      <c r="AB65" s="716"/>
      <c r="AC65" s="716"/>
      <c r="AD65" s="716"/>
      <c r="AE65" s="716"/>
      <c r="AF65" s="716"/>
      <c r="AG65" s="716"/>
      <c r="AH65" s="716"/>
      <c r="AI65" s="716"/>
      <c r="AJ65" s="716"/>
      <c r="AK65" s="716"/>
    </row>
    <row r="66" spans="1:37" s="539" customFormat="1" ht="24">
      <c r="A66" s="731" t="s">
        <v>2429</v>
      </c>
      <c r="B66" s="746" t="s">
        <v>2430</v>
      </c>
      <c r="C66" s="606"/>
      <c r="D66" s="737">
        <f t="shared" si="12"/>
        <v>0</v>
      </c>
      <c r="E66" s="743"/>
      <c r="F66" s="739"/>
      <c r="G66" s="740"/>
      <c r="H66" s="741" t="str">
        <f t="shared" si="13"/>
        <v>——</v>
      </c>
      <c r="I66" s="843">
        <v>0.06</v>
      </c>
      <c r="J66" s="844">
        <f t="shared" si="14"/>
        <v>0</v>
      </c>
      <c r="K66" s="844">
        <f t="shared" si="15"/>
        <v>0</v>
      </c>
      <c r="L66" s="844">
        <v>0</v>
      </c>
      <c r="M66" s="844">
        <f t="shared" si="16"/>
        <v>0</v>
      </c>
      <c r="N66" s="844">
        <f t="shared" si="16"/>
        <v>0</v>
      </c>
      <c r="AA66" s="716"/>
      <c r="AB66" s="716"/>
      <c r="AC66" s="716"/>
      <c r="AD66" s="716"/>
      <c r="AE66" s="716"/>
      <c r="AF66" s="716"/>
      <c r="AG66" s="716"/>
      <c r="AH66" s="716"/>
      <c r="AI66" s="716"/>
      <c r="AJ66" s="716"/>
      <c r="AK66" s="716"/>
    </row>
    <row r="67" spans="1:37" s="539" customFormat="1" ht="25.5">
      <c r="A67" s="731" t="s">
        <v>2431</v>
      </c>
      <c r="B67" s="748" t="str">
        <f>估价对象房地状况!C21</f>
        <v>估价对象所在区域公共配套设施齐备情况</v>
      </c>
      <c r="C67" s="606"/>
      <c r="D67" s="737">
        <f t="shared" si="12"/>
        <v>0</v>
      </c>
      <c r="E67" s="743"/>
      <c r="F67" s="739"/>
      <c r="G67" s="740"/>
      <c r="H67" s="741" t="str">
        <f t="shared" si="13"/>
        <v>——</v>
      </c>
      <c r="I67" s="843">
        <v>0.06</v>
      </c>
      <c r="J67" s="844">
        <f t="shared" si="14"/>
        <v>0</v>
      </c>
      <c r="K67" s="844">
        <f t="shared" si="15"/>
        <v>0</v>
      </c>
      <c r="L67" s="844">
        <v>0</v>
      </c>
      <c r="M67" s="844">
        <f t="shared" si="16"/>
        <v>0</v>
      </c>
      <c r="N67" s="844">
        <f t="shared" si="16"/>
        <v>0</v>
      </c>
      <c r="AA67" s="716"/>
      <c r="AB67" s="716"/>
      <c r="AC67" s="716"/>
      <c r="AD67" s="716"/>
      <c r="AE67" s="716"/>
      <c r="AF67" s="716"/>
      <c r="AG67" s="716"/>
      <c r="AH67" s="716"/>
      <c r="AI67" s="716"/>
      <c r="AJ67" s="716"/>
      <c r="AK67" s="716"/>
    </row>
    <row r="68" spans="1:37" s="539" customFormat="1" ht="25.5">
      <c r="A68" s="731" t="s">
        <v>2432</v>
      </c>
      <c r="B68" s="748" t="str">
        <f>估价对象房地状况!C22</f>
        <v>估价对象所在区域基础设施水平</v>
      </c>
      <c r="C68" s="606"/>
      <c r="D68" s="737">
        <f t="shared" si="12"/>
        <v>0</v>
      </c>
      <c r="E68" s="743"/>
      <c r="F68" s="739"/>
      <c r="G68" s="740"/>
      <c r="H68" s="741" t="str">
        <f t="shared" si="13"/>
        <v>——</v>
      </c>
      <c r="I68" s="843">
        <v>0.09</v>
      </c>
      <c r="J68" s="844">
        <f t="shared" si="14"/>
        <v>0</v>
      </c>
      <c r="K68" s="844">
        <f t="shared" si="15"/>
        <v>0</v>
      </c>
      <c r="L68" s="844">
        <v>0</v>
      </c>
      <c r="M68" s="844">
        <f t="shared" si="16"/>
        <v>0</v>
      </c>
      <c r="N68" s="844">
        <f t="shared" si="16"/>
        <v>0</v>
      </c>
      <c r="AA68" s="716"/>
      <c r="AB68" s="716"/>
      <c r="AC68" s="716"/>
      <c r="AD68" s="716"/>
      <c r="AE68" s="716"/>
      <c r="AF68" s="716"/>
      <c r="AG68" s="716"/>
      <c r="AH68" s="716"/>
      <c r="AI68" s="716"/>
      <c r="AJ68" s="716"/>
      <c r="AK68" s="716"/>
    </row>
    <row r="69" spans="1:37" s="539" customFormat="1" ht="25.5">
      <c r="A69" s="749" t="s">
        <v>2433</v>
      </c>
      <c r="B69" s="875" t="str">
        <f>估价对象房地状况!C20</f>
        <v>区域自然环境：；人文环境；综合评价环境状况一般</v>
      </c>
      <c r="C69" s="606"/>
      <c r="D69" s="737">
        <f t="shared" si="12"/>
        <v>0</v>
      </c>
      <c r="E69" s="751"/>
      <c r="F69" s="739"/>
      <c r="G69" s="740"/>
      <c r="H69" s="741" t="str">
        <f t="shared" si="13"/>
        <v>——</v>
      </c>
      <c r="I69" s="845">
        <v>7.0000000000000007E-2</v>
      </c>
      <c r="J69" s="844">
        <f t="shared" si="14"/>
        <v>0</v>
      </c>
      <c r="K69" s="844">
        <f t="shared" si="15"/>
        <v>0</v>
      </c>
      <c r="L69" s="844">
        <v>0</v>
      </c>
      <c r="M69" s="844">
        <f t="shared" si="16"/>
        <v>0</v>
      </c>
      <c r="N69" s="844">
        <f t="shared" si="16"/>
        <v>0</v>
      </c>
      <c r="AA69" s="716"/>
      <c r="AB69" s="716"/>
      <c r="AC69" s="716"/>
      <c r="AD69" s="716"/>
      <c r="AE69" s="716"/>
      <c r="AF69" s="716"/>
      <c r="AG69" s="716"/>
      <c r="AH69" s="716"/>
      <c r="AI69" s="716"/>
      <c r="AJ69" s="716"/>
      <c r="AK69" s="716"/>
    </row>
    <row r="70" spans="1:37" s="539" customFormat="1" ht="15">
      <c r="A70" s="725" t="s">
        <v>2437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39" customFormat="1" ht="24.75">
      <c r="A71" s="731" t="s">
        <v>2415</v>
      </c>
      <c r="B71" s="732"/>
      <c r="C71" s="732" t="s">
        <v>2417</v>
      </c>
      <c r="D71" s="732" t="s">
        <v>2418</v>
      </c>
      <c r="E71" s="733" t="s">
        <v>2419</v>
      </c>
      <c r="F71" s="734" t="s">
        <v>2435</v>
      </c>
      <c r="G71" s="732" t="s">
        <v>2238</v>
      </c>
      <c r="H71" s="735" t="s">
        <v>2421</v>
      </c>
      <c r="I71" s="732" t="s">
        <v>2422</v>
      </c>
      <c r="J71" s="842" t="s">
        <v>2106</v>
      </c>
      <c r="K71" s="842" t="s">
        <v>2107</v>
      </c>
      <c r="L71" s="842" t="s">
        <v>2108</v>
      </c>
      <c r="M71" s="842" t="s">
        <v>2109</v>
      </c>
      <c r="N71" s="842" t="s">
        <v>2110</v>
      </c>
      <c r="AA71" s="716"/>
      <c r="AB71" s="716"/>
      <c r="AC71" s="716"/>
      <c r="AD71" s="716"/>
      <c r="AE71" s="716"/>
      <c r="AF71" s="716"/>
      <c r="AG71" s="716"/>
      <c r="AH71" s="716"/>
      <c r="AI71" s="716"/>
      <c r="AJ71" s="716"/>
      <c r="AK71" s="716"/>
    </row>
    <row r="72" spans="1:37" s="539" customFormat="1" ht="51">
      <c r="A72" s="731" t="s">
        <v>2438</v>
      </c>
      <c r="B72" s="736" t="str">
        <f>估价对象房地状况!C15</f>
        <v>估价对象周边居住用地比例、居住小区规模和社区发展完善程度，综合评价居住社区成熟度一般</v>
      </c>
      <c r="C72" s="606"/>
      <c r="D72" s="737">
        <f t="shared" ref="D72:D80" si="17">SUMIF($J$71:$N$71,C72,J72:N72)</f>
        <v>0</v>
      </c>
      <c r="E72" s="738">
        <f>ROUND(SUM(D72:D80),4)</f>
        <v>0</v>
      </c>
      <c r="F72" s="739" t="str">
        <f>IF(E2="住宅",SUMIF(L1:L12,G2,N1:N12),"——")</f>
        <v>——</v>
      </c>
      <c r="G72" s="740"/>
      <c r="H72" s="741"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6"/>
      <c r="AB72" s="716"/>
      <c r="AC72" s="716"/>
      <c r="AD72" s="716"/>
      <c r="AE72" s="716"/>
      <c r="AF72" s="716"/>
      <c r="AG72" s="716"/>
      <c r="AH72" s="716"/>
      <c r="AI72" s="716"/>
      <c r="AJ72" s="716"/>
      <c r="AK72" s="716"/>
    </row>
    <row r="73" spans="1:37" s="539" customFormat="1" ht="38.25">
      <c r="A73" s="731" t="s">
        <v>2424</v>
      </c>
      <c r="B73" s="742" t="str">
        <f>估价对象房地状况!C18</f>
        <v>估价对象周边道路状况、公共交通通达情况、停车便捷程度，综合评价交通便捷度较好</v>
      </c>
      <c r="C73" s="606"/>
      <c r="D73" s="737">
        <f t="shared" si="17"/>
        <v>0</v>
      </c>
      <c r="E73" s="876"/>
      <c r="F73" s="739"/>
      <c r="G73" s="740"/>
      <c r="H73" s="741" t="str">
        <f t="shared" si="18"/>
        <v>——</v>
      </c>
      <c r="I73" s="843">
        <v>0.26</v>
      </c>
      <c r="J73" s="844">
        <f t="shared" si="19"/>
        <v>0</v>
      </c>
      <c r="K73" s="844">
        <f t="shared" si="20"/>
        <v>0</v>
      </c>
      <c r="L73" s="844">
        <v>0</v>
      </c>
      <c r="M73" s="844">
        <f t="shared" si="21"/>
        <v>0</v>
      </c>
      <c r="N73" s="844">
        <f t="shared" si="21"/>
        <v>0</v>
      </c>
      <c r="AA73" s="716"/>
      <c r="AB73" s="716"/>
      <c r="AC73" s="716"/>
      <c r="AD73" s="716"/>
      <c r="AE73" s="716"/>
      <c r="AF73" s="716"/>
      <c r="AG73" s="716"/>
      <c r="AH73" s="716"/>
      <c r="AI73" s="716"/>
      <c r="AJ73" s="716"/>
      <c r="AK73" s="716"/>
    </row>
    <row r="74" spans="1:37" s="540" customFormat="1" ht="36">
      <c r="A74" s="744" t="s">
        <v>2425</v>
      </c>
      <c r="B74" s="742">
        <f>估价对象房地状况!C19</f>
        <v>0</v>
      </c>
      <c r="C74" s="606"/>
      <c r="D74" s="737">
        <f t="shared" si="17"/>
        <v>0</v>
      </c>
      <c r="E74" s="876"/>
      <c r="F74" s="739"/>
      <c r="G74" s="740"/>
      <c r="H74" s="741" t="str">
        <f t="shared" si="18"/>
        <v>——</v>
      </c>
      <c r="I74" s="843">
        <v>0.1</v>
      </c>
      <c r="J74" s="844">
        <f t="shared" si="19"/>
        <v>0</v>
      </c>
      <c r="K74" s="844">
        <f t="shared" si="20"/>
        <v>0</v>
      </c>
      <c r="L74" s="844">
        <v>0</v>
      </c>
      <c r="M74" s="844">
        <f t="shared" si="21"/>
        <v>0</v>
      </c>
      <c r="N74" s="844">
        <f t="shared" si="21"/>
        <v>0</v>
      </c>
      <c r="O74" s="539"/>
      <c r="P74" s="539"/>
      <c r="Q74" s="539"/>
      <c r="AA74" s="871"/>
      <c r="AB74" s="716"/>
      <c r="AC74" s="716"/>
      <c r="AD74" s="716"/>
      <c r="AE74" s="716"/>
      <c r="AF74" s="716"/>
      <c r="AG74" s="716"/>
      <c r="AH74" s="871"/>
      <c r="AI74" s="871"/>
      <c r="AJ74" s="871"/>
      <c r="AK74" s="871"/>
    </row>
    <row r="75" spans="1:37" ht="14.25">
      <c r="A75" s="731" t="s">
        <v>2439</v>
      </c>
      <c r="B75" s="742">
        <f>估价对象房地状况!C24</f>
        <v>0</v>
      </c>
      <c r="C75" s="606"/>
      <c r="D75" s="737">
        <f t="shared" si="17"/>
        <v>0</v>
      </c>
      <c r="E75" s="876"/>
      <c r="F75" s="739"/>
      <c r="G75" s="740"/>
      <c r="H75" s="741" t="str">
        <f t="shared" si="18"/>
        <v>——</v>
      </c>
      <c r="I75" s="843">
        <v>0.05</v>
      </c>
      <c r="J75" s="844">
        <f t="shared" si="19"/>
        <v>0</v>
      </c>
      <c r="K75" s="844">
        <f t="shared" si="20"/>
        <v>0</v>
      </c>
      <c r="L75" s="844">
        <v>0</v>
      </c>
      <c r="M75" s="844">
        <f t="shared" si="21"/>
        <v>0</v>
      </c>
      <c r="N75" s="844">
        <f t="shared" si="21"/>
        <v>0</v>
      </c>
      <c r="O75" s="539"/>
      <c r="P75" s="539"/>
      <c r="Q75" s="540"/>
      <c r="Z75" s="543"/>
      <c r="AA75" s="541"/>
      <c r="AG75" s="545"/>
      <c r="AK75" s="541"/>
    </row>
    <row r="76" spans="1:37" ht="25.5">
      <c r="A76" s="731" t="s">
        <v>2431</v>
      </c>
      <c r="B76" s="748" t="str">
        <f>估价对象房地状况!C21</f>
        <v>估价对象所在区域公共配套设施齐备情况</v>
      </c>
      <c r="C76" s="606"/>
      <c r="D76" s="737">
        <f t="shared" si="17"/>
        <v>0</v>
      </c>
      <c r="E76" s="876"/>
      <c r="F76" s="739"/>
      <c r="G76" s="740"/>
      <c r="H76" s="741" t="str">
        <f t="shared" si="18"/>
        <v>——</v>
      </c>
      <c r="I76" s="843">
        <v>0.08</v>
      </c>
      <c r="J76" s="844">
        <f t="shared" si="19"/>
        <v>0</v>
      </c>
      <c r="K76" s="844">
        <f t="shared" si="20"/>
        <v>0</v>
      </c>
      <c r="L76" s="844">
        <v>0</v>
      </c>
      <c r="M76" s="844">
        <f t="shared" si="21"/>
        <v>0</v>
      </c>
      <c r="N76" s="844">
        <f t="shared" si="21"/>
        <v>0</v>
      </c>
      <c r="O76" s="539"/>
      <c r="P76" s="539"/>
      <c r="Z76" s="543"/>
      <c r="AA76" s="541"/>
      <c r="AG76" s="545"/>
      <c r="AK76" s="541"/>
    </row>
    <row r="77" spans="1:37" ht="25.5">
      <c r="A77" s="731" t="s">
        <v>2432</v>
      </c>
      <c r="B77" s="748" t="str">
        <f>估价对象房地状况!C22</f>
        <v>估价对象所在区域基础设施水平</v>
      </c>
      <c r="C77" s="606"/>
      <c r="D77" s="737">
        <f t="shared" si="17"/>
        <v>0</v>
      </c>
      <c r="E77" s="876"/>
      <c r="F77" s="739"/>
      <c r="G77" s="740"/>
      <c r="H77" s="741" t="str">
        <f t="shared" si="18"/>
        <v>——</v>
      </c>
      <c r="I77" s="843">
        <v>0.09</v>
      </c>
      <c r="J77" s="844">
        <f t="shared" si="19"/>
        <v>0</v>
      </c>
      <c r="K77" s="844">
        <f t="shared" si="20"/>
        <v>0</v>
      </c>
      <c r="L77" s="844">
        <v>0</v>
      </c>
      <c r="M77" s="844">
        <f t="shared" si="21"/>
        <v>0</v>
      </c>
      <c r="N77" s="844">
        <f t="shared" si="21"/>
        <v>0</v>
      </c>
      <c r="O77" s="539"/>
      <c r="P77" s="539"/>
      <c r="Z77" s="543"/>
      <c r="AA77" s="541"/>
      <c r="AG77" s="545"/>
      <c r="AK77" s="541"/>
    </row>
    <row r="78" spans="1:37" ht="24">
      <c r="A78" s="731" t="s">
        <v>2429</v>
      </c>
      <c r="B78" s="746" t="s">
        <v>2430</v>
      </c>
      <c r="C78" s="606"/>
      <c r="D78" s="737">
        <f t="shared" si="17"/>
        <v>0</v>
      </c>
      <c r="E78" s="876"/>
      <c r="F78" s="739"/>
      <c r="G78" s="740"/>
      <c r="H78" s="741" t="str">
        <f t="shared" si="18"/>
        <v>——</v>
      </c>
      <c r="I78" s="843">
        <v>0.05</v>
      </c>
      <c r="J78" s="844">
        <f t="shared" si="19"/>
        <v>0</v>
      </c>
      <c r="K78" s="844">
        <f t="shared" si="20"/>
        <v>0</v>
      </c>
      <c r="L78" s="844">
        <v>0</v>
      </c>
      <c r="M78" s="844">
        <f t="shared" si="21"/>
        <v>0</v>
      </c>
      <c r="N78" s="844">
        <f t="shared" si="21"/>
        <v>0</v>
      </c>
      <c r="O78" s="540"/>
      <c r="P78" s="540"/>
      <c r="Z78" s="543"/>
      <c r="AA78" s="541"/>
      <c r="AG78" s="545"/>
      <c r="AK78" s="541"/>
    </row>
    <row r="79" spans="1:37" ht="25.5">
      <c r="A79" s="731" t="s">
        <v>2433</v>
      </c>
      <c r="B79" s="736" t="str">
        <f>估价对象房地状况!C20</f>
        <v>区域自然环境：；人文环境；综合评价环境状况一般</v>
      </c>
      <c r="C79" s="606"/>
      <c r="D79" s="737">
        <f t="shared" si="17"/>
        <v>0</v>
      </c>
      <c r="E79" s="876"/>
      <c r="F79" s="739"/>
      <c r="G79" s="740"/>
      <c r="H79" s="741" t="str">
        <f t="shared" si="18"/>
        <v>——</v>
      </c>
      <c r="I79" s="843">
        <v>0.12</v>
      </c>
      <c r="J79" s="844">
        <f t="shared" si="19"/>
        <v>0</v>
      </c>
      <c r="K79" s="844">
        <f t="shared" si="20"/>
        <v>0</v>
      </c>
      <c r="L79" s="844">
        <v>0</v>
      </c>
      <c r="M79" s="844">
        <f t="shared" si="21"/>
        <v>0</v>
      </c>
      <c r="N79" s="844">
        <f t="shared" si="21"/>
        <v>0</v>
      </c>
      <c r="Z79" s="543"/>
      <c r="AA79" s="541"/>
      <c r="AG79" s="545"/>
      <c r="AK79" s="541"/>
    </row>
    <row r="80" spans="1:37" ht="24">
      <c r="A80" s="749" t="s">
        <v>2440</v>
      </c>
      <c r="B80" s="877"/>
      <c r="C80" s="606"/>
      <c r="D80" s="737">
        <f t="shared" si="17"/>
        <v>0</v>
      </c>
      <c r="E80" s="878"/>
      <c r="F80" s="739"/>
      <c r="G80" s="740"/>
      <c r="H80" s="741" t="str">
        <f t="shared" si="18"/>
        <v>——</v>
      </c>
      <c r="I80" s="845">
        <v>0.05</v>
      </c>
      <c r="J80" s="844">
        <f t="shared" si="19"/>
        <v>0</v>
      </c>
      <c r="K80" s="844">
        <f t="shared" si="20"/>
        <v>0</v>
      </c>
      <c r="L80" s="844">
        <v>0</v>
      </c>
      <c r="M80" s="844">
        <f t="shared" si="21"/>
        <v>0</v>
      </c>
      <c r="N80" s="844">
        <f t="shared" si="21"/>
        <v>0</v>
      </c>
      <c r="Z80" s="543"/>
      <c r="AA80" s="541"/>
      <c r="AG80" s="545"/>
      <c r="AK80" s="541"/>
    </row>
    <row r="81" spans="1:37" ht="15">
      <c r="A81" s="725" t="s">
        <v>2441</v>
      </c>
      <c r="B81" s="726">
        <f>1+E83</f>
        <v>1</v>
      </c>
      <c r="C81" s="728"/>
      <c r="D81" s="728"/>
      <c r="E81" s="729"/>
      <c r="F81" s="730"/>
      <c r="G81" s="724"/>
      <c r="H81" s="724"/>
      <c r="I81" s="724"/>
      <c r="J81" s="723"/>
      <c r="K81" s="723"/>
      <c r="L81" s="723"/>
      <c r="M81" s="723"/>
      <c r="N81" s="723"/>
      <c r="Z81" s="543"/>
      <c r="AA81" s="541"/>
      <c r="AG81" s="545"/>
      <c r="AK81" s="541"/>
    </row>
    <row r="82" spans="1:37" ht="24.75">
      <c r="A82" s="731" t="s">
        <v>2415</v>
      </c>
      <c r="B82" s="732"/>
      <c r="C82" s="732" t="s">
        <v>2417</v>
      </c>
      <c r="D82" s="732" t="s">
        <v>2418</v>
      </c>
      <c r="E82" s="733" t="s">
        <v>2419</v>
      </c>
      <c r="F82" s="734" t="s">
        <v>2435</v>
      </c>
      <c r="G82" s="732" t="s">
        <v>2238</v>
      </c>
      <c r="H82" s="735" t="s">
        <v>2421</v>
      </c>
      <c r="I82" s="732" t="s">
        <v>2422</v>
      </c>
      <c r="J82" s="842" t="s">
        <v>2106</v>
      </c>
      <c r="K82" s="842" t="s">
        <v>2107</v>
      </c>
      <c r="L82" s="842" t="s">
        <v>2108</v>
      </c>
      <c r="M82" s="842" t="s">
        <v>2109</v>
      </c>
      <c r="N82" s="842" t="s">
        <v>2110</v>
      </c>
      <c r="Z82" s="543"/>
      <c r="AA82" s="541"/>
      <c r="AG82" s="545"/>
      <c r="AK82" s="541"/>
    </row>
    <row r="83" spans="1:37" ht="38.25">
      <c r="A83" s="731" t="s">
        <v>2442</v>
      </c>
      <c r="B83" s="742" t="str">
        <f>估价对象房地状况!G15</f>
        <v>估价对象位于XX开发区，园区建设成熟度XX，产业集聚程度XX</v>
      </c>
      <c r="C83" s="606"/>
      <c r="D83" s="737">
        <f t="shared" ref="D83:D90" si="22">SUMIF($J$82:$N$82,C83,J83:N83)</f>
        <v>0</v>
      </c>
      <c r="E83" s="738">
        <f>ROUND(SUM(D83:D90),4)</f>
        <v>0</v>
      </c>
      <c r="F83" s="739" t="str">
        <f>IF(E2="工业",SUMIF(L1:L12,G2,N1:N12),"——")</f>
        <v>——</v>
      </c>
      <c r="G83" s="740"/>
      <c r="H83" s="741"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3"/>
      <c r="AA83" s="541"/>
      <c r="AG83" s="545"/>
      <c r="AK83" s="541"/>
    </row>
    <row r="84" spans="1:37" ht="38.25">
      <c r="A84" s="731" t="s">
        <v>2424</v>
      </c>
      <c r="B84" s="742" t="str">
        <f>估价对象房地状况!G16</f>
        <v>估价对象周边道路状况、公共交通通达情况、停车便捷程度，综合评价交通便捷度较好</v>
      </c>
      <c r="C84" s="606"/>
      <c r="D84" s="737">
        <f t="shared" si="22"/>
        <v>0</v>
      </c>
      <c r="E84" s="876"/>
      <c r="F84" s="739"/>
      <c r="G84" s="740"/>
      <c r="H84" s="741" t="str">
        <f t="shared" si="23"/>
        <v>——</v>
      </c>
      <c r="I84" s="843">
        <v>0.3</v>
      </c>
      <c r="J84" s="844">
        <f t="shared" si="24"/>
        <v>0</v>
      </c>
      <c r="K84" s="844">
        <f t="shared" si="25"/>
        <v>0</v>
      </c>
      <c r="L84" s="844">
        <v>0</v>
      </c>
      <c r="M84" s="844">
        <f t="shared" si="26"/>
        <v>0</v>
      </c>
      <c r="N84" s="844">
        <f t="shared" si="26"/>
        <v>0</v>
      </c>
      <c r="Z84" s="543"/>
      <c r="AA84" s="541"/>
      <c r="AG84" s="545"/>
      <c r="AK84" s="541"/>
    </row>
    <row r="85" spans="1:37" ht="36">
      <c r="A85" s="744" t="s">
        <v>2425</v>
      </c>
      <c r="B85" s="742">
        <f>估价对象房地状况!G17</f>
        <v>0</v>
      </c>
      <c r="C85" s="606"/>
      <c r="D85" s="737">
        <f t="shared" si="22"/>
        <v>0</v>
      </c>
      <c r="E85" s="876"/>
      <c r="F85" s="739"/>
      <c r="G85" s="740"/>
      <c r="H85" s="741" t="str">
        <f t="shared" si="23"/>
        <v>——</v>
      </c>
      <c r="I85" s="843">
        <v>0.1</v>
      </c>
      <c r="J85" s="844">
        <f t="shared" si="24"/>
        <v>0</v>
      </c>
      <c r="K85" s="844">
        <f t="shared" si="25"/>
        <v>0</v>
      </c>
      <c r="L85" s="844">
        <v>0</v>
      </c>
      <c r="M85" s="844">
        <f t="shared" si="26"/>
        <v>0</v>
      </c>
      <c r="N85" s="844">
        <f t="shared" si="26"/>
        <v>0</v>
      </c>
      <c r="Z85" s="543"/>
      <c r="AA85" s="541"/>
      <c r="AG85" s="545"/>
      <c r="AK85" s="541"/>
    </row>
    <row r="86" spans="1:37" ht="14.25">
      <c r="A86" s="731" t="s">
        <v>2439</v>
      </c>
      <c r="B86" s="742">
        <f>估价对象房地状况!G22</f>
        <v>0</v>
      </c>
      <c r="C86" s="606"/>
      <c r="D86" s="737">
        <f t="shared" si="22"/>
        <v>0</v>
      </c>
      <c r="E86" s="876"/>
      <c r="F86" s="739"/>
      <c r="G86" s="740"/>
      <c r="H86" s="741" t="str">
        <f t="shared" si="23"/>
        <v>——</v>
      </c>
      <c r="I86" s="843">
        <v>0.05</v>
      </c>
      <c r="J86" s="844">
        <f t="shared" si="24"/>
        <v>0</v>
      </c>
      <c r="K86" s="844">
        <f t="shared" si="25"/>
        <v>0</v>
      </c>
      <c r="L86" s="844">
        <v>0</v>
      </c>
      <c r="M86" s="844">
        <f t="shared" si="26"/>
        <v>0</v>
      </c>
      <c r="N86" s="844">
        <f t="shared" si="26"/>
        <v>0</v>
      </c>
      <c r="Z86" s="543"/>
      <c r="AA86" s="541"/>
      <c r="AG86" s="545"/>
      <c r="AK86" s="541"/>
    </row>
    <row r="87" spans="1:37" ht="25.5">
      <c r="A87" s="731" t="s">
        <v>2431</v>
      </c>
      <c r="B87" s="748" t="str">
        <f>估价对象房地状况!G19</f>
        <v>估价对象所在区域公共配套设施齐备情况</v>
      </c>
      <c r="C87" s="606"/>
      <c r="D87" s="737">
        <f t="shared" si="22"/>
        <v>0</v>
      </c>
      <c r="E87" s="876"/>
      <c r="F87" s="739"/>
      <c r="G87" s="740"/>
      <c r="H87" s="741" t="str">
        <f t="shared" si="23"/>
        <v>——</v>
      </c>
      <c r="I87" s="843">
        <v>0.06</v>
      </c>
      <c r="J87" s="844">
        <f t="shared" si="24"/>
        <v>0</v>
      </c>
      <c r="K87" s="844">
        <f t="shared" si="25"/>
        <v>0</v>
      </c>
      <c r="L87" s="844">
        <v>0</v>
      </c>
      <c r="M87" s="844">
        <f t="shared" si="26"/>
        <v>0</v>
      </c>
      <c r="N87" s="844">
        <f t="shared" si="26"/>
        <v>0</v>
      </c>
    </row>
    <row r="88" spans="1:37" ht="25.5">
      <c r="A88" s="731" t="s">
        <v>2432</v>
      </c>
      <c r="B88" s="748" t="str">
        <f>估价对象房地状况!G20</f>
        <v>估价对象所在区域基础设施水平</v>
      </c>
      <c r="C88" s="606"/>
      <c r="D88" s="737">
        <f t="shared" si="22"/>
        <v>0</v>
      </c>
      <c r="E88" s="876"/>
      <c r="F88" s="739"/>
      <c r="G88" s="740"/>
      <c r="H88" s="741" t="str">
        <f t="shared" si="23"/>
        <v>——</v>
      </c>
      <c r="I88" s="843">
        <v>0.12</v>
      </c>
      <c r="J88" s="844">
        <f t="shared" si="24"/>
        <v>0</v>
      </c>
      <c r="K88" s="844">
        <f t="shared" si="25"/>
        <v>0</v>
      </c>
      <c r="L88" s="844">
        <v>0</v>
      </c>
      <c r="M88" s="844">
        <f t="shared" si="26"/>
        <v>0</v>
      </c>
      <c r="N88" s="844">
        <f t="shared" si="26"/>
        <v>0</v>
      </c>
    </row>
    <row r="89" spans="1:37" ht="24">
      <c r="A89" s="731" t="s">
        <v>2429</v>
      </c>
      <c r="B89" s="746" t="s">
        <v>2445</v>
      </c>
      <c r="C89" s="606"/>
      <c r="D89" s="737">
        <f t="shared" si="22"/>
        <v>0</v>
      </c>
      <c r="E89" s="876"/>
      <c r="F89" s="739"/>
      <c r="G89" s="740"/>
      <c r="H89" s="741" t="str">
        <f t="shared" si="23"/>
        <v>——</v>
      </c>
      <c r="I89" s="843">
        <v>0.06</v>
      </c>
      <c r="J89" s="844">
        <f t="shared" si="24"/>
        <v>0</v>
      </c>
      <c r="K89" s="844">
        <f t="shared" si="25"/>
        <v>0</v>
      </c>
      <c r="L89" s="844">
        <v>0</v>
      </c>
      <c r="M89" s="844">
        <f t="shared" si="26"/>
        <v>0</v>
      </c>
      <c r="N89" s="844">
        <f t="shared" si="26"/>
        <v>0</v>
      </c>
    </row>
    <row r="90" spans="1:37" ht="38.25">
      <c r="A90" s="749" t="s">
        <v>2446</v>
      </c>
      <c r="B90" s="879" t="str">
        <f>估价对象房地状况!G18</f>
        <v>该园区内是否有污染型企业，绿化情况，卫生条件，整体环境状况判断</v>
      </c>
      <c r="C90" s="606"/>
      <c r="D90" s="737">
        <f t="shared" si="22"/>
        <v>0</v>
      </c>
      <c r="E90" s="878"/>
      <c r="F90" s="739"/>
      <c r="G90" s="740"/>
      <c r="H90" s="741" t="str">
        <f t="shared" si="23"/>
        <v>——</v>
      </c>
      <c r="I90" s="845">
        <v>0.05</v>
      </c>
      <c r="J90" s="844">
        <f t="shared" si="24"/>
        <v>0</v>
      </c>
      <c r="K90" s="844">
        <f t="shared" si="25"/>
        <v>0</v>
      </c>
      <c r="L90" s="844">
        <v>0</v>
      </c>
      <c r="M90" s="844">
        <f t="shared" si="26"/>
        <v>0</v>
      </c>
      <c r="N90" s="844">
        <f t="shared" si="26"/>
        <v>0</v>
      </c>
    </row>
    <row r="91" spans="1:37" ht="15">
      <c r="A91" s="880" t="s">
        <v>279</v>
      </c>
      <c r="B91" s="881">
        <f>1+E93</f>
        <v>1</v>
      </c>
      <c r="C91" s="882"/>
      <c r="D91" s="883"/>
      <c r="E91" s="739"/>
      <c r="F91" s="739"/>
      <c r="G91" s="884"/>
      <c r="H91" s="885"/>
      <c r="I91" s="920"/>
      <c r="J91" s="921"/>
      <c r="K91" s="921"/>
      <c r="L91" s="921"/>
      <c r="M91" s="921"/>
      <c r="N91" s="921"/>
    </row>
    <row r="92" spans="1:37" ht="24.75">
      <c r="A92" s="886" t="s">
        <v>2415</v>
      </c>
      <c r="B92" s="887"/>
      <c r="C92" s="887" t="s">
        <v>2417</v>
      </c>
      <c r="D92" s="887" t="s">
        <v>2418</v>
      </c>
      <c r="E92" s="856" t="s">
        <v>2419</v>
      </c>
      <c r="F92" s="888" t="s">
        <v>2435</v>
      </c>
      <c r="G92" s="887" t="s">
        <v>2238</v>
      </c>
      <c r="H92" s="889" t="s">
        <v>2421</v>
      </c>
      <c r="I92" s="887" t="s">
        <v>2422</v>
      </c>
      <c r="J92" s="922" t="s">
        <v>2106</v>
      </c>
      <c r="K92" s="922" t="s">
        <v>2107</v>
      </c>
      <c r="L92" s="922" t="s">
        <v>2108</v>
      </c>
      <c r="M92" s="922" t="s">
        <v>2109</v>
      </c>
      <c r="N92" s="922" t="s">
        <v>2110</v>
      </c>
    </row>
    <row r="93" spans="1:37" ht="24">
      <c r="A93" s="744" t="s">
        <v>2447</v>
      </c>
      <c r="B93" s="890"/>
      <c r="C93" s="606"/>
      <c r="D93" s="887">
        <f>SUMIF($J$92:$N$92,C93,J93:N93)</f>
        <v>0</v>
      </c>
      <c r="E93" s="891">
        <f>ROUND(SUM(D93:D101),4)</f>
        <v>0</v>
      </c>
      <c r="F93" s="739" t="str">
        <f>IF(E2="公共服务",SUMIF(L1:L12,G2,N1:N12),"——")</f>
        <v>——</v>
      </c>
      <c r="G93" s="884"/>
      <c r="H93" s="892" t="str">
        <f>IFERROR(ROUNDDOWN($F$93*I93/2,4),"——")</f>
        <v>——</v>
      </c>
      <c r="I93" s="843">
        <v>0.25</v>
      </c>
      <c r="J93" s="663">
        <f t="shared" ref="J93:J101" si="27">K93+$G93</f>
        <v>0</v>
      </c>
      <c r="K93" s="663">
        <f t="shared" ref="K93:K101" si="28">$L93+$G93</f>
        <v>0</v>
      </c>
      <c r="L93" s="663">
        <v>0</v>
      </c>
      <c r="M93" s="663">
        <f t="shared" ref="M93:N101" si="29">L93-$G93</f>
        <v>0</v>
      </c>
      <c r="N93" s="663">
        <f t="shared" si="29"/>
        <v>0</v>
      </c>
    </row>
    <row r="94" spans="1:37" ht="38.25">
      <c r="A94" s="886" t="s">
        <v>2424</v>
      </c>
      <c r="B94" s="893" t="str">
        <f>估价对象房地状况!C18</f>
        <v>估价对象周边道路状况、公共交通通达情况、停车便捷程度，综合评价交通便捷度较好</v>
      </c>
      <c r="C94" s="606"/>
      <c r="D94" s="887">
        <f t="shared" ref="D94:D101" si="30">SUMIF($J$60:$N$60,C94,J94:N94)</f>
        <v>0</v>
      </c>
      <c r="E94" s="894"/>
      <c r="F94" s="739"/>
      <c r="G94" s="884"/>
      <c r="H94" s="892" t="str">
        <f>IFERROR(ROUNDDOWN($F$93*I94/2,4),"——")</f>
        <v>——</v>
      </c>
      <c r="I94" s="843">
        <v>0.26</v>
      </c>
      <c r="J94" s="663">
        <f t="shared" si="27"/>
        <v>0</v>
      </c>
      <c r="K94" s="663">
        <f t="shared" si="28"/>
        <v>0</v>
      </c>
      <c r="L94" s="663">
        <v>0</v>
      </c>
      <c r="M94" s="663">
        <f t="shared" si="29"/>
        <v>0</v>
      </c>
      <c r="N94" s="663">
        <f t="shared" si="29"/>
        <v>0</v>
      </c>
    </row>
    <row r="95" spans="1:37" ht="36">
      <c r="A95" s="744" t="s">
        <v>2425</v>
      </c>
      <c r="B95" s="893">
        <f>估价对象房地状况!C19</f>
        <v>0</v>
      </c>
      <c r="C95" s="606"/>
      <c r="D95" s="887">
        <f t="shared" si="30"/>
        <v>0</v>
      </c>
      <c r="E95" s="894"/>
      <c r="F95" s="739"/>
      <c r="G95" s="884"/>
      <c r="H95" s="892" t="str">
        <f t="shared" ref="H95:H101" si="31">IFERROR(ROUNDDOWN($F$93*I95/2,4),"——")</f>
        <v>——</v>
      </c>
      <c r="I95" s="843">
        <v>0.11</v>
      </c>
      <c r="J95" s="663">
        <f t="shared" si="27"/>
        <v>0</v>
      </c>
      <c r="K95" s="663">
        <f t="shared" si="28"/>
        <v>0</v>
      </c>
      <c r="L95" s="663">
        <v>0</v>
      </c>
      <c r="M95" s="663">
        <f t="shared" si="29"/>
        <v>0</v>
      </c>
      <c r="N95" s="663">
        <f t="shared" si="29"/>
        <v>0</v>
      </c>
    </row>
    <row r="96" spans="1:37" ht="36.75">
      <c r="A96" s="886" t="s">
        <v>2426</v>
      </c>
      <c r="B96" s="895" t="s">
        <v>2427</v>
      </c>
      <c r="C96" s="606"/>
      <c r="D96" s="887">
        <f t="shared" si="30"/>
        <v>0</v>
      </c>
      <c r="E96" s="894"/>
      <c r="F96" s="739"/>
      <c r="G96" s="884"/>
      <c r="H96" s="892" t="str">
        <f t="shared" si="31"/>
        <v>——</v>
      </c>
      <c r="I96" s="843">
        <v>0.05</v>
      </c>
      <c r="J96" s="663">
        <f t="shared" si="27"/>
        <v>0</v>
      </c>
      <c r="K96" s="663">
        <f t="shared" si="28"/>
        <v>0</v>
      </c>
      <c r="L96" s="663">
        <v>0</v>
      </c>
      <c r="M96" s="663">
        <f t="shared" si="29"/>
        <v>0</v>
      </c>
      <c r="N96" s="663">
        <f t="shared" si="29"/>
        <v>0</v>
      </c>
    </row>
    <row r="97" spans="1:14" ht="24">
      <c r="A97" s="886" t="s">
        <v>2428</v>
      </c>
      <c r="B97" s="893">
        <f>估价对象房地状况!C24</f>
        <v>0</v>
      </c>
      <c r="C97" s="606"/>
      <c r="D97" s="887">
        <f t="shared" si="30"/>
        <v>0</v>
      </c>
      <c r="E97" s="894"/>
      <c r="F97" s="739"/>
      <c r="G97" s="884"/>
      <c r="H97" s="892" t="str">
        <f t="shared" si="31"/>
        <v>——</v>
      </c>
      <c r="I97" s="843">
        <v>0.05</v>
      </c>
      <c r="J97" s="663">
        <f t="shared" si="27"/>
        <v>0</v>
      </c>
      <c r="K97" s="663">
        <f t="shared" si="28"/>
        <v>0</v>
      </c>
      <c r="L97" s="663">
        <v>0</v>
      </c>
      <c r="M97" s="663">
        <f t="shared" si="29"/>
        <v>0</v>
      </c>
      <c r="N97" s="663">
        <f t="shared" si="29"/>
        <v>0</v>
      </c>
    </row>
    <row r="98" spans="1:14" ht="24">
      <c r="A98" s="886" t="s">
        <v>2429</v>
      </c>
      <c r="B98" s="896" t="s">
        <v>2430</v>
      </c>
      <c r="C98" s="606"/>
      <c r="D98" s="887">
        <f t="shared" si="30"/>
        <v>0</v>
      </c>
      <c r="E98" s="894"/>
      <c r="F98" s="739"/>
      <c r="G98" s="884"/>
      <c r="H98" s="892" t="str">
        <f t="shared" si="31"/>
        <v>——</v>
      </c>
      <c r="I98" s="843">
        <v>0.06</v>
      </c>
      <c r="J98" s="663">
        <f t="shared" si="27"/>
        <v>0</v>
      </c>
      <c r="K98" s="663">
        <f t="shared" si="28"/>
        <v>0</v>
      </c>
      <c r="L98" s="663">
        <v>0</v>
      </c>
      <c r="M98" s="663">
        <f t="shared" si="29"/>
        <v>0</v>
      </c>
      <c r="N98" s="663">
        <f t="shared" si="29"/>
        <v>0</v>
      </c>
    </row>
    <row r="99" spans="1:14" ht="25.5">
      <c r="A99" s="886" t="s">
        <v>2431</v>
      </c>
      <c r="B99" s="893" t="str">
        <f>估价对象房地状况!C21</f>
        <v>估价对象所在区域公共配套设施齐备情况</v>
      </c>
      <c r="C99" s="606"/>
      <c r="D99" s="887">
        <f t="shared" si="30"/>
        <v>0</v>
      </c>
      <c r="E99" s="894"/>
      <c r="F99" s="739"/>
      <c r="G99" s="884"/>
      <c r="H99" s="892" t="str">
        <f t="shared" si="31"/>
        <v>——</v>
      </c>
      <c r="I99" s="843">
        <v>0.06</v>
      </c>
      <c r="J99" s="663">
        <f t="shared" si="27"/>
        <v>0</v>
      </c>
      <c r="K99" s="663">
        <f t="shared" si="28"/>
        <v>0</v>
      </c>
      <c r="L99" s="663">
        <v>0</v>
      </c>
      <c r="M99" s="663">
        <f t="shared" si="29"/>
        <v>0</v>
      </c>
      <c r="N99" s="663">
        <f t="shared" si="29"/>
        <v>0</v>
      </c>
    </row>
    <row r="100" spans="1:14" ht="25.5">
      <c r="A100" s="886" t="s">
        <v>2432</v>
      </c>
      <c r="B100" s="893" t="str">
        <f>估价对象房地状况!C22</f>
        <v>估价对象所在区域基础设施水平</v>
      </c>
      <c r="C100" s="606"/>
      <c r="D100" s="887">
        <f t="shared" si="30"/>
        <v>0</v>
      </c>
      <c r="E100" s="894"/>
      <c r="F100" s="739"/>
      <c r="G100" s="884"/>
      <c r="H100" s="892" t="str">
        <f t="shared" si="31"/>
        <v>——</v>
      </c>
      <c r="I100" s="843">
        <v>0.09</v>
      </c>
      <c r="J100" s="663">
        <f t="shared" si="27"/>
        <v>0</v>
      </c>
      <c r="K100" s="663">
        <f t="shared" si="28"/>
        <v>0</v>
      </c>
      <c r="L100" s="663">
        <v>0</v>
      </c>
      <c r="M100" s="663">
        <f t="shared" si="29"/>
        <v>0</v>
      </c>
      <c r="N100" s="663">
        <f t="shared" si="29"/>
        <v>0</v>
      </c>
    </row>
    <row r="101" spans="1:14" ht="25.5">
      <c r="A101" s="897" t="s">
        <v>2433</v>
      </c>
      <c r="B101" s="898" t="str">
        <f>估价对象房地状况!C20</f>
        <v>区域自然环境：；人文环境；综合评价环境状况一般</v>
      </c>
      <c r="C101" s="606"/>
      <c r="D101" s="887">
        <f t="shared" si="30"/>
        <v>0</v>
      </c>
      <c r="E101" s="899"/>
      <c r="F101" s="739"/>
      <c r="G101" s="884"/>
      <c r="H101" s="892" t="str">
        <f t="shared" si="31"/>
        <v>——</v>
      </c>
      <c r="I101" s="845">
        <v>7.0000000000000007E-2</v>
      </c>
      <c r="J101" s="663">
        <f t="shared" si="27"/>
        <v>0</v>
      </c>
      <c r="K101" s="663">
        <f t="shared" si="28"/>
        <v>0</v>
      </c>
      <c r="L101" s="663">
        <v>0</v>
      </c>
      <c r="M101" s="663">
        <f t="shared" si="29"/>
        <v>0</v>
      </c>
      <c r="N101" s="663">
        <f t="shared" si="29"/>
        <v>0</v>
      </c>
    </row>
    <row r="103" spans="1:14">
      <c r="A103" s="3799" t="s">
        <v>2448</v>
      </c>
      <c r="B103" s="3799"/>
      <c r="C103" s="3799"/>
      <c r="D103" s="3799"/>
      <c r="E103" s="3799"/>
      <c r="F103" s="3799"/>
      <c r="G103" s="3799"/>
      <c r="H103" s="3799"/>
      <c r="I103" s="3799"/>
      <c r="J103" s="3799"/>
      <c r="K103" s="900"/>
      <c r="L103" s="900"/>
      <c r="M103" s="900"/>
      <c r="N103" s="900"/>
    </row>
    <row r="104" spans="1:14">
      <c r="A104" s="3805" t="s">
        <v>2449</v>
      </c>
      <c r="B104" s="3805" t="s">
        <v>2450</v>
      </c>
      <c r="C104" s="902" t="s">
        <v>2451</v>
      </c>
      <c r="D104" s="903"/>
      <c r="E104" s="903"/>
      <c r="F104" s="903"/>
      <c r="G104" s="903"/>
      <c r="H104" s="903"/>
      <c r="I104" s="903"/>
      <c r="J104" s="923"/>
      <c r="K104" s="924"/>
      <c r="L104" s="924"/>
      <c r="M104" s="924"/>
      <c r="N104" s="924"/>
    </row>
    <row r="105" spans="1:14">
      <c r="A105" s="3805"/>
      <c r="B105" s="3805"/>
      <c r="C105" s="901" t="s">
        <v>2297</v>
      </c>
      <c r="D105" s="901" t="s">
        <v>2298</v>
      </c>
      <c r="E105" s="901" t="s">
        <v>2299</v>
      </c>
      <c r="F105" s="901" t="s">
        <v>2300</v>
      </c>
      <c r="G105" s="901" t="s">
        <v>2301</v>
      </c>
      <c r="H105" s="901" t="s">
        <v>2302</v>
      </c>
      <c r="I105" s="901" t="s">
        <v>2303</v>
      </c>
      <c r="J105" s="901" t="s">
        <v>2304</v>
      </c>
      <c r="K105" s="901" t="s">
        <v>2305</v>
      </c>
      <c r="L105" s="901" t="s">
        <v>2306</v>
      </c>
      <c r="M105" s="901" t="s">
        <v>2307</v>
      </c>
      <c r="N105" s="901" t="s">
        <v>2308</v>
      </c>
    </row>
    <row r="106" spans="1:14">
      <c r="A106" s="3806" t="s">
        <v>2452</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80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80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80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80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807"/>
      <c r="B111" s="901" t="s">
        <v>2313</v>
      </c>
      <c r="C111" s="904">
        <f>$I$3</f>
        <v>1</v>
      </c>
      <c r="D111" s="904">
        <f t="shared" ref="D111:N111" si="32">$I$3</f>
        <v>1</v>
      </c>
      <c r="E111" s="904">
        <f t="shared" si="32"/>
        <v>1</v>
      </c>
      <c r="F111" s="904">
        <f t="shared" si="32"/>
        <v>1</v>
      </c>
      <c r="G111" s="904">
        <f t="shared" si="32"/>
        <v>1</v>
      </c>
      <c r="H111" s="904">
        <f t="shared" si="32"/>
        <v>1</v>
      </c>
      <c r="I111" s="904">
        <f t="shared" si="32"/>
        <v>1</v>
      </c>
      <c r="J111" s="904">
        <f t="shared" si="32"/>
        <v>1</v>
      </c>
      <c r="K111" s="904">
        <f t="shared" si="32"/>
        <v>1</v>
      </c>
      <c r="L111" s="904">
        <f t="shared" si="32"/>
        <v>1</v>
      </c>
      <c r="M111" s="904">
        <f t="shared" si="32"/>
        <v>1</v>
      </c>
      <c r="N111" s="904">
        <f t="shared" si="32"/>
        <v>1</v>
      </c>
    </row>
    <row r="112" spans="1:14">
      <c r="A112" s="3808"/>
      <c r="B112" s="901">
        <v>6</v>
      </c>
      <c r="C112" s="889">
        <f>(-0.5556*(C111^2)-0.2719*C111+8944)*(10^(-4))</f>
        <v>0.89431724999999995</v>
      </c>
      <c r="D112" s="889">
        <f>(-0.5556*(D111^2)-0.2719*D111+8944)*(10^(-4))</f>
        <v>0.89431724999999995</v>
      </c>
      <c r="E112" s="889">
        <f>(-0.7912*(E111^2)-11.3794*E111+8482)*(10^(-4))</f>
        <v>0.84698293999999996</v>
      </c>
      <c r="F112" s="889">
        <f t="shared" ref="F112:I112" si="33">(-0.7912*(F111^2)-11.3794*F111+8482)*(10^(-4))</f>
        <v>0.84698293999999996</v>
      </c>
      <c r="G112" s="889">
        <f t="shared" si="33"/>
        <v>0.84698293999999996</v>
      </c>
      <c r="H112" s="889">
        <f t="shared" si="33"/>
        <v>0.84698293999999996</v>
      </c>
      <c r="I112" s="889">
        <f t="shared" si="33"/>
        <v>0.84698293999999996</v>
      </c>
      <c r="J112" s="889">
        <f>(-0.989*(J111^2)-63.78*J111+7771)*(10^(-4))</f>
        <v>0.77062310000000001</v>
      </c>
      <c r="K112" s="889">
        <f t="shared" ref="K112:N112" si="34">(-0.989*(K111^2)-63.78*K111+7771)*(10^(-4))</f>
        <v>0.77062310000000001</v>
      </c>
      <c r="L112" s="889">
        <f t="shared" si="34"/>
        <v>0.77062310000000001</v>
      </c>
      <c r="M112" s="889">
        <f t="shared" si="34"/>
        <v>0.77062310000000001</v>
      </c>
      <c r="N112" s="889">
        <f t="shared" si="34"/>
        <v>0.77062310000000001</v>
      </c>
    </row>
    <row r="113" spans="1:14">
      <c r="A113" s="3800" t="s">
        <v>2453</v>
      </c>
      <c r="B113" s="3800"/>
      <c r="C113" s="3800"/>
      <c r="D113" s="3800"/>
      <c r="E113" s="3800"/>
      <c r="F113" s="3800"/>
      <c r="G113" s="3800"/>
      <c r="H113" s="3800"/>
      <c r="I113" s="3800"/>
      <c r="J113" s="3800"/>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2454</v>
      </c>
      <c r="B116" s="908">
        <f>G3</f>
        <v>2</v>
      </c>
      <c r="C116" s="909" t="s">
        <v>2455</v>
      </c>
      <c r="D116" s="910">
        <f>SUMPRODUCT((A118:A122=F116)*(B117:M117=H116)*B118:M122)</f>
        <v>0.92100000000000004</v>
      </c>
      <c r="E116" s="549" t="s">
        <v>2270</v>
      </c>
      <c r="F116" s="911" t="str">
        <f>E2</f>
        <v>商业</v>
      </c>
      <c r="G116" s="549" t="s">
        <v>2271</v>
      </c>
      <c r="H116" s="911" t="str">
        <f>G2</f>
        <v>六级</v>
      </c>
      <c r="I116" s="549"/>
      <c r="J116" s="925"/>
      <c r="K116" s="925"/>
      <c r="L116" s="925"/>
      <c r="M116" s="925"/>
      <c r="N116" s="906"/>
    </row>
    <row r="117" spans="1:14">
      <c r="A117" s="912"/>
      <c r="B117" s="913" t="s">
        <v>2456</v>
      </c>
      <c r="C117" s="913" t="s">
        <v>2457</v>
      </c>
      <c r="D117" s="913" t="s">
        <v>2458</v>
      </c>
      <c r="E117" s="914" t="s">
        <v>2459</v>
      </c>
      <c r="F117" s="914" t="s">
        <v>2460</v>
      </c>
      <c r="G117" s="914" t="s">
        <v>2461</v>
      </c>
      <c r="H117" s="915" t="s">
        <v>2462</v>
      </c>
      <c r="I117" s="915" t="s">
        <v>2463</v>
      </c>
      <c r="J117" s="926" t="s">
        <v>2464</v>
      </c>
      <c r="K117" s="926" t="s">
        <v>2465</v>
      </c>
      <c r="L117" s="926" t="s">
        <v>2466</v>
      </c>
      <c r="M117" s="927" t="s">
        <v>2467</v>
      </c>
      <c r="N117" s="906"/>
    </row>
    <row r="118" spans="1:14">
      <c r="A118" s="916" t="s">
        <v>2384</v>
      </c>
      <c r="B118" s="889">
        <f>ROUND(0.9968-0.011*B116,4)</f>
        <v>0.9748</v>
      </c>
      <c r="C118" s="889">
        <f>B118</f>
        <v>0.9748</v>
      </c>
      <c r="D118" s="889">
        <f>ROUND(0.949-0.014*B116,4)</f>
        <v>0.92100000000000004</v>
      </c>
      <c r="E118" s="889">
        <f>D118</f>
        <v>0.92100000000000004</v>
      </c>
      <c r="F118" s="889">
        <f>E118</f>
        <v>0.92100000000000004</v>
      </c>
      <c r="G118" s="889">
        <f>F118</f>
        <v>0.92100000000000004</v>
      </c>
      <c r="H118" s="889">
        <f>G118</f>
        <v>0.92100000000000004</v>
      </c>
      <c r="I118" s="889">
        <f>ROUND(0.8486-0.018*B116,4)</f>
        <v>0.81259999999999999</v>
      </c>
      <c r="J118" s="889">
        <f t="shared" ref="J118:M122" si="35">I118</f>
        <v>0.81259999999999999</v>
      </c>
      <c r="K118" s="889">
        <f t="shared" si="35"/>
        <v>0.81259999999999999</v>
      </c>
      <c r="L118" s="889">
        <f t="shared" si="35"/>
        <v>0.81259999999999999</v>
      </c>
      <c r="M118" s="928">
        <f t="shared" si="35"/>
        <v>0.81259999999999999</v>
      </c>
      <c r="N118" s="906"/>
    </row>
    <row r="119" spans="1:14">
      <c r="A119" s="916" t="s">
        <v>2385</v>
      </c>
      <c r="B119" s="889">
        <f>ROUND(0.993-0.0112*B116,4)</f>
        <v>0.97060000000000002</v>
      </c>
      <c r="C119" s="889">
        <f>B119</f>
        <v>0.97060000000000002</v>
      </c>
      <c r="D119" s="889">
        <f>ROUND(0.9415-0.0142*B116,4)</f>
        <v>0.91310000000000002</v>
      </c>
      <c r="E119" s="889">
        <f t="shared" ref="E119:H120" si="36">D119</f>
        <v>0.91310000000000002</v>
      </c>
      <c r="F119" s="889">
        <f t="shared" si="36"/>
        <v>0.91310000000000002</v>
      </c>
      <c r="G119" s="889">
        <f t="shared" si="36"/>
        <v>0.91310000000000002</v>
      </c>
      <c r="H119" s="889">
        <f t="shared" si="36"/>
        <v>0.91310000000000002</v>
      </c>
      <c r="I119" s="889">
        <f>ROUND(0.838-0.0182*B116,4)</f>
        <v>0.80159999999999998</v>
      </c>
      <c r="J119" s="889">
        <f t="shared" si="35"/>
        <v>0.80159999999999998</v>
      </c>
      <c r="K119" s="889">
        <f t="shared" si="35"/>
        <v>0.80159999999999998</v>
      </c>
      <c r="L119" s="889">
        <f t="shared" si="35"/>
        <v>0.80159999999999998</v>
      </c>
      <c r="M119" s="928">
        <f t="shared" si="35"/>
        <v>0.80159999999999998</v>
      </c>
      <c r="N119" s="906"/>
    </row>
    <row r="120" spans="1:14">
      <c r="A120" s="916" t="s">
        <v>2386</v>
      </c>
      <c r="B120" s="889">
        <f>ROUND(0.9448-0.0115*B116,4)</f>
        <v>0.92179999999999995</v>
      </c>
      <c r="C120" s="889">
        <f>B120</f>
        <v>0.92179999999999995</v>
      </c>
      <c r="D120" s="889">
        <f>ROUND(0.937-0.0145*B116,4)</f>
        <v>0.90800000000000003</v>
      </c>
      <c r="E120" s="889">
        <f t="shared" si="36"/>
        <v>0.90800000000000003</v>
      </c>
      <c r="F120" s="889">
        <f t="shared" si="36"/>
        <v>0.90800000000000003</v>
      </c>
      <c r="G120" s="889">
        <f t="shared" si="36"/>
        <v>0.90800000000000003</v>
      </c>
      <c r="H120" s="889">
        <f t="shared" si="36"/>
        <v>0.90800000000000003</v>
      </c>
      <c r="I120" s="889">
        <f>ROUND(0.7965-0.0185*B116,4)</f>
        <v>0.75949999999999995</v>
      </c>
      <c r="J120" s="889">
        <f t="shared" si="35"/>
        <v>0.75949999999999995</v>
      </c>
      <c r="K120" s="889">
        <f t="shared" si="35"/>
        <v>0.75949999999999995</v>
      </c>
      <c r="L120" s="889">
        <f t="shared" si="35"/>
        <v>0.75949999999999995</v>
      </c>
      <c r="M120" s="928">
        <f t="shared" si="35"/>
        <v>0.75949999999999995</v>
      </c>
      <c r="N120" s="906"/>
    </row>
    <row r="121" spans="1:14">
      <c r="A121" s="917" t="s">
        <v>2387</v>
      </c>
      <c r="B121" s="918">
        <f>ROUND(0.7836-0.012*B116,4)</f>
        <v>0.75960000000000005</v>
      </c>
      <c r="C121" s="918">
        <f>B121</f>
        <v>0.75960000000000005</v>
      </c>
      <c r="D121" s="918">
        <f>ROUND(0.753-0.015*B116,4)</f>
        <v>0.72299999999999998</v>
      </c>
      <c r="E121" s="918">
        <f>D121</f>
        <v>0.72299999999999998</v>
      </c>
      <c r="F121" s="918">
        <f>E121</f>
        <v>0.72299999999999998</v>
      </c>
      <c r="G121" s="918">
        <f>ROUND(0.6612-0.018*B116,4)</f>
        <v>0.62519999999999998</v>
      </c>
      <c r="H121" s="918">
        <f>G121</f>
        <v>0.62519999999999998</v>
      </c>
      <c r="I121" s="918">
        <f>ROUND(0.5905-0.019*B116,4)</f>
        <v>0.55249999999999999</v>
      </c>
      <c r="J121" s="918">
        <f t="shared" si="35"/>
        <v>0.55249999999999999</v>
      </c>
      <c r="K121" s="918">
        <f t="shared" si="35"/>
        <v>0.55249999999999999</v>
      </c>
      <c r="L121" s="918">
        <f t="shared" si="35"/>
        <v>0.55249999999999999</v>
      </c>
      <c r="M121" s="929">
        <f t="shared" si="35"/>
        <v>0.55249999999999999</v>
      </c>
      <c r="N121" s="906"/>
    </row>
    <row r="122" spans="1:14">
      <c r="A122" s="919" t="s">
        <v>279</v>
      </c>
      <c r="B122" s="889">
        <f>ROUND(0.9404-0.0106*B116,4)</f>
        <v>0.91920000000000002</v>
      </c>
      <c r="C122" s="889">
        <f>B122</f>
        <v>0.91920000000000002</v>
      </c>
      <c r="D122" s="889">
        <f>ROUND(0.8955-0.0135*B116,4)</f>
        <v>0.86850000000000005</v>
      </c>
      <c r="E122" s="889">
        <f t="shared" ref="E122:H122" si="37">D122</f>
        <v>0.86850000000000005</v>
      </c>
      <c r="F122" s="889">
        <f t="shared" si="37"/>
        <v>0.86850000000000005</v>
      </c>
      <c r="G122" s="889">
        <f t="shared" si="37"/>
        <v>0.86850000000000005</v>
      </c>
      <c r="H122" s="889">
        <f t="shared" si="37"/>
        <v>0.86850000000000005</v>
      </c>
      <c r="I122" s="889">
        <f>ROUND(0.7632-0.0166*B116,4)</f>
        <v>0.73</v>
      </c>
      <c r="J122" s="889">
        <f t="shared" si="35"/>
        <v>0.73</v>
      </c>
      <c r="K122" s="889">
        <f t="shared" si="35"/>
        <v>0.73</v>
      </c>
      <c r="L122" s="889">
        <f t="shared" si="35"/>
        <v>0.73</v>
      </c>
      <c r="M122" s="928">
        <f t="shared" si="35"/>
        <v>0.73</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93:H101">
    <cfRule type="cellIs" dxfId="132" priority="1" operator="notEqual">
      <formula>"——"</formula>
    </cfRule>
  </conditionalFormatting>
  <conditionalFormatting sqref="H50:H58 H61:H69 H72:H80 H83:H91">
    <cfRule type="cellIs" dxfId="13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5" sqref="K35"/>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2035</v>
      </c>
      <c r="B1" s="1758"/>
      <c r="C1" s="1758"/>
      <c r="D1" s="1758"/>
      <c r="E1" s="1759"/>
      <c r="F1" s="1760"/>
      <c r="G1" s="1761"/>
      <c r="H1" s="1761"/>
      <c r="I1" s="1761"/>
      <c r="J1" s="1761"/>
      <c r="K1" s="1761"/>
      <c r="L1" s="1761"/>
      <c r="M1" s="1761"/>
      <c r="N1" s="1761"/>
      <c r="O1" s="1761"/>
      <c r="P1" s="1761"/>
      <c r="Q1" s="1761"/>
      <c r="R1" s="1761"/>
      <c r="S1" s="1761"/>
    </row>
    <row r="2" spans="1:22" ht="15.75">
      <c r="A2" s="1762" t="s">
        <v>1561</v>
      </c>
      <c r="B2" s="1763">
        <f ca="1">SUMIF(B6:B13,"&lt;&gt;#ref!",B6:B13)</f>
        <v>48.3812</v>
      </c>
      <c r="C2" s="1764" t="s">
        <v>2036</v>
      </c>
      <c r="D2" s="1765" t="s">
        <v>2037</v>
      </c>
      <c r="E2" s="1766">
        <f>SUM(E6:E13)</f>
        <v>38.93</v>
      </c>
      <c r="F2" s="1760"/>
      <c r="G2" s="1761"/>
      <c r="H2" s="1761"/>
      <c r="I2" s="1761"/>
      <c r="J2" s="1761"/>
      <c r="K2" s="1761"/>
      <c r="L2" s="1761"/>
      <c r="M2" s="1761"/>
      <c r="N2" s="1761"/>
      <c r="O2" s="1761"/>
      <c r="P2" s="1761"/>
      <c r="Q2" s="1761"/>
      <c r="R2" s="1761"/>
      <c r="S2" s="1761"/>
    </row>
    <row r="3" spans="1:22" ht="15.75">
      <c r="A3" s="1762" t="s">
        <v>1563</v>
      </c>
      <c r="B3" s="1767">
        <f ca="1">ROUND(B2*10000/E2,0)</f>
        <v>12428</v>
      </c>
      <c r="C3" s="1764" t="s">
        <v>2038</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2039</v>
      </c>
      <c r="B5" s="3875" t="s">
        <v>2040</v>
      </c>
      <c r="C5" s="3876"/>
      <c r="D5" s="1772"/>
      <c r="E5" s="1773" t="s">
        <v>2041</v>
      </c>
      <c r="F5" s="1774" t="s">
        <v>2042</v>
      </c>
      <c r="G5" s="1761"/>
      <c r="H5" s="1761"/>
      <c r="I5" s="1761"/>
      <c r="J5" s="1761"/>
      <c r="K5" s="1761"/>
      <c r="L5" s="1761"/>
      <c r="M5" s="1761"/>
      <c r="N5" s="1761"/>
      <c r="O5" s="1761"/>
      <c r="P5" s="1761"/>
      <c r="Q5" s="1761"/>
      <c r="R5" s="1761"/>
      <c r="S5" s="1761"/>
    </row>
    <row r="6" spans="1:22">
      <c r="A6" s="1775" t="str">
        <f>'数据-取费表'!AN6</f>
        <v>收益法(元)</v>
      </c>
      <c r="B6" s="935">
        <f ca="1">IF(F6="是",'数据-取费表'!AO6,0)</f>
        <v>48.3812</v>
      </c>
      <c r="C6" s="1764" t="s">
        <v>2036</v>
      </c>
      <c r="D6" s="1768"/>
      <c r="E6" s="1776">
        <f>IF(OR(A6=0,F6="否"),0,'数据-取费表'!K6+'数据-取费表'!S6)</f>
        <v>38.93</v>
      </c>
      <c r="F6" s="1777" t="s">
        <v>2043</v>
      </c>
      <c r="G6" s="1761"/>
      <c r="H6" s="1761"/>
      <c r="I6" s="1761"/>
      <c r="J6" s="1761"/>
      <c r="K6" s="1761"/>
      <c r="L6" s="1761"/>
      <c r="M6" s="1761"/>
      <c r="N6" s="1761"/>
      <c r="O6" s="1761"/>
      <c r="P6" s="1761"/>
      <c r="Q6" s="1761"/>
      <c r="R6" s="1761"/>
      <c r="S6" s="1761"/>
    </row>
    <row r="7" spans="1:22">
      <c r="A7" s="1775">
        <f>'数据-取费表'!AN7</f>
        <v>0</v>
      </c>
      <c r="B7" s="935" t="e">
        <f ca="1">IF(F7="是",'数据-取费表'!AO7,0)</f>
        <v>#REF!</v>
      </c>
      <c r="C7" s="1764" t="s">
        <v>2036</v>
      </c>
      <c r="D7" s="1768"/>
      <c r="E7" s="1776">
        <f>IF(OR(A7=0,F7="否"),0,'数据-取费表'!K7+'数据-取费表'!S7)</f>
        <v>0</v>
      </c>
      <c r="F7" s="1777" t="s">
        <v>2043</v>
      </c>
      <c r="G7" s="1761"/>
      <c r="H7" s="1761"/>
      <c r="I7" s="1761"/>
      <c r="J7" s="1761"/>
      <c r="K7" s="1761"/>
      <c r="L7" s="1761"/>
      <c r="M7" s="1761"/>
      <c r="N7" s="1761"/>
      <c r="O7" s="1761"/>
      <c r="P7" s="1761"/>
      <c r="Q7" s="1761"/>
      <c r="R7" s="1761"/>
      <c r="S7" s="1761"/>
    </row>
    <row r="8" spans="1:22">
      <c r="A8" s="1775">
        <f>'数据-取费表'!AN8</f>
        <v>0</v>
      </c>
      <c r="B8" s="935" t="e">
        <f ca="1">IF(F8="是",'数据-取费表'!AO8,0)</f>
        <v>#REF!</v>
      </c>
      <c r="C8" s="1764" t="s">
        <v>2036</v>
      </c>
      <c r="D8" s="1768"/>
      <c r="E8" s="1776">
        <f>IF(OR(A8=0,F8="否"),0,'数据-取费表'!K8+'数据-取费表'!S8)</f>
        <v>0</v>
      </c>
      <c r="F8" s="1777" t="s">
        <v>2043</v>
      </c>
      <c r="G8" s="1761"/>
      <c r="H8" s="1761"/>
      <c r="I8" s="1761"/>
      <c r="J8" s="1761"/>
      <c r="K8" s="1761"/>
      <c r="L8" s="1761"/>
      <c r="M8" s="1761"/>
      <c r="N8" s="1761"/>
      <c r="O8" s="1761"/>
      <c r="P8" s="1761"/>
      <c r="Q8" s="1761"/>
      <c r="R8" s="1761"/>
      <c r="S8" s="1761"/>
    </row>
    <row r="9" spans="1:22">
      <c r="A9" s="1775">
        <f>'数据-取费表'!AN9</f>
        <v>0</v>
      </c>
      <c r="B9" s="935" t="e">
        <f ca="1">IF(F9="是",'数据-取费表'!AO9,0)</f>
        <v>#REF!</v>
      </c>
      <c r="C9" s="1764" t="s">
        <v>2036</v>
      </c>
      <c r="D9" s="1768"/>
      <c r="E9" s="1776">
        <f>IF(OR(A9=0,F9="否"),0,'数据-取费表'!K9+'数据-取费表'!S9)</f>
        <v>0</v>
      </c>
      <c r="F9" s="1777" t="s">
        <v>2043</v>
      </c>
      <c r="G9" s="1761"/>
      <c r="H9" s="1761"/>
      <c r="I9" s="1761"/>
      <c r="J9" s="1761"/>
      <c r="K9" s="1761"/>
      <c r="L9" s="1761"/>
      <c r="M9" s="1761"/>
      <c r="N9" s="1761"/>
      <c r="O9" s="1761"/>
      <c r="P9" s="1761"/>
      <c r="Q9" s="1761"/>
      <c r="R9" s="1761"/>
      <c r="S9" s="1761"/>
    </row>
    <row r="10" spans="1:22">
      <c r="A10" s="1775">
        <f>'数据-取费表'!AN10</f>
        <v>0</v>
      </c>
      <c r="B10" s="935" t="e">
        <f ca="1">IF(F10="是",'数据-取费表'!AO10,0)</f>
        <v>#REF!</v>
      </c>
      <c r="C10" s="1764" t="s">
        <v>2036</v>
      </c>
      <c r="D10" s="1768"/>
      <c r="E10" s="1776">
        <f>IF(OR(A10=0,F10="否"),0,'数据-取费表'!K10+'数据-取费表'!S10)</f>
        <v>0</v>
      </c>
      <c r="F10" s="1777" t="s">
        <v>2043</v>
      </c>
      <c r="G10" s="1761"/>
      <c r="H10" s="1761"/>
      <c r="I10" s="1761"/>
      <c r="J10" s="1761"/>
      <c r="K10" s="1761"/>
      <c r="L10" s="1761"/>
      <c r="M10" s="1761"/>
      <c r="N10" s="1761"/>
      <c r="O10" s="1761"/>
      <c r="P10" s="1761"/>
      <c r="Q10" s="1761"/>
      <c r="R10" s="1761"/>
      <c r="S10" s="1761"/>
    </row>
    <row r="11" spans="1:22">
      <c r="A11" s="1775">
        <f>'数据-取费表'!AN11</f>
        <v>0</v>
      </c>
      <c r="B11" s="935" t="e">
        <f ca="1">IF(F11="是",'数据-取费表'!AO11,0)</f>
        <v>#REF!</v>
      </c>
      <c r="C11" s="1764" t="s">
        <v>2036</v>
      </c>
      <c r="D11" s="1768"/>
      <c r="E11" s="1776">
        <f>IF(OR(A11=0,F11="否"),0,'数据-取费表'!K11+'数据-取费表'!S11)</f>
        <v>0</v>
      </c>
      <c r="F11" s="1777" t="s">
        <v>2043</v>
      </c>
      <c r="G11" s="1761"/>
      <c r="H11" s="1761"/>
      <c r="I11" s="1761"/>
      <c r="J11" s="1761"/>
      <c r="K11" s="1761"/>
      <c r="L11" s="1761"/>
      <c r="M11" s="1761"/>
      <c r="N11" s="1761"/>
      <c r="O11" s="1761"/>
      <c r="P11" s="1761"/>
      <c r="Q11" s="1761"/>
      <c r="R11" s="1761"/>
      <c r="S11" s="1761"/>
    </row>
    <row r="12" spans="1:22">
      <c r="A12" s="1775">
        <f>'数据-取费表'!AN12</f>
        <v>0</v>
      </c>
      <c r="B12" s="935" t="e">
        <f ca="1">IF(F12="是",'数据-取费表'!AO12,0)</f>
        <v>#REF!</v>
      </c>
      <c r="C12" s="1764" t="s">
        <v>2036</v>
      </c>
      <c r="D12" s="1768"/>
      <c r="E12" s="1776">
        <f>IF(OR(A12=0,F12="否"),0,'数据-取费表'!K12+'数据-取费表'!S12)</f>
        <v>0</v>
      </c>
      <c r="F12" s="1777" t="s">
        <v>2043</v>
      </c>
      <c r="G12" s="1761"/>
      <c r="H12" s="1761"/>
      <c r="I12" s="1761"/>
      <c r="J12" s="1761"/>
      <c r="K12" s="1761"/>
      <c r="L12" s="1761"/>
      <c r="M12" s="1761"/>
      <c r="N12" s="1761"/>
      <c r="O12" s="1761"/>
      <c r="P12" s="1761"/>
      <c r="Q12" s="1761"/>
      <c r="R12" s="1761"/>
      <c r="S12" s="1761"/>
    </row>
    <row r="13" spans="1:22">
      <c r="A13" s="1778">
        <f>'数据-取费表'!AN13</f>
        <v>0</v>
      </c>
      <c r="B13" s="935" t="e">
        <f ca="1">IF(F13="是",'数据-取费表'!AO13,0)</f>
        <v>#REF!</v>
      </c>
      <c r="C13" s="1779" t="s">
        <v>2036</v>
      </c>
      <c r="D13" s="1780"/>
      <c r="E13" s="1776">
        <f>IF(OR(A13=0,F13="否"),0,'数据-取费表'!K13+'数据-取费表'!S13)</f>
        <v>0</v>
      </c>
      <c r="F13" s="1777" t="s">
        <v>2043</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5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2044</v>
      </c>
      <c r="B1" s="1655" t="s">
        <v>2045</v>
      </c>
      <c r="C1" s="1508" t="s">
        <v>2046</v>
      </c>
      <c r="D1" s="1451"/>
      <c r="E1" s="1656"/>
      <c r="F1" s="1453"/>
      <c r="G1" s="1454" t="s">
        <v>2047</v>
      </c>
      <c r="H1" s="1455"/>
      <c r="I1" s="1455"/>
      <c r="J1" s="1455"/>
      <c r="K1" s="1506"/>
      <c r="L1" s="1507"/>
      <c r="M1" s="1508"/>
      <c r="N1" s="1508"/>
      <c r="O1" s="1508"/>
      <c r="P1" s="1687"/>
      <c r="Q1" s="1450"/>
      <c r="R1" s="1450"/>
      <c r="S1" s="1450"/>
      <c r="T1" s="1450"/>
      <c r="U1" s="1450"/>
      <c r="V1" s="1450"/>
      <c r="W1" s="1450"/>
      <c r="X1" s="1450"/>
      <c r="Y1" s="1450"/>
      <c r="Z1" s="1450"/>
      <c r="AA1" s="1450"/>
      <c r="AB1" s="1450"/>
      <c r="AC1" s="1514"/>
    </row>
    <row r="2" spans="1:29" s="1677" customFormat="1" ht="28.5" customHeight="1">
      <c r="A2" s="1456" t="s">
        <v>1561</v>
      </c>
      <c r="B2" s="1678" t="b">
        <f>IF(E1="项目模式",IF(C2="——",ROUND(C49*D3/10000,0),ROUND(C49*D3/10000,0)-D2),IF(E1="单套模式",IF(C2="——",ROUND(C49*D3/10000,4),ROUND(C49*D3/10000,4)-D2)))</f>
        <v>0</v>
      </c>
      <c r="C2" s="1458"/>
      <c r="D2" s="1634" t="e">
        <f ca="1">IF(E1="项目模式",SUMIF(INDIRECT("'"&amp;F2&amp;"'"&amp;"!A:A"),"承租人权益价值",INDIRECT("'"&amp;F2&amp;"'"&amp;"!c:c")),SUMIF(INDIRECT("'"&amp;F2&amp;"'"&amp;"!A:A"),"承租人权益价值（单套）",INDIRECT("'"&amp;F2&amp;"'"&amp;"!c:c")))</f>
        <v>#REF!</v>
      </c>
      <c r="E2" s="1459" t="s">
        <v>1562</v>
      </c>
      <c r="F2" s="1460"/>
      <c r="G2" s="1414"/>
      <c r="H2" s="1414"/>
      <c r="I2" s="1414"/>
      <c r="J2" s="1414"/>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381" t="s">
        <v>1563</v>
      </c>
      <c r="B3" s="1462">
        <f>IF(C2="——",C49,ROUND(B2*10000/D3,0))</f>
        <v>0</v>
      </c>
      <c r="C3" s="1461" t="s">
        <v>2048</v>
      </c>
      <c r="D3" s="1462">
        <f>IF(D1="",'数据-汇总表'!E3,SUMIF('数据-汇总表'!$C19:$C33,D1,'数据-汇总表'!$E19:$E33))</f>
        <v>38.93</v>
      </c>
      <c r="E3" s="1414"/>
      <c r="F3" s="1679"/>
      <c r="G3" s="1414"/>
      <c r="H3" s="1414"/>
      <c r="I3" s="1414"/>
      <c r="J3" s="1414"/>
      <c r="K3" s="1688"/>
      <c r="L3" s="1689"/>
      <c r="M3" s="1690"/>
      <c r="N3" s="1690"/>
      <c r="O3" s="1690"/>
      <c r="P3" s="1691"/>
      <c r="Q3" s="1709"/>
      <c r="R3" s="1709"/>
      <c r="S3" s="1709"/>
      <c r="T3" s="1709"/>
      <c r="U3" s="1709"/>
      <c r="V3" s="1709"/>
      <c r="W3" s="1709"/>
      <c r="X3" s="1709"/>
      <c r="Y3" s="1709"/>
      <c r="Z3" s="1709"/>
      <c r="AA3" s="1709"/>
      <c r="AB3" s="1709"/>
      <c r="AC3" s="1711"/>
    </row>
    <row r="4" spans="1:29" ht="15">
      <c r="A4" s="1088" t="s">
        <v>2049</v>
      </c>
      <c r="B4" s="1089"/>
      <c r="C4" s="3848" t="s">
        <v>2050</v>
      </c>
      <c r="D4" s="3849"/>
      <c r="E4" s="3850" t="s">
        <v>2051</v>
      </c>
      <c r="F4" s="3851"/>
      <c r="G4" s="3848" t="s">
        <v>2052</v>
      </c>
      <c r="H4" s="3849"/>
      <c r="I4" s="3848" t="s">
        <v>2053</v>
      </c>
      <c r="J4" s="3849"/>
      <c r="K4" s="1692"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0" t="s">
        <v>2052</v>
      </c>
      <c r="AC4" s="3810" t="s">
        <v>2053</v>
      </c>
    </row>
    <row r="5" spans="1:29" ht="15">
      <c r="A5" s="1090"/>
      <c r="B5" s="1091"/>
      <c r="C5" s="3877" t="s">
        <v>2056</v>
      </c>
      <c r="D5" s="3853"/>
      <c r="E5" s="3878" t="s">
        <v>2057</v>
      </c>
      <c r="F5" s="3855"/>
      <c r="G5" s="3877" t="s">
        <v>2058</v>
      </c>
      <c r="H5" s="3853"/>
      <c r="I5" s="3877" t="s">
        <v>2059</v>
      </c>
      <c r="J5" s="3853"/>
      <c r="K5" s="1693"/>
      <c r="L5" s="1236"/>
      <c r="M5" s="1237"/>
      <c r="N5" s="1237"/>
      <c r="O5" s="1237"/>
      <c r="P5" s="3816"/>
      <c r="Q5" s="3817"/>
      <c r="R5" s="3822"/>
      <c r="S5" s="3823"/>
      <c r="T5" s="3822"/>
      <c r="U5" s="3823"/>
      <c r="V5" s="3813"/>
      <c r="W5" s="3813"/>
      <c r="X5" s="1279"/>
      <c r="Y5" s="3822"/>
      <c r="Z5" s="3823"/>
      <c r="AA5" s="3811"/>
      <c r="AB5" s="3811"/>
      <c r="AC5" s="3811"/>
    </row>
    <row r="6" spans="1:29" ht="15">
      <c r="A6" s="1092"/>
      <c r="B6" s="1093"/>
      <c r="C6" s="3843" t="s">
        <v>2060</v>
      </c>
      <c r="D6" s="3844"/>
      <c r="E6" s="3845" t="s">
        <v>2060</v>
      </c>
      <c r="F6" s="3846"/>
      <c r="G6" s="3843" t="s">
        <v>2060</v>
      </c>
      <c r="H6" s="3844"/>
      <c r="I6" s="3843" t="s">
        <v>2060</v>
      </c>
      <c r="J6" s="3844"/>
      <c r="K6" s="1693" t="s">
        <v>2061</v>
      </c>
      <c r="L6" s="1236"/>
      <c r="M6" s="1237"/>
      <c r="N6" s="1237"/>
      <c r="O6" s="1237"/>
      <c r="P6" s="3818"/>
      <c r="Q6" s="3819"/>
      <c r="R6" s="3822"/>
      <c r="S6" s="3823"/>
      <c r="T6" s="3824"/>
      <c r="U6" s="3825"/>
      <c r="V6" s="3813"/>
      <c r="W6" s="3813"/>
      <c r="X6" s="1279"/>
      <c r="Y6" s="3824"/>
      <c r="Z6" s="3825"/>
      <c r="AA6" s="3812"/>
      <c r="AB6" s="3812"/>
      <c r="AC6" s="3812"/>
    </row>
    <row r="7" spans="1:29" s="1069" customFormat="1" ht="15">
      <c r="A7" s="1094" t="s">
        <v>2062</v>
      </c>
      <c r="B7" s="1095"/>
      <c r="C7" s="1096">
        <f>'数据-取费表'!B2</f>
        <v>45300</v>
      </c>
      <c r="D7" s="1097">
        <v>100</v>
      </c>
      <c r="E7" s="1098"/>
      <c r="F7" s="1099">
        <f>SUMIF(58:58,YEAR(E7)&amp;"-"&amp;MONTH(E7),59:59)</f>
        <v>0</v>
      </c>
      <c r="G7" s="1098"/>
      <c r="H7" s="1097">
        <f>SUMIF(58:58,YEAR(G7)&amp;"-"&amp;MONTH(G7),59:59)</f>
        <v>0</v>
      </c>
      <c r="I7" s="1098"/>
      <c r="J7" s="1097">
        <f>SUMIF(58:58,YEAR(I7)&amp;"-"&amp;MONTH(I7),59:59)</f>
        <v>0</v>
      </c>
      <c r="K7" s="1694"/>
      <c r="L7" s="1239"/>
      <c r="M7" s="1240"/>
      <c r="N7" s="1240"/>
      <c r="O7" s="1240"/>
      <c r="P7" s="3831" t="s">
        <v>2063</v>
      </c>
      <c r="Q7" s="3847"/>
      <c r="R7" s="1280" t="s">
        <v>2064</v>
      </c>
      <c r="S7" s="1281">
        <f t="shared" ref="S7:S15" si="0">F7</f>
        <v>0</v>
      </c>
      <c r="T7" s="1280" t="s">
        <v>2064</v>
      </c>
      <c r="U7" s="1281">
        <f t="shared" ref="U7:U15" si="1">H7</f>
        <v>0</v>
      </c>
      <c r="V7" s="1280" t="s">
        <v>2064</v>
      </c>
      <c r="W7" s="1281">
        <f t="shared" ref="W7:W15" si="2">J7</f>
        <v>0</v>
      </c>
      <c r="X7" s="1282"/>
      <c r="Y7" s="3831" t="s">
        <v>2063</v>
      </c>
      <c r="Z7" s="3832"/>
      <c r="AA7" s="1294" t="e">
        <f>D7/F7</f>
        <v>#DIV/0!</v>
      </c>
      <c r="AB7" s="1294" t="e">
        <f>D7/H7</f>
        <v>#DIV/0!</v>
      </c>
      <c r="AC7" s="1294" t="e">
        <f>D7/J7</f>
        <v>#DIV/0!</v>
      </c>
    </row>
    <row r="8" spans="1:29" s="1069" customFormat="1" ht="15">
      <c r="A8" s="1094" t="s">
        <v>2065</v>
      </c>
      <c r="B8" s="1095"/>
      <c r="C8" s="1101"/>
      <c r="D8" s="1097">
        <v>100</v>
      </c>
      <c r="E8" s="1680"/>
      <c r="F8" s="1099">
        <f>SUMIF(61:61,E8,62:62)-SUMIF(61:61,C8,62:62)+100</f>
        <v>100</v>
      </c>
      <c r="G8" s="1101"/>
      <c r="H8" s="1097">
        <f>SUMIF(61:61,G8,62:62)-SUMIF(61:61,C8,62:62)+100</f>
        <v>100</v>
      </c>
      <c r="I8" s="1680"/>
      <c r="J8" s="1097">
        <f>SUMIF(61:61,I8,62:62)-SUMIF(61:61,C8,62:62)+100</f>
        <v>100</v>
      </c>
      <c r="K8" s="1694"/>
      <c r="L8" s="1239"/>
      <c r="M8" s="1240"/>
      <c r="N8" s="1240"/>
      <c r="O8" s="1240"/>
      <c r="P8" s="3831" t="s">
        <v>2066</v>
      </c>
      <c r="Q8" s="3832"/>
      <c r="R8" s="1280" t="s">
        <v>2064</v>
      </c>
      <c r="S8" s="1281">
        <f t="shared" si="0"/>
        <v>100</v>
      </c>
      <c r="T8" s="1280" t="s">
        <v>2064</v>
      </c>
      <c r="U8" s="1281">
        <f t="shared" si="1"/>
        <v>100</v>
      </c>
      <c r="V8" s="1280" t="s">
        <v>2064</v>
      </c>
      <c r="W8" s="1281">
        <f t="shared" si="2"/>
        <v>100</v>
      </c>
      <c r="X8" s="1282"/>
      <c r="Y8" s="3831" t="s">
        <v>2066</v>
      </c>
      <c r="Z8" s="3832"/>
      <c r="AA8" s="1294">
        <f t="shared" ref="AA8:AA19" si="3">D8/F8</f>
        <v>1</v>
      </c>
      <c r="AB8" s="1294">
        <f t="shared" ref="AB8:AB19" si="4">D8/H8</f>
        <v>1</v>
      </c>
      <c r="AC8" s="1294">
        <f t="shared" ref="AC8:AC19" si="5">D8/J8</f>
        <v>1</v>
      </c>
    </row>
    <row r="9" spans="1:29" s="1069" customFormat="1">
      <c r="A9" s="1102" t="s">
        <v>2067</v>
      </c>
      <c r="B9" s="1103" t="s">
        <v>2068</v>
      </c>
      <c r="C9" s="1463"/>
      <c r="D9" s="1105">
        <v>100</v>
      </c>
      <c r="E9" s="1532"/>
      <c r="F9" s="1465">
        <f>SUMIF(63:63,E9,64:64)-SUMIF(63:63,C9,64:64)+100</f>
        <v>100</v>
      </c>
      <c r="G9" s="1464"/>
      <c r="H9" s="1105">
        <f>SUMIF(63:63,G9,64:64)-SUMIF(63:63,C9,64:64)+100</f>
        <v>100</v>
      </c>
      <c r="I9" s="1464"/>
      <c r="J9" s="1105">
        <f>SUMIF(63:63,I9,64:64)-SUMIF(63:63,C9,64:64)+100</f>
        <v>100</v>
      </c>
      <c r="K9" s="1694"/>
      <c r="L9" s="1239"/>
      <c r="M9" s="1240"/>
      <c r="N9" s="1240"/>
      <c r="O9" s="1240"/>
      <c r="P9" s="3833"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294">
        <f t="shared" si="5"/>
        <v>1</v>
      </c>
    </row>
    <row r="10" spans="1:29" s="1070" customFormat="1" ht="27">
      <c r="A10" s="1106"/>
      <c r="B10" s="1107" t="s">
        <v>2071</v>
      </c>
      <c r="C10" s="1466"/>
      <c r="D10" s="1109">
        <v>100</v>
      </c>
      <c r="E10" s="1535"/>
      <c r="F10" s="1467">
        <f>SUMIF(65:65,E10,66:66)-SUMIF(65:65,C10,66:66)+100</f>
        <v>100</v>
      </c>
      <c r="G10" s="1466"/>
      <c r="H10" s="1109">
        <f>SUMIF(65:65,G10,66:66)-SUMIF(65:65,C10,66:66)+100</f>
        <v>100</v>
      </c>
      <c r="I10" s="1466"/>
      <c r="J10" s="1109">
        <f>SUMIF(65:65,I10,66:66)-SUMIF(65:65,C10,66:66)+100</f>
        <v>100</v>
      </c>
      <c r="K10" s="1694"/>
      <c r="L10" s="1243"/>
      <c r="M10" s="1244"/>
      <c r="N10" s="1244"/>
      <c r="O10" s="1244"/>
      <c r="P10" s="3833"/>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294">
        <f t="shared" si="5"/>
        <v>1</v>
      </c>
    </row>
    <row r="11" spans="1:29" ht="15">
      <c r="A11" s="1110"/>
      <c r="B11" s="1107" t="s">
        <v>2072</v>
      </c>
      <c r="C11" s="1111"/>
      <c r="D11" s="1109">
        <v>100</v>
      </c>
      <c r="E11" s="1112"/>
      <c r="F11" s="1467" t="e">
        <f>LOOKUP(E11,68:68,69:69)-LOOKUP(C11,68:68,69:69)+100</f>
        <v>#N/A</v>
      </c>
      <c r="G11" s="1111"/>
      <c r="H11" s="1109" t="e">
        <f>LOOKUP(G11,68:68,69:69)-LOOKUP(C11,68:68,69:69)+100</f>
        <v>#N/A</v>
      </c>
      <c r="I11" s="1111"/>
      <c r="J11" s="1109" t="e">
        <f>LOOKUP(I11,68:68,69:69)-LOOKUP(C11,68:68,69:69)+100</f>
        <v>#N/A</v>
      </c>
      <c r="K11" s="1695"/>
      <c r="L11" s="1247"/>
      <c r="M11" s="1237"/>
      <c r="N11" s="1237"/>
      <c r="O11" s="1237"/>
      <c r="P11" s="3833"/>
      <c r="Q11" s="1284" t="str">
        <f t="shared" si="6"/>
        <v>容积率</v>
      </c>
      <c r="R11" s="1280" t="s">
        <v>2064</v>
      </c>
      <c r="S11" s="1281" t="e">
        <f t="shared" si="0"/>
        <v>#N/A</v>
      </c>
      <c r="T11" s="1280" t="s">
        <v>2064</v>
      </c>
      <c r="U11" s="1281" t="e">
        <f t="shared" si="1"/>
        <v>#N/A</v>
      </c>
      <c r="V11" s="1280" t="s">
        <v>2064</v>
      </c>
      <c r="W11" s="1281" t="e">
        <f t="shared" si="2"/>
        <v>#N/A</v>
      </c>
      <c r="X11" s="1282"/>
      <c r="Y11" s="369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6"/>
      <c r="L12" s="1239"/>
      <c r="M12" s="1240"/>
      <c r="N12" s="1240"/>
      <c r="O12" s="1240"/>
      <c r="P12" s="3833"/>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6"/>
      <c r="L13" s="1249"/>
      <c r="M13" s="1237"/>
      <c r="N13" s="1237"/>
      <c r="O13" s="1237"/>
      <c r="P13" s="3833"/>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6"/>
      <c r="L14" s="1249"/>
      <c r="M14" s="1237"/>
      <c r="N14" s="1237"/>
      <c r="O14" s="1237"/>
      <c r="P14" s="3833"/>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294">
        <f t="shared" si="5"/>
        <v>1</v>
      </c>
    </row>
    <row r="15" spans="1:29" ht="85.5">
      <c r="A15" s="1124" t="s">
        <v>2073</v>
      </c>
      <c r="B15" s="1417" t="s">
        <v>2074</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7"/>
      <c r="L15" s="1249"/>
      <c r="M15" s="1237"/>
      <c r="N15" s="1237"/>
      <c r="O15" s="1237"/>
      <c r="P15" s="3834" t="s">
        <v>2075</v>
      </c>
      <c r="Q15" s="664" t="str">
        <f t="shared" si="6"/>
        <v>居住社区成熟度</v>
      </c>
      <c r="R15" s="1285" t="s">
        <v>2064</v>
      </c>
      <c r="S15" s="1286">
        <f t="shared" si="0"/>
        <v>100</v>
      </c>
      <c r="T15" s="1285" t="s">
        <v>2064</v>
      </c>
      <c r="U15" s="1286">
        <f t="shared" si="1"/>
        <v>100</v>
      </c>
      <c r="V15" s="1285" t="s">
        <v>2064</v>
      </c>
      <c r="W15" s="1286">
        <f t="shared" si="2"/>
        <v>100</v>
      </c>
      <c r="X15" s="1279"/>
      <c r="Y15" s="3839" t="s">
        <v>2075</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8"/>
      <c r="L16" s="1249"/>
      <c r="M16" s="1237"/>
      <c r="N16" s="1237"/>
      <c r="O16" s="1237"/>
      <c r="P16" s="3835"/>
      <c r="Q16" s="664"/>
      <c r="R16" s="1285"/>
      <c r="S16" s="1286"/>
      <c r="T16" s="1285"/>
      <c r="U16" s="1286"/>
      <c r="V16" s="1285"/>
      <c r="W16" s="1286"/>
      <c r="X16" s="1279"/>
      <c r="Y16" s="3840"/>
      <c r="Z16" s="1269"/>
      <c r="AA16" s="1296">
        <v>1</v>
      </c>
      <c r="AB16" s="1296">
        <v>1</v>
      </c>
      <c r="AC16" s="1296">
        <v>1</v>
      </c>
    </row>
    <row r="17" spans="1:29" ht="71.25">
      <c r="A17" s="1110"/>
      <c r="B17" s="1420" t="s">
        <v>2076</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7"/>
      <c r="L17" s="1249"/>
      <c r="M17" s="1237"/>
      <c r="N17" s="1237"/>
      <c r="O17" s="1237"/>
      <c r="P17" s="3835"/>
      <c r="Q17" s="664" t="str">
        <f>B17</f>
        <v>交通便捷度</v>
      </c>
      <c r="R17" s="1285" t="s">
        <v>2064</v>
      </c>
      <c r="S17" s="1286">
        <f>F17</f>
        <v>100</v>
      </c>
      <c r="T17" s="1285" t="s">
        <v>2064</v>
      </c>
      <c r="U17" s="1286">
        <f>H17</f>
        <v>100</v>
      </c>
      <c r="V17" s="1285" t="s">
        <v>2064</v>
      </c>
      <c r="W17" s="1286">
        <f>J17</f>
        <v>100</v>
      </c>
      <c r="X17" s="1279"/>
      <c r="Y17" s="384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8"/>
      <c r="L18" s="1249"/>
      <c r="M18" s="1237"/>
      <c r="N18" s="1237"/>
      <c r="O18" s="1237"/>
      <c r="P18" s="3835"/>
      <c r="Q18" s="664"/>
      <c r="R18" s="1285"/>
      <c r="S18" s="1286"/>
      <c r="T18" s="1285"/>
      <c r="U18" s="1286"/>
      <c r="V18" s="1285"/>
      <c r="W18" s="1286"/>
      <c r="X18" s="1279"/>
      <c r="Y18" s="3840"/>
      <c r="Z18" s="1269"/>
      <c r="AA18" s="1296">
        <v>1</v>
      </c>
      <c r="AB18" s="1296">
        <v>1</v>
      </c>
      <c r="AC18" s="1296">
        <v>1</v>
      </c>
    </row>
    <row r="19" spans="1:29" ht="42.75">
      <c r="A19" s="1110"/>
      <c r="B19" s="1420" t="s">
        <v>2077</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7"/>
      <c r="L19" s="1249"/>
      <c r="M19" s="1237"/>
      <c r="N19" s="1237"/>
      <c r="O19" s="1237"/>
      <c r="P19" s="3835"/>
      <c r="Q19" s="664" t="str">
        <f>B19</f>
        <v>公共配套设施</v>
      </c>
      <c r="R19" s="1285" t="s">
        <v>2064</v>
      </c>
      <c r="S19" s="1286">
        <f>F19</f>
        <v>100</v>
      </c>
      <c r="T19" s="1285" t="s">
        <v>2064</v>
      </c>
      <c r="U19" s="1286">
        <f>H19</f>
        <v>100</v>
      </c>
      <c r="V19" s="1285" t="s">
        <v>2064</v>
      </c>
      <c r="W19" s="1286">
        <f>J19</f>
        <v>100</v>
      </c>
      <c r="X19" s="1279"/>
      <c r="Y19" s="384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8"/>
      <c r="L20" s="1249"/>
      <c r="M20" s="1237"/>
      <c r="N20" s="1237"/>
      <c r="O20" s="1237"/>
      <c r="P20" s="3835"/>
      <c r="Q20" s="664"/>
      <c r="R20" s="1285"/>
      <c r="S20" s="1286"/>
      <c r="T20" s="1285"/>
      <c r="U20" s="1286"/>
      <c r="V20" s="1285"/>
      <c r="W20" s="1286"/>
      <c r="X20" s="1279"/>
      <c r="Y20" s="3840"/>
      <c r="Z20" s="1269"/>
      <c r="AA20" s="1296">
        <v>1</v>
      </c>
      <c r="AB20" s="1296">
        <v>1</v>
      </c>
      <c r="AC20" s="1296">
        <v>1</v>
      </c>
    </row>
    <row r="21" spans="1:29" ht="28.5">
      <c r="A21" s="1110"/>
      <c r="B21" s="1424" t="s">
        <v>2078</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7"/>
      <c r="L21" s="1249"/>
      <c r="M21" s="1237"/>
      <c r="N21" s="1237"/>
      <c r="O21" s="1237"/>
      <c r="P21" s="3835"/>
      <c r="Q21" s="664" t="str">
        <f>B21</f>
        <v>基础设施水平</v>
      </c>
      <c r="R21" s="1285" t="s">
        <v>2064</v>
      </c>
      <c r="S21" s="1286">
        <f>F21</f>
        <v>100</v>
      </c>
      <c r="T21" s="1285" t="s">
        <v>2064</v>
      </c>
      <c r="U21" s="1286">
        <f>H21</f>
        <v>100</v>
      </c>
      <c r="V21" s="1285" t="s">
        <v>2064</v>
      </c>
      <c r="W21" s="1286">
        <f>J21</f>
        <v>100</v>
      </c>
      <c r="X21" s="1279"/>
      <c r="Y21" s="384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9"/>
      <c r="L22" s="1249"/>
      <c r="M22" s="1237"/>
      <c r="N22" s="1237"/>
      <c r="O22" s="1237"/>
      <c r="P22" s="3835"/>
      <c r="Q22" s="664"/>
      <c r="R22" s="1285"/>
      <c r="S22" s="1286"/>
      <c r="T22" s="1285"/>
      <c r="U22" s="1286"/>
      <c r="V22" s="1285"/>
      <c r="W22" s="1286"/>
      <c r="X22" s="1279"/>
      <c r="Y22" s="3840"/>
      <c r="Z22" s="1269"/>
      <c r="AA22" s="1296">
        <v>1</v>
      </c>
      <c r="AB22" s="1296">
        <v>1</v>
      </c>
      <c r="AC22" s="1296">
        <v>1</v>
      </c>
    </row>
    <row r="23" spans="1:29" ht="42.75">
      <c r="A23" s="1110"/>
      <c r="B23" s="1420" t="s">
        <v>2079</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7"/>
      <c r="L23" s="1249"/>
      <c r="M23" s="1237"/>
      <c r="N23" s="1237"/>
      <c r="O23" s="1237"/>
      <c r="P23" s="3835"/>
      <c r="Q23" s="664" t="str">
        <f>B23</f>
        <v>自然及人文环境</v>
      </c>
      <c r="R23" s="1285" t="s">
        <v>2064</v>
      </c>
      <c r="S23" s="1286">
        <f>F23</f>
        <v>100</v>
      </c>
      <c r="T23" s="1285" t="s">
        <v>2064</v>
      </c>
      <c r="U23" s="1286">
        <f>H23</f>
        <v>100</v>
      </c>
      <c r="V23" s="1285" t="s">
        <v>2064</v>
      </c>
      <c r="W23" s="1286">
        <f>J23</f>
        <v>100</v>
      </c>
      <c r="X23" s="1279"/>
      <c r="Y23" s="384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8"/>
      <c r="L24" s="1249"/>
      <c r="M24" s="1237"/>
      <c r="N24" s="1237"/>
      <c r="O24" s="1237"/>
      <c r="P24" s="3835"/>
      <c r="Q24" s="664"/>
      <c r="R24" s="1285"/>
      <c r="S24" s="1286"/>
      <c r="T24" s="1285"/>
      <c r="U24" s="1286"/>
      <c r="V24" s="1285"/>
      <c r="W24" s="1286"/>
      <c r="X24" s="1279"/>
      <c r="Y24" s="3840"/>
      <c r="Z24" s="1269"/>
      <c r="AA24" s="1296">
        <v>1</v>
      </c>
      <c r="AB24" s="1296">
        <v>1</v>
      </c>
      <c r="AC24" s="1296">
        <v>1</v>
      </c>
    </row>
    <row r="25" spans="1:29" ht="15">
      <c r="A25" s="1110"/>
      <c r="B25" s="1107" t="s">
        <v>2080</v>
      </c>
      <c r="C25" s="1484"/>
      <c r="D25" s="1119">
        <v>100</v>
      </c>
      <c r="E25" s="1162"/>
      <c r="F25" s="1119">
        <f>SUMIF(86:86,E25,87:87)-SUMIF(86:86,C25,87:87)+100</f>
        <v>100</v>
      </c>
      <c r="G25" s="1681"/>
      <c r="H25" s="1119">
        <f>SUMIF(86:86,G25,87:87)-SUMIF(86:86,C25,87:87)+100</f>
        <v>100</v>
      </c>
      <c r="I25" s="1681"/>
      <c r="J25" s="1119">
        <f>SUMIF(86:86,I25,87:87)-SUMIF(86:86,C25,87:87)+100</f>
        <v>100</v>
      </c>
      <c r="K25" s="1695"/>
      <c r="L25" s="1249"/>
      <c r="M25" s="1237"/>
      <c r="N25" s="1237"/>
      <c r="O25" s="1237"/>
      <c r="P25" s="3835"/>
      <c r="Q25" s="664" t="str">
        <f t="shared" ref="Q25:Q46" si="11">B25</f>
        <v>楼层-1</v>
      </c>
      <c r="R25" s="1285" t="s">
        <v>2064</v>
      </c>
      <c r="S25" s="1286">
        <f t="shared" ref="S25:S46" si="12">F25</f>
        <v>100</v>
      </c>
      <c r="T25" s="1285" t="s">
        <v>2064</v>
      </c>
      <c r="U25" s="1286">
        <f t="shared" ref="U25:U46" si="13">H25</f>
        <v>100</v>
      </c>
      <c r="V25" s="1285" t="s">
        <v>2064</v>
      </c>
      <c r="W25" s="1286">
        <f t="shared" ref="W25:W46" si="14">J25</f>
        <v>100</v>
      </c>
      <c r="X25" s="1279"/>
      <c r="Y25" s="3840"/>
      <c r="Z25" s="1269" t="str">
        <f>Q25</f>
        <v>楼层-1</v>
      </c>
      <c r="AA25" s="1296">
        <f t="shared" ref="AA25:AA46" si="15">D25/F25</f>
        <v>1</v>
      </c>
      <c r="AB25" s="1296">
        <f t="shared" ref="AB25:AB46" si="16">D25/H25</f>
        <v>1</v>
      </c>
      <c r="AC25" s="1296">
        <f t="shared" ref="AC25:AC46" si="17">D25/J25</f>
        <v>1</v>
      </c>
    </row>
    <row r="26" spans="1:29" ht="15">
      <c r="A26" s="1110"/>
      <c r="B26" s="1107" t="s">
        <v>2081</v>
      </c>
      <c r="C26" s="1484"/>
      <c r="D26" s="1119">
        <v>100</v>
      </c>
      <c r="E26" s="1162"/>
      <c r="F26" s="1119">
        <f>SUMIF(88:88,E26,89:89)-SUMIF(88:88,C26,89:89)+100</f>
        <v>100</v>
      </c>
      <c r="G26" s="1681"/>
      <c r="H26" s="1119">
        <f>SUMIF(88:88,G26,89:89)-SUMIF(88:88,C26,89:89)+100</f>
        <v>100</v>
      </c>
      <c r="I26" s="1681"/>
      <c r="J26" s="1119">
        <f>SUMIF(88:88,I26,89:89)-SUMIF(88:88,C26,89:89)+100</f>
        <v>100</v>
      </c>
      <c r="K26" s="1695"/>
      <c r="L26" s="1249"/>
      <c r="M26" s="1237"/>
      <c r="N26" s="1237"/>
      <c r="O26" s="1237"/>
      <c r="P26" s="3835"/>
      <c r="Q26" s="664" t="str">
        <f t="shared" si="11"/>
        <v>朝向</v>
      </c>
      <c r="R26" s="1285" t="s">
        <v>2064</v>
      </c>
      <c r="S26" s="1286">
        <f t="shared" si="12"/>
        <v>100</v>
      </c>
      <c r="T26" s="1285" t="s">
        <v>2064</v>
      </c>
      <c r="U26" s="1286">
        <f t="shared" si="13"/>
        <v>100</v>
      </c>
      <c r="V26" s="1285" t="s">
        <v>2064</v>
      </c>
      <c r="W26" s="1286">
        <f t="shared" si="14"/>
        <v>100</v>
      </c>
      <c r="X26" s="1279"/>
      <c r="Y26" s="3840"/>
      <c r="Z26" s="1269" t="str">
        <f>Q26</f>
        <v>朝向</v>
      </c>
      <c r="AA26" s="1296">
        <f t="shared" si="15"/>
        <v>1</v>
      </c>
      <c r="AB26" s="1296">
        <f t="shared" si="16"/>
        <v>1</v>
      </c>
      <c r="AC26" s="1296">
        <f t="shared" si="17"/>
        <v>1</v>
      </c>
    </row>
    <row r="27" spans="1:29" s="1069" customFormat="1" ht="15">
      <c r="A27" s="1113"/>
      <c r="B27" s="1425">
        <v>111</v>
      </c>
      <c r="C27" s="1108"/>
      <c r="D27" s="1589">
        <v>100</v>
      </c>
      <c r="E27" s="1415"/>
      <c r="F27" s="1589">
        <f>SUMIF(90:90,E27,91:91)-SUMIF(90:90,C27,91:91)+100</f>
        <v>100</v>
      </c>
      <c r="G27" s="1416"/>
      <c r="H27" s="1589">
        <f>SUMIF(90:90,G27,91:91)-SUMIF(90:90,C27,91:91)+100</f>
        <v>100</v>
      </c>
      <c r="I27" s="1416"/>
      <c r="J27" s="1589">
        <f>SUMIF(90:90,I27,91:91)-SUMIF(90:90,C27,91:91)+100</f>
        <v>100</v>
      </c>
      <c r="K27" s="1696"/>
      <c r="L27" s="1239"/>
      <c r="M27" s="1240"/>
      <c r="N27" s="1240"/>
      <c r="O27" s="1240"/>
      <c r="P27" s="3835"/>
      <c r="Q27" s="1284">
        <f t="shared" si="11"/>
        <v>111</v>
      </c>
      <c r="R27" s="1280" t="s">
        <v>2064</v>
      </c>
      <c r="S27" s="1281">
        <f t="shared" si="12"/>
        <v>100</v>
      </c>
      <c r="T27" s="1280" t="s">
        <v>2064</v>
      </c>
      <c r="U27" s="1281">
        <f t="shared" si="13"/>
        <v>100</v>
      </c>
      <c r="V27" s="1280" t="s">
        <v>2064</v>
      </c>
      <c r="W27" s="1281">
        <f t="shared" si="14"/>
        <v>100</v>
      </c>
      <c r="X27" s="1282"/>
      <c r="Y27" s="384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40"/>
      <c r="H28" s="1119">
        <f>SUMIF(92:92,G28,93:93)-SUMIF(92:92,C28,93:93)+100</f>
        <v>100</v>
      </c>
      <c r="I28" s="1118"/>
      <c r="J28" s="1119">
        <f>SUMIF(92:92,I28,93:93)-SUMIF(92:92,C28,93:93)+100</f>
        <v>100</v>
      </c>
      <c r="K28" s="1696"/>
      <c r="L28" s="1249"/>
      <c r="M28" s="1237"/>
      <c r="N28" s="1237"/>
      <c r="O28" s="1237"/>
      <c r="P28" s="3835"/>
      <c r="Q28" s="664">
        <f t="shared" si="11"/>
        <v>111</v>
      </c>
      <c r="R28" s="1285" t="s">
        <v>2064</v>
      </c>
      <c r="S28" s="1286">
        <f t="shared" si="12"/>
        <v>100</v>
      </c>
      <c r="T28" s="1285" t="s">
        <v>2064</v>
      </c>
      <c r="U28" s="1286">
        <f t="shared" si="13"/>
        <v>100</v>
      </c>
      <c r="V28" s="1285" t="s">
        <v>2064</v>
      </c>
      <c r="W28" s="1286">
        <f t="shared" si="14"/>
        <v>100</v>
      </c>
      <c r="X28" s="1279"/>
      <c r="Y28" s="384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40"/>
      <c r="H29" s="1119">
        <f>SUMIF(94:94,G29,95:95)-SUMIF(94:94,C29,95:95)+100</f>
        <v>100</v>
      </c>
      <c r="I29" s="1118"/>
      <c r="J29" s="1119">
        <f>SUMIF(94:94,I29,95:95)-SUMIF(94:94,C29,95:95)+100</f>
        <v>100</v>
      </c>
      <c r="K29" s="1696"/>
      <c r="L29" s="1249"/>
      <c r="M29" s="1237"/>
      <c r="N29" s="1237"/>
      <c r="O29" s="1237"/>
      <c r="P29" s="3835"/>
      <c r="Q29" s="664">
        <f t="shared" si="11"/>
        <v>111</v>
      </c>
      <c r="R29" s="1285" t="s">
        <v>2064</v>
      </c>
      <c r="S29" s="1286">
        <f t="shared" si="12"/>
        <v>100</v>
      </c>
      <c r="T29" s="1285" t="s">
        <v>2064</v>
      </c>
      <c r="U29" s="1286">
        <f t="shared" si="13"/>
        <v>100</v>
      </c>
      <c r="V29" s="1285" t="s">
        <v>2064</v>
      </c>
      <c r="W29" s="1286">
        <f t="shared" si="14"/>
        <v>100</v>
      </c>
      <c r="X29" s="1279"/>
      <c r="Y29" s="384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40"/>
      <c r="H30" s="1119">
        <f>SUMIF(96:96,G30,97:97)-SUMIF(96:96,C30,97:97)+100</f>
        <v>100</v>
      </c>
      <c r="I30" s="1118"/>
      <c r="J30" s="1119">
        <f>SUMIF(96:96,I30,97:97)-SUMIF(96:96,C30,97:97)+100</f>
        <v>100</v>
      </c>
      <c r="K30" s="1696"/>
      <c r="L30" s="1249"/>
      <c r="M30" s="1237"/>
      <c r="N30" s="1237"/>
      <c r="O30" s="1237"/>
      <c r="P30" s="3835"/>
      <c r="Q30" s="664">
        <f t="shared" si="11"/>
        <v>111</v>
      </c>
      <c r="R30" s="1285" t="s">
        <v>2064</v>
      </c>
      <c r="S30" s="1286">
        <f t="shared" si="12"/>
        <v>100</v>
      </c>
      <c r="T30" s="1285" t="s">
        <v>2064</v>
      </c>
      <c r="U30" s="1286">
        <f t="shared" si="13"/>
        <v>100</v>
      </c>
      <c r="V30" s="1285" t="s">
        <v>2064</v>
      </c>
      <c r="W30" s="1286">
        <f t="shared" si="14"/>
        <v>100</v>
      </c>
      <c r="X30" s="1279"/>
      <c r="Y30" s="384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43"/>
      <c r="H31" s="1123">
        <f>SUMIF(98:98,G31,99:99)-SUMIF(98:98,C31,99:99)+100</f>
        <v>100</v>
      </c>
      <c r="I31" s="1122"/>
      <c r="J31" s="1123">
        <f>SUMIF(98:98,I31,99:99)-SUMIF(98:98,C31,99:99)+100</f>
        <v>100</v>
      </c>
      <c r="K31" s="1696"/>
      <c r="L31" s="1249"/>
      <c r="M31" s="1237"/>
      <c r="N31" s="1237"/>
      <c r="O31" s="1237"/>
      <c r="P31" s="3835"/>
      <c r="Q31" s="664">
        <f t="shared" si="11"/>
        <v>111</v>
      </c>
      <c r="R31" s="1285" t="s">
        <v>2064</v>
      </c>
      <c r="S31" s="1286">
        <f t="shared" si="12"/>
        <v>100</v>
      </c>
      <c r="T31" s="1285" t="s">
        <v>2064</v>
      </c>
      <c r="U31" s="1286">
        <f t="shared" si="13"/>
        <v>100</v>
      </c>
      <c r="V31" s="1285" t="s">
        <v>2064</v>
      </c>
      <c r="W31" s="1286">
        <f t="shared" si="14"/>
        <v>100</v>
      </c>
      <c r="X31" s="1279"/>
      <c r="Y31" s="3840"/>
      <c r="Z31" s="1269">
        <f t="shared" si="18"/>
        <v>111</v>
      </c>
      <c r="AA31" s="1296">
        <f t="shared" si="15"/>
        <v>1</v>
      </c>
      <c r="AB31" s="1296">
        <f t="shared" si="16"/>
        <v>1</v>
      </c>
      <c r="AC31" s="1296">
        <f t="shared" si="17"/>
        <v>1</v>
      </c>
    </row>
    <row r="32" spans="1:29" ht="15">
      <c r="A32" s="1124" t="s">
        <v>2082</v>
      </c>
      <c r="B32" s="1103" t="s">
        <v>2083</v>
      </c>
      <c r="C32" s="1657"/>
      <c r="D32" s="1160">
        <v>100</v>
      </c>
      <c r="E32" s="1682"/>
      <c r="F32" s="1474">
        <f>SUMIF(100:100,E32,101:101)-SUMIF(100:100,C32,101:101)+100</f>
        <v>100</v>
      </c>
      <c r="G32" s="1657"/>
      <c r="H32" s="1160">
        <f>SUMIF(100:100,G32,101:101)-SUMIF(100:100,C32,101:101)+100</f>
        <v>100</v>
      </c>
      <c r="I32" s="1682"/>
      <c r="J32" s="1119">
        <f>SUMIF(100:100,I32,101:101)-SUMIF(100:100,C32,101:101)+100</f>
        <v>100</v>
      </c>
      <c r="K32" s="1695"/>
      <c r="L32" s="1249"/>
      <c r="M32" s="1237"/>
      <c r="N32" s="1237"/>
      <c r="O32" s="1237"/>
      <c r="P32" s="3836" t="s">
        <v>2084</v>
      </c>
      <c r="Q32" s="664" t="str">
        <f t="shared" si="11"/>
        <v>建筑类型</v>
      </c>
      <c r="R32" s="1285" t="s">
        <v>2064</v>
      </c>
      <c r="S32" s="1286">
        <f t="shared" si="12"/>
        <v>100</v>
      </c>
      <c r="T32" s="1285" t="s">
        <v>2064</v>
      </c>
      <c r="U32" s="1286">
        <f t="shared" si="13"/>
        <v>100</v>
      </c>
      <c r="V32" s="1285" t="s">
        <v>2064</v>
      </c>
      <c r="W32" s="1286">
        <f t="shared" si="14"/>
        <v>100</v>
      </c>
      <c r="X32" s="1279"/>
      <c r="Y32" s="3841" t="s">
        <v>2084</v>
      </c>
      <c r="Z32" s="1269" t="str">
        <f t="shared" si="18"/>
        <v>建筑类型</v>
      </c>
      <c r="AA32" s="1296">
        <f t="shared" si="15"/>
        <v>1</v>
      </c>
      <c r="AB32" s="1296">
        <f t="shared" si="16"/>
        <v>1</v>
      </c>
      <c r="AC32" s="1296">
        <f t="shared" si="17"/>
        <v>1</v>
      </c>
    </row>
    <row r="33" spans="1:29" s="1071" customFormat="1" ht="15">
      <c r="A33" s="1166"/>
      <c r="B33" s="1107" t="s">
        <v>2085</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6"/>
      <c r="L33" s="1247"/>
      <c r="M33" s="1256"/>
      <c r="N33" s="1256"/>
      <c r="O33" s="1256"/>
      <c r="P33" s="3837"/>
      <c r="Q33" s="1513" t="str">
        <f t="shared" si="11"/>
        <v>项目建筑规模</v>
      </c>
      <c r="R33" s="1287" t="s">
        <v>2064</v>
      </c>
      <c r="S33" s="1288" t="e">
        <f t="shared" si="12"/>
        <v>#N/A</v>
      </c>
      <c r="T33" s="1287" t="s">
        <v>2064</v>
      </c>
      <c r="U33" s="1288" t="e">
        <f t="shared" si="13"/>
        <v>#N/A</v>
      </c>
      <c r="V33" s="1287" t="s">
        <v>2064</v>
      </c>
      <c r="W33" s="1288" t="e">
        <f t="shared" si="14"/>
        <v>#N/A</v>
      </c>
      <c r="X33" s="1289"/>
      <c r="Y33" s="3841"/>
      <c r="Z33" s="1297" t="str">
        <f t="shared" si="18"/>
        <v>项目建筑规模</v>
      </c>
      <c r="AA33" s="1296" t="e">
        <f t="shared" si="15"/>
        <v>#N/A</v>
      </c>
      <c r="AB33" s="1296" t="e">
        <f t="shared" si="16"/>
        <v>#N/A</v>
      </c>
      <c r="AC33" s="1296" t="e">
        <f t="shared" si="17"/>
        <v>#N/A</v>
      </c>
    </row>
    <row r="34" spans="1:29" ht="15">
      <c r="A34" s="1161"/>
      <c r="B34" s="1107" t="s">
        <v>2086</v>
      </c>
      <c r="C34" s="1658"/>
      <c r="D34" s="1119">
        <v>100</v>
      </c>
      <c r="E34" s="1683"/>
      <c r="F34" s="1474">
        <f>SUMIF(105:105,E34,106:106)-SUMIF(105:105,C34,106:106)+100</f>
        <v>100</v>
      </c>
      <c r="G34" s="1658"/>
      <c r="H34" s="1119">
        <f>SUMIF(105:105,G34,106:106)-SUMIF(105:105,C34,106:106)+100</f>
        <v>100</v>
      </c>
      <c r="I34" s="1683"/>
      <c r="J34" s="1119">
        <f>SUMIF(105:105,I34,106:106)-SUMIF(105:105,C34,106:106)+100</f>
        <v>100</v>
      </c>
      <c r="K34" s="1695"/>
      <c r="L34" s="1249"/>
      <c r="M34" s="1237"/>
      <c r="N34" s="1237"/>
      <c r="O34" s="1237"/>
      <c r="P34" s="3837"/>
      <c r="Q34" s="664" t="str">
        <f t="shared" si="11"/>
        <v>建筑结构</v>
      </c>
      <c r="R34" s="1285" t="s">
        <v>2064</v>
      </c>
      <c r="S34" s="1286">
        <f t="shared" si="12"/>
        <v>100</v>
      </c>
      <c r="T34" s="1285" t="s">
        <v>2064</v>
      </c>
      <c r="U34" s="1286">
        <f t="shared" si="13"/>
        <v>100</v>
      </c>
      <c r="V34" s="1285" t="s">
        <v>2064</v>
      </c>
      <c r="W34" s="1286">
        <f t="shared" si="14"/>
        <v>100</v>
      </c>
      <c r="X34" s="1279"/>
      <c r="Y34" s="3841"/>
      <c r="Z34" s="1269" t="str">
        <f t="shared" si="18"/>
        <v>建筑结构</v>
      </c>
      <c r="AA34" s="1296">
        <f t="shared" si="15"/>
        <v>1</v>
      </c>
      <c r="AB34" s="1296">
        <f t="shared" si="16"/>
        <v>1</v>
      </c>
      <c r="AC34" s="1296">
        <f t="shared" si="17"/>
        <v>1</v>
      </c>
    </row>
    <row r="35" spans="1:29" ht="15">
      <c r="A35" s="1161"/>
      <c r="B35" s="1107" t="s">
        <v>2087</v>
      </c>
      <c r="C35" s="1162"/>
      <c r="D35" s="1119">
        <v>100</v>
      </c>
      <c r="E35" s="1681"/>
      <c r="F35" s="1474">
        <f>SUMIF(107:107,E35,108:108)-SUMIF(107:107,C35,108:108)+100</f>
        <v>100</v>
      </c>
      <c r="G35" s="1162"/>
      <c r="H35" s="1119">
        <f>SUMIF(107:107,G35,108:108)-SUMIF(107:107,C35,108:108)+100</f>
        <v>100</v>
      </c>
      <c r="I35" s="1681"/>
      <c r="J35" s="1119">
        <f>SUMIF(107:107,I35,108:108)-SUMIF(107:107,C35,108:108)+100</f>
        <v>100</v>
      </c>
      <c r="K35" s="1695"/>
      <c r="L35" s="1249"/>
      <c r="M35" s="1237"/>
      <c r="N35" s="1237"/>
      <c r="O35" s="1237"/>
      <c r="P35" s="3837"/>
      <c r="Q35" s="664" t="str">
        <f t="shared" si="11"/>
        <v>建筑品质</v>
      </c>
      <c r="R35" s="1285" t="s">
        <v>2064</v>
      </c>
      <c r="S35" s="1286">
        <f t="shared" si="12"/>
        <v>100</v>
      </c>
      <c r="T35" s="1285" t="s">
        <v>2064</v>
      </c>
      <c r="U35" s="1286">
        <f t="shared" si="13"/>
        <v>100</v>
      </c>
      <c r="V35" s="1285" t="s">
        <v>2064</v>
      </c>
      <c r="W35" s="1286">
        <f t="shared" si="14"/>
        <v>100</v>
      </c>
      <c r="X35" s="1279"/>
      <c r="Y35" s="3841"/>
      <c r="Z35" s="1269" t="str">
        <f t="shared" si="18"/>
        <v>建筑品质</v>
      </c>
      <c r="AA35" s="1296">
        <f t="shared" si="15"/>
        <v>1</v>
      </c>
      <c r="AB35" s="1296">
        <f t="shared" si="16"/>
        <v>1</v>
      </c>
      <c r="AC35" s="1296">
        <f t="shared" si="17"/>
        <v>1</v>
      </c>
    </row>
    <row r="36" spans="1:29" ht="15">
      <c r="A36" s="1161"/>
      <c r="B36" s="1107" t="s">
        <v>2088</v>
      </c>
      <c r="C36" s="1162"/>
      <c r="D36" s="1119">
        <v>100</v>
      </c>
      <c r="E36" s="1681"/>
      <c r="F36" s="1474">
        <f>SUMIF(109:109,E36,110:110)-SUMIF(109:109,C36,110:110)+100</f>
        <v>100</v>
      </c>
      <c r="G36" s="1162"/>
      <c r="H36" s="1119">
        <f>SUMIF(109:109,G36,110:110)-SUMIF(109:109,C36,110:110)+100</f>
        <v>100</v>
      </c>
      <c r="I36" s="1681"/>
      <c r="J36" s="1119">
        <f>SUMIF(109:109,I36,110:110)-SUMIF(109:109,C36,110:110)+100</f>
        <v>100</v>
      </c>
      <c r="K36" s="1695"/>
      <c r="L36" s="1249"/>
      <c r="M36" s="1237"/>
      <c r="N36" s="1237"/>
      <c r="O36" s="1237"/>
      <c r="P36" s="3837"/>
      <c r="Q36" s="664" t="str">
        <f t="shared" si="11"/>
        <v>公共部分装修</v>
      </c>
      <c r="R36" s="1285" t="s">
        <v>2064</v>
      </c>
      <c r="S36" s="1286">
        <f t="shared" si="12"/>
        <v>100</v>
      </c>
      <c r="T36" s="1285" t="s">
        <v>2064</v>
      </c>
      <c r="U36" s="1286">
        <f t="shared" si="13"/>
        <v>100</v>
      </c>
      <c r="V36" s="1285" t="s">
        <v>2064</v>
      </c>
      <c r="W36" s="1286">
        <f t="shared" si="14"/>
        <v>100</v>
      </c>
      <c r="X36" s="1279"/>
      <c r="Y36" s="3841"/>
      <c r="Z36" s="1269" t="str">
        <f t="shared" si="18"/>
        <v>公共部分装修</v>
      </c>
      <c r="AA36" s="1296">
        <f t="shared" si="15"/>
        <v>1</v>
      </c>
      <c r="AB36" s="1296">
        <f t="shared" si="16"/>
        <v>1</v>
      </c>
      <c r="AC36" s="1296">
        <f t="shared" si="17"/>
        <v>1</v>
      </c>
    </row>
    <row r="37" spans="1:29" s="1069" customFormat="1" ht="15">
      <c r="A37" s="1163"/>
      <c r="B37" s="1107" t="s">
        <v>1202</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5"/>
      <c r="L37" s="1239"/>
      <c r="M37" s="1240"/>
      <c r="N37" s="1240"/>
      <c r="O37" s="1240"/>
      <c r="P37" s="3837"/>
      <c r="Q37" s="1284" t="str">
        <f t="shared" si="11"/>
        <v>成新度</v>
      </c>
      <c r="R37" s="1280" t="s">
        <v>2064</v>
      </c>
      <c r="S37" s="1281" t="e">
        <f t="shared" si="12"/>
        <v>#N/A</v>
      </c>
      <c r="T37" s="1280" t="s">
        <v>2064</v>
      </c>
      <c r="U37" s="1281" t="e">
        <f t="shared" si="13"/>
        <v>#N/A</v>
      </c>
      <c r="V37" s="1280" t="s">
        <v>2064</v>
      </c>
      <c r="W37" s="1281" t="e">
        <f t="shared" si="14"/>
        <v>#N/A</v>
      </c>
      <c r="X37" s="1282"/>
      <c r="Y37" s="3841"/>
      <c r="Z37" s="1295" t="str">
        <f t="shared" si="18"/>
        <v>成新度</v>
      </c>
      <c r="AA37" s="1294" t="e">
        <f t="shared" si="15"/>
        <v>#N/A</v>
      </c>
      <c r="AB37" s="1294" t="e">
        <f t="shared" si="16"/>
        <v>#N/A</v>
      </c>
      <c r="AC37" s="1294" t="e">
        <f t="shared" si="17"/>
        <v>#N/A</v>
      </c>
    </row>
    <row r="38" spans="1:29" ht="15">
      <c r="A38" s="1161"/>
      <c r="B38" s="1107" t="s">
        <v>2089</v>
      </c>
      <c r="C38" s="1162"/>
      <c r="D38" s="1119">
        <v>100</v>
      </c>
      <c r="E38" s="1681"/>
      <c r="F38" s="1474">
        <f>SUMIF(114:114,E38,115:115)-SUMIF(114:114,C38,115:115)+100</f>
        <v>100</v>
      </c>
      <c r="G38" s="1162"/>
      <c r="H38" s="1119">
        <f>SUMIF(114:114,G38,115:115)-SUMIF(114:114,C38,115:115)+100</f>
        <v>100</v>
      </c>
      <c r="I38" s="1681"/>
      <c r="J38" s="1119">
        <f>SUMIF(114:114,I38,115:115)-SUMIF(114:114,C38,115:115)+100</f>
        <v>100</v>
      </c>
      <c r="K38" s="1695"/>
      <c r="L38" s="1249"/>
      <c r="M38" s="1237"/>
      <c r="N38" s="1237"/>
      <c r="O38" s="1237"/>
      <c r="P38" s="3837" t="s">
        <v>2084</v>
      </c>
      <c r="Q38" s="664" t="str">
        <f t="shared" si="11"/>
        <v>物业管理</v>
      </c>
      <c r="R38" s="1285" t="s">
        <v>2064</v>
      </c>
      <c r="S38" s="1286">
        <f t="shared" si="12"/>
        <v>100</v>
      </c>
      <c r="T38" s="1285" t="s">
        <v>2064</v>
      </c>
      <c r="U38" s="1286">
        <f t="shared" si="13"/>
        <v>100</v>
      </c>
      <c r="V38" s="1285" t="s">
        <v>2064</v>
      </c>
      <c r="W38" s="1286">
        <f t="shared" si="14"/>
        <v>100</v>
      </c>
      <c r="X38" s="1279"/>
      <c r="Y38" s="3841" t="s">
        <v>2084</v>
      </c>
      <c r="Z38" s="1269" t="str">
        <f t="shared" si="18"/>
        <v>物业管理</v>
      </c>
      <c r="AA38" s="1296">
        <f t="shared" si="15"/>
        <v>1</v>
      </c>
      <c r="AB38" s="1296">
        <f t="shared" si="16"/>
        <v>1</v>
      </c>
      <c r="AC38" s="1296">
        <f t="shared" si="17"/>
        <v>1</v>
      </c>
    </row>
    <row r="39" spans="1:29" ht="15">
      <c r="A39" s="1161"/>
      <c r="B39" s="1107" t="s">
        <v>2090</v>
      </c>
      <c r="C39" s="1162"/>
      <c r="D39" s="1119">
        <v>100</v>
      </c>
      <c r="E39" s="1681"/>
      <c r="F39" s="1474">
        <f>SUMIF(116:116,E39,117:117)-SUMIF(116:116,C39,117:117)+100</f>
        <v>100</v>
      </c>
      <c r="G39" s="1162"/>
      <c r="H39" s="1119">
        <f>SUMIF(116:116,G39,117:117)-SUMIF(116:116,C39,117:117)+100</f>
        <v>100</v>
      </c>
      <c r="I39" s="1681"/>
      <c r="J39" s="1119">
        <f>SUMIF(116:116,I39,117:117)-SUMIF(116:116,C39,117:117)+100</f>
        <v>100</v>
      </c>
      <c r="K39" s="1695"/>
      <c r="L39" s="1249"/>
      <c r="M39" s="1237"/>
      <c r="N39" s="1237"/>
      <c r="O39" s="1237"/>
      <c r="P39" s="3837"/>
      <c r="Q39" s="664" t="str">
        <f t="shared" si="11"/>
        <v>市政基础设施</v>
      </c>
      <c r="R39" s="1285" t="s">
        <v>2064</v>
      </c>
      <c r="S39" s="1286">
        <f t="shared" si="12"/>
        <v>100</v>
      </c>
      <c r="T39" s="1285" t="s">
        <v>2064</v>
      </c>
      <c r="U39" s="1286">
        <f t="shared" si="13"/>
        <v>100</v>
      </c>
      <c r="V39" s="1285" t="s">
        <v>2064</v>
      </c>
      <c r="W39" s="1286">
        <f t="shared" si="14"/>
        <v>100</v>
      </c>
      <c r="X39" s="1279"/>
      <c r="Y39" s="3841"/>
      <c r="Z39" s="1269" t="str">
        <f t="shared" si="18"/>
        <v>市政基础设施</v>
      </c>
      <c r="AA39" s="1296">
        <f t="shared" si="15"/>
        <v>1</v>
      </c>
      <c r="AB39" s="1296">
        <f t="shared" si="16"/>
        <v>1</v>
      </c>
      <c r="AC39" s="1296">
        <f t="shared" si="17"/>
        <v>1</v>
      </c>
    </row>
    <row r="40" spans="1:29" ht="15">
      <c r="A40" s="1161"/>
      <c r="B40" s="1107" t="s">
        <v>2091</v>
      </c>
      <c r="C40" s="1162"/>
      <c r="D40" s="1119">
        <v>100</v>
      </c>
      <c r="E40" s="1681"/>
      <c r="F40" s="1474">
        <f>SUMIF(118:118,E40,119:119)-SUMIF(118:118,C40,119:119)+100</f>
        <v>100</v>
      </c>
      <c r="G40" s="1162"/>
      <c r="H40" s="1119">
        <f>SUMIF(118:118,G40,119:119)-SUMIF(118:118,C40,119:119)+100</f>
        <v>100</v>
      </c>
      <c r="I40" s="1681"/>
      <c r="J40" s="1119">
        <f>SUMIF(118:118,I40,119:119)-SUMIF(118:118,C40,119:119)+100</f>
        <v>100</v>
      </c>
      <c r="K40" s="1695"/>
      <c r="L40" s="1249"/>
      <c r="M40" s="1237"/>
      <c r="N40" s="1237"/>
      <c r="O40" s="1237"/>
      <c r="P40" s="3837"/>
      <c r="Q40" s="664" t="str">
        <f t="shared" si="11"/>
        <v>房型</v>
      </c>
      <c r="R40" s="1285" t="s">
        <v>2064</v>
      </c>
      <c r="S40" s="1286">
        <f t="shared" si="12"/>
        <v>100</v>
      </c>
      <c r="T40" s="1285" t="s">
        <v>2064</v>
      </c>
      <c r="U40" s="1286">
        <f t="shared" si="13"/>
        <v>100</v>
      </c>
      <c r="V40" s="1285" t="s">
        <v>2064</v>
      </c>
      <c r="W40" s="1286">
        <f t="shared" si="14"/>
        <v>100</v>
      </c>
      <c r="X40" s="1279"/>
      <c r="Y40" s="3841"/>
      <c r="Z40" s="1269" t="str">
        <f t="shared" si="18"/>
        <v>房型</v>
      </c>
      <c r="AA40" s="1296">
        <f t="shared" si="15"/>
        <v>1</v>
      </c>
      <c r="AB40" s="1296">
        <f t="shared" si="16"/>
        <v>1</v>
      </c>
      <c r="AC40" s="1296">
        <f t="shared" si="17"/>
        <v>1</v>
      </c>
    </row>
    <row r="41" spans="1:29" s="1071" customFormat="1" ht="28.5">
      <c r="A41" s="1166"/>
      <c r="B41" s="1107" t="s">
        <v>2092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6"/>
      <c r="L41" s="1247"/>
      <c r="M41" s="1256"/>
      <c r="N41" s="1256"/>
      <c r="O41" s="1256"/>
      <c r="P41" s="3837"/>
      <c r="Q41" s="1513" t="str">
        <f t="shared" si="11"/>
        <v>单套/主力户型建筑面积</v>
      </c>
      <c r="R41" s="1287" t="s">
        <v>2064</v>
      </c>
      <c r="S41" s="1288">
        <f t="shared" si="12"/>
        <v>100</v>
      </c>
      <c r="T41" s="1287" t="s">
        <v>2064</v>
      </c>
      <c r="U41" s="1288">
        <f t="shared" si="13"/>
        <v>100</v>
      </c>
      <c r="V41" s="1287" t="s">
        <v>2064</v>
      </c>
      <c r="W41" s="1288">
        <f t="shared" si="14"/>
        <v>100</v>
      </c>
      <c r="X41" s="1289"/>
      <c r="Y41" s="3841"/>
      <c r="Z41" s="1297" t="str">
        <f t="shared" si="18"/>
        <v>单套/主力户型建筑面积</v>
      </c>
      <c r="AA41" s="1296">
        <f t="shared" si="15"/>
        <v>1</v>
      </c>
      <c r="AB41" s="1296">
        <f t="shared" si="16"/>
        <v>1</v>
      </c>
      <c r="AC41" s="1296">
        <f t="shared" si="17"/>
        <v>1</v>
      </c>
    </row>
    <row r="42" spans="1:29" ht="15">
      <c r="A42" s="1161"/>
      <c r="B42" s="1107" t="s">
        <v>2093</v>
      </c>
      <c r="C42" s="1162"/>
      <c r="D42" s="1119">
        <v>100</v>
      </c>
      <c r="E42" s="1681"/>
      <c r="F42" s="1474">
        <f>SUMIF(122:122,E42,123:123)-SUMIF(122:122,C42,123:123)+100</f>
        <v>100</v>
      </c>
      <c r="G42" s="1162"/>
      <c r="H42" s="1119">
        <f>SUMIF(122:122,G42,123:123)-SUMIF(122:122,C42,123:123)+100</f>
        <v>100</v>
      </c>
      <c r="I42" s="1681"/>
      <c r="J42" s="1119">
        <f>SUMIF(122:122,I42,123:123)-SUMIF(122:122,C42,123:123)+100</f>
        <v>100</v>
      </c>
      <c r="K42" s="1695"/>
      <c r="L42" s="1249"/>
      <c r="M42" s="1237"/>
      <c r="N42" s="1237"/>
      <c r="O42" s="1237"/>
      <c r="P42" s="3837"/>
      <c r="Q42" s="664" t="str">
        <f t="shared" si="11"/>
        <v>内部装修</v>
      </c>
      <c r="R42" s="1285" t="s">
        <v>2064</v>
      </c>
      <c r="S42" s="1286">
        <f t="shared" si="12"/>
        <v>100</v>
      </c>
      <c r="T42" s="1285" t="s">
        <v>2064</v>
      </c>
      <c r="U42" s="1286">
        <f t="shared" si="13"/>
        <v>100</v>
      </c>
      <c r="V42" s="1285" t="s">
        <v>2064</v>
      </c>
      <c r="W42" s="1286">
        <f t="shared" si="14"/>
        <v>100</v>
      </c>
      <c r="X42" s="1279"/>
      <c r="Y42" s="3841"/>
      <c r="Z42" s="1269" t="str">
        <f t="shared" si="18"/>
        <v>内部装修</v>
      </c>
      <c r="AA42" s="1296">
        <f t="shared" si="15"/>
        <v>1</v>
      </c>
      <c r="AB42" s="1296">
        <f t="shared" si="16"/>
        <v>1</v>
      </c>
      <c r="AC42" s="1296">
        <f t="shared" si="17"/>
        <v>1</v>
      </c>
    </row>
    <row r="43" spans="1:29" ht="15">
      <c r="A43" s="1161"/>
      <c r="B43" s="1107" t="s">
        <v>2094</v>
      </c>
      <c r="C43" s="1162"/>
      <c r="D43" s="1119">
        <v>100</v>
      </c>
      <c r="E43" s="1681"/>
      <c r="F43" s="1474">
        <f>SUMIF(124:124,E43,125:125)-SUMIF(124:124,C43,125:125)+100</f>
        <v>100</v>
      </c>
      <c r="G43" s="1162"/>
      <c r="H43" s="1119">
        <f>SUMIF(124:124,G43,125:125)-SUMIF(124:124,C43,125:125)+100</f>
        <v>100</v>
      </c>
      <c r="I43" s="1681"/>
      <c r="J43" s="1119">
        <f>SUMIF(124:124,I43,125:125)-SUMIF(124:124,C43,125:125)+100</f>
        <v>100</v>
      </c>
      <c r="K43" s="1695"/>
      <c r="L43" s="1249"/>
      <c r="M43" s="1237"/>
      <c r="N43" s="1237"/>
      <c r="O43" s="1237"/>
      <c r="P43" s="3837"/>
      <c r="Q43" s="664" t="str">
        <f t="shared" si="11"/>
        <v>内部装修维护情况</v>
      </c>
      <c r="R43" s="1285" t="s">
        <v>2064</v>
      </c>
      <c r="S43" s="1286">
        <f t="shared" si="12"/>
        <v>100</v>
      </c>
      <c r="T43" s="1285" t="s">
        <v>2064</v>
      </c>
      <c r="U43" s="1286">
        <f t="shared" si="13"/>
        <v>100</v>
      </c>
      <c r="V43" s="1285" t="s">
        <v>2064</v>
      </c>
      <c r="W43" s="1286">
        <f t="shared" si="14"/>
        <v>100</v>
      </c>
      <c r="X43" s="1279"/>
      <c r="Y43" s="384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6"/>
      <c r="L44" s="1239"/>
      <c r="M44" s="1240"/>
      <c r="N44" s="1240"/>
      <c r="O44" s="1240"/>
      <c r="P44" s="3837"/>
      <c r="Q44" s="1284">
        <f t="shared" si="11"/>
        <v>111</v>
      </c>
      <c r="R44" s="1280" t="s">
        <v>2064</v>
      </c>
      <c r="S44" s="1281">
        <f t="shared" si="12"/>
        <v>100</v>
      </c>
      <c r="T44" s="1280" t="s">
        <v>2064</v>
      </c>
      <c r="U44" s="1281">
        <f t="shared" si="13"/>
        <v>100</v>
      </c>
      <c r="V44" s="1280" t="s">
        <v>2064</v>
      </c>
      <c r="W44" s="1281">
        <f t="shared" si="14"/>
        <v>100</v>
      </c>
      <c r="X44" s="1282"/>
      <c r="Y44" s="384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6"/>
      <c r="L45" s="1249"/>
      <c r="M45" s="1237"/>
      <c r="N45" s="1237"/>
      <c r="O45" s="1237"/>
      <c r="P45" s="3837"/>
      <c r="Q45" s="664">
        <f t="shared" si="11"/>
        <v>111</v>
      </c>
      <c r="R45" s="1285" t="s">
        <v>2064</v>
      </c>
      <c r="S45" s="1286">
        <f t="shared" si="12"/>
        <v>100</v>
      </c>
      <c r="T45" s="1285" t="s">
        <v>2064</v>
      </c>
      <c r="U45" s="1286">
        <f t="shared" si="13"/>
        <v>100</v>
      </c>
      <c r="V45" s="1285" t="s">
        <v>2064</v>
      </c>
      <c r="W45" s="1286">
        <f t="shared" si="14"/>
        <v>100</v>
      </c>
      <c r="X45" s="1279"/>
      <c r="Y45" s="384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6"/>
      <c r="L46" s="1249"/>
      <c r="M46" s="1237"/>
      <c r="N46" s="1237"/>
      <c r="O46" s="1237"/>
      <c r="P46" s="3838"/>
      <c r="Q46" s="664">
        <f t="shared" si="11"/>
        <v>111</v>
      </c>
      <c r="R46" s="1285" t="s">
        <v>2064</v>
      </c>
      <c r="S46" s="1286">
        <f t="shared" si="12"/>
        <v>100</v>
      </c>
      <c r="T46" s="1285" t="s">
        <v>2064</v>
      </c>
      <c r="U46" s="1286">
        <f t="shared" si="13"/>
        <v>100</v>
      </c>
      <c r="V46" s="1285" t="s">
        <v>2064</v>
      </c>
      <c r="W46" s="1286">
        <f t="shared" si="14"/>
        <v>100</v>
      </c>
      <c r="X46" s="1279"/>
      <c r="Y46" s="3842"/>
      <c r="Z46" s="1269">
        <f t="shared" si="18"/>
        <v>111</v>
      </c>
      <c r="AA46" s="1296">
        <f t="shared" si="15"/>
        <v>1</v>
      </c>
      <c r="AB46" s="1296">
        <f t="shared" si="16"/>
        <v>1</v>
      </c>
      <c r="AC46" s="1296">
        <f t="shared" si="17"/>
        <v>1</v>
      </c>
    </row>
    <row r="47" spans="1:29" ht="15">
      <c r="A47" s="1168" t="s">
        <v>2095</v>
      </c>
      <c r="B47" s="1488"/>
      <c r="C47" s="1489" t="s">
        <v>124</v>
      </c>
      <c r="D47" s="1490"/>
      <c r="E47" s="1491"/>
      <c r="F47" s="1492"/>
      <c r="G47" s="1493"/>
      <c r="H47" s="1494"/>
      <c r="I47" s="1491"/>
      <c r="J47" s="1494"/>
      <c r="K47" s="1700"/>
      <c r="L47" s="1261"/>
      <c r="M47" s="1185"/>
      <c r="N47" s="1237"/>
      <c r="O47" s="1185"/>
      <c r="P47" s="3826" t="str">
        <f>A47</f>
        <v>成交单价（元/平方米）</v>
      </c>
      <c r="Q47" s="3826"/>
      <c r="R47" s="3827">
        <f>E47</f>
        <v>0</v>
      </c>
      <c r="S47" s="3827"/>
      <c r="T47" s="3827">
        <f>G47</f>
        <v>0</v>
      </c>
      <c r="U47" s="3827"/>
      <c r="V47" s="3827">
        <f>I47</f>
        <v>0</v>
      </c>
      <c r="W47" s="3827"/>
      <c r="X47" s="1225"/>
      <c r="Y47" s="1298"/>
      <c r="Z47" s="1225"/>
      <c r="AA47" s="1225"/>
      <c r="AB47" s="1225"/>
      <c r="AC47" s="1225"/>
    </row>
    <row r="48" spans="1:29" ht="15">
      <c r="A48" s="1176" t="s">
        <v>2096</v>
      </c>
      <c r="B48" s="1495"/>
      <c r="C48" s="1496" t="e">
        <f>R49</f>
        <v>#DIV/0!</v>
      </c>
      <c r="D48" s="1179" t="s">
        <v>2097</v>
      </c>
      <c r="E48" s="1497" t="e">
        <f>R48</f>
        <v>#DIV/0!</v>
      </c>
      <c r="F48" s="1180"/>
      <c r="G48" s="1496" t="e">
        <f>T48</f>
        <v>#DIV/0!</v>
      </c>
      <c r="H48" s="1180"/>
      <c r="I48" s="1497" t="e">
        <f>V48</f>
        <v>#DIV/0!</v>
      </c>
      <c r="J48" s="1180"/>
      <c r="K48" s="1701">
        <f>F48+H48+J48</f>
        <v>0</v>
      </c>
      <c r="L48" s="1261"/>
      <c r="M48" s="1185"/>
      <c r="N48" s="1185"/>
      <c r="O48" s="1185"/>
      <c r="P48" s="3826" t="str">
        <f>A48</f>
        <v>比较价值（元/平方米）</v>
      </c>
      <c r="Q48" s="3826"/>
      <c r="R48" s="3827" t="e">
        <f>IF(F1="售价",ROUND(PRODUCT(R47,AA7:AA46),0),ROUND(PRODUCT(R47,AA7:AA46),1))</f>
        <v>#DIV/0!</v>
      </c>
      <c r="S48" s="3827"/>
      <c r="T48" s="3827" t="e">
        <f>IF(F1="售价",ROUND(PRODUCT(T47,AB7:AB46),0),ROUND(PRODUCT(T47,AB7:AB46),1))</f>
        <v>#DIV/0!</v>
      </c>
      <c r="U48" s="3827"/>
      <c r="V48" s="3827" t="e">
        <f>IF(F1="售价",ROUND(PRODUCT(V47,AC7:AC46),0),ROUND(PRODUCT(V47,AC7:AC46),1))</f>
        <v>#DIV/0!</v>
      </c>
      <c r="W48" s="3827"/>
      <c r="X48" s="1225"/>
      <c r="Y48" s="1225"/>
      <c r="Z48" s="1225"/>
      <c r="AA48" s="1225"/>
      <c r="AB48" s="1225"/>
      <c r="AC48" s="1225"/>
    </row>
    <row r="49" spans="1:29" ht="15">
      <c r="A49" s="1182" t="s">
        <v>2098</v>
      </c>
      <c r="B49" s="1183"/>
      <c r="C49" s="1684" t="e">
        <f>R49</f>
        <v>#DIV/0!</v>
      </c>
      <c r="D49" s="1498"/>
      <c r="E49" s="1498"/>
      <c r="F49" s="1498"/>
      <c r="G49" s="1498"/>
      <c r="H49" s="1498"/>
      <c r="I49" s="1498"/>
      <c r="J49" s="1498"/>
      <c r="K49" s="1702"/>
      <c r="L49" s="1261"/>
      <c r="M49" s="1185"/>
      <c r="N49" s="1185"/>
      <c r="O49" s="1185"/>
      <c r="P49" s="3828" t="str">
        <f>A49</f>
        <v>估价对象XX用房的比较价值（楼面单价，元/平方米）</v>
      </c>
      <c r="Q49" s="3829"/>
      <c r="R49" s="3830" t="e">
        <f>IF(F1="售价",ROUND(IF(D48="简单平均",AVERAGE(R48:V48),R48*F48+T48*H48+V48*J48),0),ROUND(IF(D48="简单平均",AVERAGE(R48:V48),R48*F48+T48*H48+V48*J48),1))</f>
        <v>#DIV/0!</v>
      </c>
      <c r="S49" s="3830"/>
      <c r="T49" s="3830"/>
      <c r="U49" s="3830"/>
      <c r="V49" s="3830"/>
      <c r="W49" s="383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2099</v>
      </c>
      <c r="D52" s="709"/>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2100</v>
      </c>
      <c r="D53" s="708"/>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2101</v>
      </c>
      <c r="D54" s="708"/>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3"/>
    </row>
    <row r="55" spans="1:29" s="1072" customFormat="1">
      <c r="A55" s="1190"/>
      <c r="B55" s="1191"/>
      <c r="C55" s="1499"/>
      <c r="D55" s="1190"/>
      <c r="E55" s="1190"/>
      <c r="F55" s="1190"/>
      <c r="G55" s="1190"/>
      <c r="H55" s="1190"/>
      <c r="I55" s="1190"/>
      <c r="J55" s="1190"/>
      <c r="K55" s="1267"/>
      <c r="L55" s="1268"/>
      <c r="M55" s="1190"/>
      <c r="N55" s="1190"/>
      <c r="O55" s="1190"/>
      <c r="P55" s="1703"/>
    </row>
    <row r="56" spans="1:29">
      <c r="A56" s="1185"/>
      <c r="B56" s="1191"/>
      <c r="C56" s="1499"/>
      <c r="D56" s="1185"/>
      <c r="E56" s="1185"/>
      <c r="F56" s="1185"/>
      <c r="G56" s="1185"/>
      <c r="H56" s="1185"/>
      <c r="I56" s="1185"/>
      <c r="J56" s="1185"/>
      <c r="K56" s="1265"/>
      <c r="L56" s="1266"/>
      <c r="M56" s="1185"/>
      <c r="N56" s="1185"/>
      <c r="O56" s="1185"/>
    </row>
    <row r="57" spans="1:29" ht="21">
      <c r="A57" s="1224" t="s">
        <v>2102</v>
      </c>
      <c r="B57" s="1225"/>
      <c r="C57" s="1226"/>
      <c r="D57" s="1226"/>
      <c r="E57" s="1226"/>
      <c r="F57" s="1227"/>
      <c r="G57" s="1227"/>
      <c r="H57" s="1226"/>
      <c r="I57" s="1226"/>
      <c r="J57" s="1226"/>
      <c r="K57" s="1443"/>
      <c r="L57" s="1444"/>
      <c r="M57" s="1277"/>
      <c r="N57" s="1277"/>
      <c r="O57" s="1277"/>
      <c r="P57" s="1704"/>
      <c r="Q57" s="1613"/>
    </row>
    <row r="58" spans="1:29" s="1074" customFormat="1" ht="15">
      <c r="A58" s="1500" t="s">
        <v>2062</v>
      </c>
      <c r="B58" s="1501"/>
      <c r="C58" s="1685" t="str">
        <f>YEAR(C7)&amp;"-"&amp;MONTH(C7)</f>
        <v>2024-1</v>
      </c>
      <c r="D58" s="1503">
        <f>EDATE(C58,-1)</f>
        <v>45261</v>
      </c>
      <c r="E58" s="1503">
        <f>EDATE(D58,-1)</f>
        <v>45231</v>
      </c>
      <c r="F58" s="1503">
        <f t="shared" ref="F58:O58" si="19">EDATE(E58,-1)</f>
        <v>45200</v>
      </c>
      <c r="G58" s="1503">
        <f t="shared" si="19"/>
        <v>45170</v>
      </c>
      <c r="H58" s="1503">
        <f t="shared" si="19"/>
        <v>45139</v>
      </c>
      <c r="I58" s="1503">
        <f t="shared" si="19"/>
        <v>45108</v>
      </c>
      <c r="J58" s="1503">
        <f t="shared" si="19"/>
        <v>45078</v>
      </c>
      <c r="K58" s="1503">
        <f t="shared" si="19"/>
        <v>45047</v>
      </c>
      <c r="L58" s="1503">
        <f t="shared" si="19"/>
        <v>45017</v>
      </c>
      <c r="M58" s="1503">
        <f t="shared" si="19"/>
        <v>44986</v>
      </c>
      <c r="N58" s="1503">
        <f t="shared" si="19"/>
        <v>44958</v>
      </c>
      <c r="O58" s="1503">
        <f t="shared" si="19"/>
        <v>44927</v>
      </c>
      <c r="P58" s="1705"/>
    </row>
    <row r="59" spans="1:29" s="1069" customFormat="1" ht="15">
      <c r="A59" s="1504"/>
      <c r="B59" s="1686"/>
      <c r="C59" s="1505">
        <v>100</v>
      </c>
      <c r="D59" s="1644"/>
      <c r="E59" s="1314"/>
      <c r="F59" s="1314"/>
      <c r="G59" s="1314"/>
      <c r="H59" s="1314"/>
      <c r="I59" s="1314"/>
      <c r="J59" s="1314"/>
      <c r="K59" s="1314"/>
      <c r="L59" s="1314"/>
      <c r="M59" s="1512"/>
      <c r="N59" s="1314"/>
      <c r="O59" s="1512"/>
      <c r="P59" s="1706"/>
    </row>
    <row r="60" spans="1:29" s="1069" customFormat="1" ht="15">
      <c r="A60" s="1305" t="s">
        <v>2103</v>
      </c>
      <c r="B60" s="1306"/>
      <c r="C60" s="1307"/>
      <c r="D60" s="1308"/>
      <c r="E60" s="1308"/>
      <c r="F60" s="1308"/>
      <c r="G60" s="1308"/>
      <c r="H60" s="1308"/>
      <c r="I60" s="1308"/>
      <c r="J60" s="1308"/>
      <c r="K60" s="1308"/>
      <c r="L60" s="1308"/>
      <c r="M60" s="1356"/>
      <c r="N60" s="1308"/>
      <c r="O60" s="1356"/>
      <c r="P60" s="1706"/>
      <c r="Q60" s="1613"/>
    </row>
    <row r="61" spans="1:29" s="1069" customFormat="1" ht="15">
      <c r="A61" s="1309" t="s">
        <v>2065</v>
      </c>
      <c r="B61" s="1310"/>
      <c r="C61" s="1311" t="s">
        <v>2104</v>
      </c>
      <c r="D61" s="1312"/>
      <c r="E61" s="1312"/>
      <c r="F61" s="1312"/>
      <c r="G61" s="1312"/>
      <c r="H61" s="1312"/>
      <c r="I61" s="1312"/>
      <c r="J61" s="1312"/>
      <c r="K61" s="1312"/>
      <c r="L61" s="1358"/>
      <c r="M61" s="1359"/>
      <c r="N61" s="1616"/>
      <c r="O61" s="1616"/>
      <c r="P61" s="1707"/>
      <c r="Q61" s="1613"/>
    </row>
    <row r="62" spans="1:29" s="1069" customFormat="1" ht="15">
      <c r="A62" s="1309"/>
      <c r="B62" s="1310"/>
      <c r="C62" s="1644">
        <v>100</v>
      </c>
      <c r="D62" s="1314"/>
      <c r="E62" s="1314"/>
      <c r="F62" s="1314"/>
      <c r="G62" s="1314"/>
      <c r="H62" s="1314"/>
      <c r="I62" s="1314"/>
      <c r="J62" s="1314"/>
      <c r="K62" s="1314"/>
      <c r="L62" s="1314"/>
      <c r="M62" s="1362"/>
      <c r="N62" s="1616"/>
      <c r="O62" s="1616"/>
      <c r="P62" s="1706"/>
      <c r="Q62" s="1613"/>
    </row>
    <row r="63" spans="1:29">
      <c r="A63" s="1315" t="s">
        <v>2105</v>
      </c>
      <c r="B63" s="1316" t="s">
        <v>2068</v>
      </c>
      <c r="C63" s="1338">
        <f>C9</f>
        <v>0</v>
      </c>
      <c r="D63" s="1258"/>
      <c r="E63" s="1258"/>
      <c r="F63" s="1258"/>
      <c r="G63" s="1258"/>
      <c r="H63" s="1258"/>
      <c r="I63" s="1258"/>
      <c r="J63" s="1258"/>
      <c r="K63" s="1363"/>
      <c r="L63" s="1364"/>
      <c r="M63" s="1365"/>
      <c r="N63" s="1618"/>
      <c r="O63" s="1618"/>
      <c r="P63" s="1708"/>
      <c r="Q63" s="1613"/>
    </row>
    <row r="64" spans="1:29" ht="15">
      <c r="A64" s="1317"/>
      <c r="B64" s="1318"/>
      <c r="C64" s="1319">
        <v>100</v>
      </c>
      <c r="D64" s="1319"/>
      <c r="E64" s="1319"/>
      <c r="F64" s="1319"/>
      <c r="G64" s="1319"/>
      <c r="H64" s="1319"/>
      <c r="I64" s="1319"/>
      <c r="J64" s="1319"/>
      <c r="K64" s="1319"/>
      <c r="L64" s="1319"/>
      <c r="M64" s="1368"/>
      <c r="N64" s="1620"/>
      <c r="O64" s="1620"/>
      <c r="P64" s="1708"/>
      <c r="Q64" s="1613"/>
    </row>
    <row r="65" spans="1:17" ht="27">
      <c r="A65" s="1317"/>
      <c r="B65" s="1320" t="s">
        <v>2071</v>
      </c>
      <c r="C65" s="1345"/>
      <c r="D65" s="1345"/>
      <c r="E65" s="1345"/>
      <c r="F65" s="1345"/>
      <c r="G65" s="1345"/>
      <c r="H65" s="1345"/>
      <c r="I65" s="1345"/>
      <c r="J65" s="1345"/>
      <c r="K65" s="1345"/>
      <c r="L65" s="1345"/>
      <c r="M65" s="1345"/>
      <c r="N65" s="1620"/>
      <c r="O65" s="1620"/>
      <c r="P65" s="1708"/>
      <c r="Q65" s="1613"/>
    </row>
    <row r="66" spans="1:17" ht="15">
      <c r="A66" s="1317"/>
      <c r="B66" s="1322"/>
      <c r="C66" s="1319"/>
      <c r="D66" s="1319"/>
      <c r="E66" s="1319"/>
      <c r="F66" s="1319"/>
      <c r="G66" s="1319"/>
      <c r="H66" s="1319"/>
      <c r="I66" s="1319"/>
      <c r="J66" s="1319"/>
      <c r="K66" s="1319"/>
      <c r="L66" s="1319"/>
      <c r="M66" s="1368"/>
      <c r="N66" s="1620"/>
      <c r="O66" s="1620"/>
      <c r="P66" s="1708"/>
      <c r="Q66" s="1613"/>
    </row>
    <row r="67" spans="1:17" ht="15">
      <c r="A67" s="1317"/>
      <c r="B67" s="1324" t="s">
        <v>2072</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20"/>
      <c r="O67" s="1620"/>
      <c r="P67" s="1708"/>
      <c r="Q67" s="1613"/>
    </row>
    <row r="68" spans="1:17" ht="15">
      <c r="A68" s="1317"/>
      <c r="B68" s="1326"/>
      <c r="C68" s="1116"/>
      <c r="D68" s="1116"/>
      <c r="E68" s="1116"/>
      <c r="F68" s="1116"/>
      <c r="G68" s="1116"/>
      <c r="H68" s="1116"/>
      <c r="I68" s="1116"/>
      <c r="J68" s="1116"/>
      <c r="K68" s="1374"/>
      <c r="L68" s="1375"/>
      <c r="M68" s="1376"/>
      <c r="N68" s="1618"/>
      <c r="O68" s="1618"/>
      <c r="P68" s="1708"/>
      <c r="Q68" s="1613"/>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20"/>
      <c r="O69" s="1620"/>
      <c r="P69" s="1708"/>
      <c r="Q69" s="1613"/>
    </row>
    <row r="70" spans="1:17" s="1071" customFormat="1" ht="15">
      <c r="A70" s="1327"/>
      <c r="B70" s="1320">
        <f>B12</f>
        <v>111</v>
      </c>
      <c r="C70" s="1328"/>
      <c r="D70" s="1328"/>
      <c r="E70" s="1328"/>
      <c r="F70" s="1328"/>
      <c r="G70" s="1328"/>
      <c r="H70" s="1329"/>
      <c r="I70" s="1329"/>
      <c r="J70" s="1329"/>
      <c r="K70" s="1329"/>
      <c r="L70" s="1377"/>
      <c r="M70" s="1378"/>
      <c r="N70" s="1621"/>
      <c r="O70" s="1621"/>
      <c r="P70" s="1712"/>
      <c r="Q70" s="1623"/>
    </row>
    <row r="71" spans="1:17" s="1071" customFormat="1" ht="15">
      <c r="A71" s="1327"/>
      <c r="B71" s="1322"/>
      <c r="C71" s="1330"/>
      <c r="D71" s="1319"/>
      <c r="E71" s="1319"/>
      <c r="F71" s="1319"/>
      <c r="G71" s="1319"/>
      <c r="H71" s="1319"/>
      <c r="I71" s="1319"/>
      <c r="J71" s="1319"/>
      <c r="K71" s="1319"/>
      <c r="L71" s="1319"/>
      <c r="M71" s="1368"/>
      <c r="N71" s="1620"/>
      <c r="O71" s="1620"/>
      <c r="P71" s="1712"/>
      <c r="Q71" s="1623"/>
    </row>
    <row r="72" spans="1:17" s="1071" customFormat="1" ht="15">
      <c r="A72" s="1327"/>
      <c r="B72" s="1320">
        <f>B13</f>
        <v>111</v>
      </c>
      <c r="C72" s="1328"/>
      <c r="D72" s="1328"/>
      <c r="E72" s="1328"/>
      <c r="F72" s="1328"/>
      <c r="G72" s="1328"/>
      <c r="H72" s="1329"/>
      <c r="I72" s="1329"/>
      <c r="J72" s="1329"/>
      <c r="K72" s="1329"/>
      <c r="L72" s="1377"/>
      <c r="M72" s="1378"/>
      <c r="N72" s="1621"/>
      <c r="O72" s="1621"/>
      <c r="P72" s="1713"/>
      <c r="Q72" s="1632"/>
    </row>
    <row r="73" spans="1:17" s="1071" customFormat="1" ht="15">
      <c r="A73" s="1327"/>
      <c r="B73" s="1322"/>
      <c r="C73" s="1330"/>
      <c r="D73" s="1330"/>
      <c r="E73" s="1330"/>
      <c r="F73" s="1330"/>
      <c r="G73" s="1330"/>
      <c r="H73" s="1331"/>
      <c r="I73" s="1331"/>
      <c r="J73" s="1331"/>
      <c r="K73" s="1331"/>
      <c r="L73" s="1331"/>
      <c r="M73" s="1381"/>
      <c r="N73" s="1621"/>
      <c r="O73" s="1621"/>
      <c r="P73" s="1712"/>
      <c r="Q73" s="1623"/>
    </row>
    <row r="74" spans="1:17" s="1071" customFormat="1" ht="15">
      <c r="A74" s="1327"/>
      <c r="B74" s="1324">
        <f>B14</f>
        <v>111</v>
      </c>
      <c r="C74" s="1328"/>
      <c r="D74" s="1328"/>
      <c r="E74" s="1328"/>
      <c r="F74" s="1328"/>
      <c r="G74" s="1312"/>
      <c r="H74" s="1332"/>
      <c r="I74" s="1332"/>
      <c r="J74" s="1332"/>
      <c r="K74" s="1332"/>
      <c r="L74" s="1382"/>
      <c r="M74" s="1383"/>
      <c r="N74" s="1621"/>
      <c r="O74" s="1621"/>
      <c r="P74" s="1714"/>
      <c r="Q74" s="1623"/>
    </row>
    <row r="75" spans="1:17" s="1071" customFormat="1" ht="15">
      <c r="A75" s="1333"/>
      <c r="B75" s="1334"/>
      <c r="C75" s="1335"/>
      <c r="D75" s="1335"/>
      <c r="E75" s="1335"/>
      <c r="F75" s="1335"/>
      <c r="G75" s="1335"/>
      <c r="H75" s="1336"/>
      <c r="I75" s="1336"/>
      <c r="J75" s="1336"/>
      <c r="K75" s="1336"/>
      <c r="L75" s="1336"/>
      <c r="M75" s="1385"/>
      <c r="N75" s="1621"/>
      <c r="O75" s="1621"/>
      <c r="P75" s="1712"/>
      <c r="Q75" s="1623"/>
    </row>
    <row r="76" spans="1:17">
      <c r="A76" s="1315" t="s">
        <v>2073</v>
      </c>
      <c r="B76" s="1316" t="s">
        <v>2074</v>
      </c>
      <c r="C76" s="1337" t="s">
        <v>2106</v>
      </c>
      <c r="D76" s="1337" t="s">
        <v>2107</v>
      </c>
      <c r="E76" s="1337" t="s">
        <v>2108</v>
      </c>
      <c r="F76" s="1337" t="s">
        <v>2109</v>
      </c>
      <c r="G76" s="1337" t="s">
        <v>2110</v>
      </c>
      <c r="H76" s="1338"/>
      <c r="I76" s="1338"/>
      <c r="J76" s="1338"/>
      <c r="K76" s="1386"/>
      <c r="L76" s="1387"/>
      <c r="M76" s="1388"/>
      <c r="N76" s="1618"/>
      <c r="O76" s="1618"/>
      <c r="P76" s="1715"/>
      <c r="Q76" s="1613"/>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20"/>
      <c r="O77" s="1620"/>
      <c r="P77" s="1708"/>
      <c r="Q77" s="1613"/>
    </row>
    <row r="78" spans="1:17" ht="15">
      <c r="A78" s="1317"/>
      <c r="B78" s="1320" t="s">
        <v>2076</v>
      </c>
      <c r="C78" s="1339" t="s">
        <v>2106</v>
      </c>
      <c r="D78" s="1339" t="s">
        <v>2107</v>
      </c>
      <c r="E78" s="1339" t="s">
        <v>2108</v>
      </c>
      <c r="F78" s="1339" t="s">
        <v>2109</v>
      </c>
      <c r="G78" s="1339" t="s">
        <v>2110</v>
      </c>
      <c r="H78" s="1321"/>
      <c r="I78" s="1321"/>
      <c r="J78" s="1321"/>
      <c r="K78" s="1370"/>
      <c r="L78" s="1371"/>
      <c r="M78" s="1372"/>
      <c r="N78" s="1618"/>
      <c r="O78" s="1618"/>
      <c r="P78" s="1708"/>
      <c r="Q78" s="1613"/>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20"/>
      <c r="O79" s="1620"/>
      <c r="P79" s="1708"/>
      <c r="Q79" s="1613"/>
    </row>
    <row r="80" spans="1:17" ht="15">
      <c r="A80" s="1317"/>
      <c r="B80" s="1320" t="s">
        <v>2077</v>
      </c>
      <c r="C80" s="1339" t="s">
        <v>2106</v>
      </c>
      <c r="D80" s="1339" t="s">
        <v>2107</v>
      </c>
      <c r="E80" s="1339" t="s">
        <v>2108</v>
      </c>
      <c r="F80" s="1339" t="s">
        <v>2109</v>
      </c>
      <c r="G80" s="1339" t="s">
        <v>2110</v>
      </c>
      <c r="H80" s="1321"/>
      <c r="I80" s="1321"/>
      <c r="J80" s="1321"/>
      <c r="K80" s="1370"/>
      <c r="L80" s="1371"/>
      <c r="M80" s="1372"/>
      <c r="N80" s="1618"/>
      <c r="O80" s="1618"/>
      <c r="P80" s="1708"/>
      <c r="Q80" s="1613"/>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20"/>
      <c r="O81" s="1620"/>
      <c r="P81" s="1708"/>
      <c r="Q81" s="1613"/>
    </row>
    <row r="82" spans="1:17" ht="15">
      <c r="A82" s="1317"/>
      <c r="B82" s="1324" t="s">
        <v>2078</v>
      </c>
      <c r="C82" s="1321" t="s">
        <v>2111</v>
      </c>
      <c r="D82" s="1321" t="s">
        <v>2112</v>
      </c>
      <c r="E82" s="1321" t="s">
        <v>2113</v>
      </c>
      <c r="F82" s="1321" t="s">
        <v>2114</v>
      </c>
      <c r="G82" s="1321" t="s">
        <v>2115</v>
      </c>
      <c r="H82" s="1321"/>
      <c r="I82" s="1321"/>
      <c r="J82" s="1321"/>
      <c r="K82" s="1321"/>
      <c r="L82" s="1321"/>
      <c r="M82" s="1517"/>
      <c r="N82" s="1620"/>
      <c r="O82" s="1620"/>
      <c r="P82" s="1708"/>
      <c r="Q82" s="1613"/>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20"/>
      <c r="O83" s="1620"/>
      <c r="P83" s="1708"/>
      <c r="Q83" s="1613"/>
    </row>
    <row r="84" spans="1:17" ht="15">
      <c r="A84" s="1317"/>
      <c r="B84" s="1320" t="s">
        <v>2079</v>
      </c>
      <c r="C84" s="1339" t="s">
        <v>2106</v>
      </c>
      <c r="D84" s="1339" t="s">
        <v>2107</v>
      </c>
      <c r="E84" s="1339" t="s">
        <v>2108</v>
      </c>
      <c r="F84" s="1339" t="s">
        <v>2109</v>
      </c>
      <c r="G84" s="1339" t="s">
        <v>2110</v>
      </c>
      <c r="H84" s="1321"/>
      <c r="I84" s="1321"/>
      <c r="J84" s="1321"/>
      <c r="K84" s="1370"/>
      <c r="L84" s="1371"/>
      <c r="M84" s="1372"/>
      <c r="N84" s="1618"/>
      <c r="O84" s="1618"/>
      <c r="P84" s="1708"/>
      <c r="Q84" s="1613"/>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20"/>
      <c r="O85" s="1620"/>
      <c r="P85" s="1708"/>
      <c r="Q85" s="1613"/>
    </row>
    <row r="86" spans="1:17" s="1069" customFormat="1" ht="15">
      <c r="A86" s="1340"/>
      <c r="B86" s="1320" t="s">
        <v>2080</v>
      </c>
      <c r="C86" s="1328"/>
      <c r="D86" s="1328"/>
      <c r="E86" s="1328"/>
      <c r="F86" s="1328"/>
      <c r="G86" s="1328"/>
      <c r="H86" s="1328"/>
      <c r="I86" s="1328"/>
      <c r="J86" s="1328"/>
      <c r="K86" s="1328"/>
      <c r="L86" s="1518"/>
      <c r="M86" s="1519"/>
      <c r="N86" s="1616"/>
      <c r="O86" s="1616"/>
      <c r="P86" s="1708"/>
      <c r="Q86" s="1613"/>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20"/>
      <c r="O87" s="1620"/>
      <c r="P87" s="1708"/>
      <c r="Q87" s="1613"/>
    </row>
    <row r="88" spans="1:17" s="1069" customFormat="1" ht="15">
      <c r="A88" s="1340"/>
      <c r="B88" s="1320" t="s">
        <v>2081</v>
      </c>
      <c r="C88" s="1328"/>
      <c r="D88" s="1328"/>
      <c r="E88" s="1328"/>
      <c r="F88" s="1650"/>
      <c r="G88" s="1328"/>
      <c r="H88" s="1328"/>
      <c r="I88" s="1328"/>
      <c r="J88" s="1328"/>
      <c r="K88" s="1328"/>
      <c r="L88" s="1328"/>
      <c r="M88" s="1519"/>
      <c r="N88" s="1616"/>
      <c r="O88" s="1616"/>
      <c r="P88" s="1708"/>
      <c r="Q88" s="1613"/>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20"/>
      <c r="O89" s="1620"/>
      <c r="P89" s="1708"/>
      <c r="Q89" s="1613"/>
    </row>
    <row r="90" spans="1:17" s="1071" customFormat="1" ht="15">
      <c r="A90" s="1327"/>
      <c r="B90" s="1320">
        <f>B27</f>
        <v>111</v>
      </c>
      <c r="C90" s="1328"/>
      <c r="D90" s="1328"/>
      <c r="E90" s="1328"/>
      <c r="F90" s="1328"/>
      <c r="G90" s="1328"/>
      <c r="H90" s="1329"/>
      <c r="I90" s="1329"/>
      <c r="J90" s="1329"/>
      <c r="K90" s="1329"/>
      <c r="L90" s="1377"/>
      <c r="M90" s="1378"/>
      <c r="N90" s="1621"/>
      <c r="O90" s="1621"/>
      <c r="P90" s="1712"/>
      <c r="Q90" s="1623"/>
    </row>
    <row r="91" spans="1:17" s="1071" customFormat="1" ht="15">
      <c r="A91" s="1327"/>
      <c r="B91" s="1322"/>
      <c r="C91" s="1330"/>
      <c r="D91" s="1330"/>
      <c r="E91" s="1330"/>
      <c r="F91" s="1330"/>
      <c r="G91" s="1330"/>
      <c r="H91" s="1331"/>
      <c r="I91" s="1331"/>
      <c r="J91" s="1331"/>
      <c r="K91" s="1331"/>
      <c r="L91" s="1331"/>
      <c r="M91" s="1381"/>
      <c r="N91" s="1621"/>
      <c r="O91" s="1621"/>
      <c r="P91" s="1712"/>
      <c r="Q91" s="1623"/>
    </row>
    <row r="92" spans="1:17" ht="15">
      <c r="A92" s="1317"/>
      <c r="B92" s="1320">
        <f>B28</f>
        <v>111</v>
      </c>
      <c r="C92" s="1328"/>
      <c r="D92" s="1328"/>
      <c r="E92" s="1328"/>
      <c r="F92" s="1328"/>
      <c r="G92" s="1345"/>
      <c r="H92" s="1345"/>
      <c r="I92" s="1345"/>
      <c r="J92" s="1345"/>
      <c r="K92" s="1396"/>
      <c r="L92" s="1397"/>
      <c r="M92" s="1398"/>
      <c r="N92" s="1618"/>
      <c r="O92" s="1618"/>
      <c r="P92" s="1708"/>
      <c r="Q92" s="1613"/>
    </row>
    <row r="93" spans="1:17" ht="15">
      <c r="A93" s="1317"/>
      <c r="B93" s="1322"/>
      <c r="C93" s="1330"/>
      <c r="D93" s="1319"/>
      <c r="E93" s="1319"/>
      <c r="F93" s="1319"/>
      <c r="G93" s="1319"/>
      <c r="H93" s="1319"/>
      <c r="I93" s="1319"/>
      <c r="J93" s="1319"/>
      <c r="K93" s="1319"/>
      <c r="L93" s="1319"/>
      <c r="M93" s="1368"/>
      <c r="N93" s="1620"/>
      <c r="O93" s="1620"/>
      <c r="P93" s="1708"/>
      <c r="Q93" s="1613"/>
    </row>
    <row r="94" spans="1:17" ht="15">
      <c r="A94" s="1317"/>
      <c r="B94" s="1320">
        <f>B29</f>
        <v>111</v>
      </c>
      <c r="C94" s="1328"/>
      <c r="D94" s="1328"/>
      <c r="E94" s="1328"/>
      <c r="F94" s="1328"/>
      <c r="G94" s="1345"/>
      <c r="H94" s="1345"/>
      <c r="I94" s="1345"/>
      <c r="J94" s="1345"/>
      <c r="K94" s="1396"/>
      <c r="L94" s="1397"/>
      <c r="M94" s="1398"/>
      <c r="N94" s="1618"/>
      <c r="O94" s="1618"/>
      <c r="P94" s="1708"/>
      <c r="Q94" s="1613"/>
    </row>
    <row r="95" spans="1:17" ht="15">
      <c r="A95" s="1317"/>
      <c r="B95" s="1322"/>
      <c r="C95" s="1330"/>
      <c r="D95" s="1330"/>
      <c r="E95" s="1330"/>
      <c r="F95" s="1330"/>
      <c r="G95" s="1319"/>
      <c r="H95" s="1319"/>
      <c r="I95" s="1319"/>
      <c r="J95" s="1319"/>
      <c r="K95" s="1319"/>
      <c r="L95" s="1319"/>
      <c r="M95" s="1368"/>
      <c r="N95" s="1620"/>
      <c r="O95" s="1620"/>
      <c r="P95" s="1708"/>
      <c r="Q95" s="1613"/>
    </row>
    <row r="96" spans="1:17" ht="15">
      <c r="A96" s="1317"/>
      <c r="B96" s="1320">
        <f>B30</f>
        <v>111</v>
      </c>
      <c r="C96" s="1328"/>
      <c r="D96" s="1328"/>
      <c r="E96" s="1328"/>
      <c r="F96" s="1328"/>
      <c r="G96" s="1345"/>
      <c r="H96" s="1345"/>
      <c r="I96" s="1345"/>
      <c r="J96" s="1345"/>
      <c r="K96" s="1396"/>
      <c r="L96" s="1397"/>
      <c r="M96" s="1398"/>
      <c r="N96" s="1618"/>
      <c r="O96" s="1618"/>
      <c r="P96" s="1708"/>
      <c r="Q96" s="1613"/>
    </row>
    <row r="97" spans="1:17" ht="15">
      <c r="A97" s="1317"/>
      <c r="B97" s="1322"/>
      <c r="C97" s="1335"/>
      <c r="D97" s="1335"/>
      <c r="E97" s="1335"/>
      <c r="F97" s="1335"/>
      <c r="G97" s="1319"/>
      <c r="H97" s="1319"/>
      <c r="I97" s="1319"/>
      <c r="J97" s="1319"/>
      <c r="K97" s="1319"/>
      <c r="L97" s="1319"/>
      <c r="M97" s="1368"/>
      <c r="N97" s="1620"/>
      <c r="O97" s="1620"/>
      <c r="P97" s="1708"/>
      <c r="Q97" s="1613"/>
    </row>
    <row r="98" spans="1:17" ht="15">
      <c r="A98" s="1317"/>
      <c r="B98" s="1324">
        <f>B31</f>
        <v>111</v>
      </c>
      <c r="C98" s="1346"/>
      <c r="D98" s="1346"/>
      <c r="E98" s="1346"/>
      <c r="F98" s="1346"/>
      <c r="G98" s="1346"/>
      <c r="H98" s="1346"/>
      <c r="I98" s="1346"/>
      <c r="J98" s="1346"/>
      <c r="K98" s="1399"/>
      <c r="L98" s="1400"/>
      <c r="M98" s="1401"/>
      <c r="N98" s="1618"/>
      <c r="O98" s="1618"/>
      <c r="P98" s="1708"/>
      <c r="Q98" s="1613"/>
    </row>
    <row r="99" spans="1:17" ht="15">
      <c r="A99" s="1625"/>
      <c r="B99" s="1334"/>
      <c r="C99" s="1347"/>
      <c r="D99" s="1347"/>
      <c r="E99" s="1347"/>
      <c r="F99" s="1347"/>
      <c r="G99" s="1347"/>
      <c r="H99" s="1347"/>
      <c r="I99" s="1347"/>
      <c r="J99" s="1347"/>
      <c r="K99" s="1347"/>
      <c r="L99" s="1347"/>
      <c r="M99" s="1402"/>
      <c r="N99" s="1620"/>
      <c r="O99" s="1620"/>
      <c r="P99" s="1708"/>
      <c r="Q99" s="1613"/>
    </row>
    <row r="100" spans="1:17">
      <c r="A100" s="1315" t="s">
        <v>2082</v>
      </c>
      <c r="B100" s="1316" t="s">
        <v>2083</v>
      </c>
      <c r="C100" s="1258"/>
      <c r="D100" s="1258"/>
      <c r="E100" s="1258"/>
      <c r="F100" s="1258"/>
      <c r="G100" s="1258"/>
      <c r="H100" s="1258"/>
      <c r="I100" s="1258"/>
      <c r="J100" s="1258"/>
      <c r="K100" s="1363"/>
      <c r="L100" s="1364"/>
      <c r="M100" s="1365"/>
      <c r="N100" s="1618"/>
      <c r="O100" s="1618"/>
      <c r="P100" s="1708"/>
      <c r="Q100" s="1613"/>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20"/>
      <c r="O101" s="1620"/>
      <c r="P101" s="1708"/>
      <c r="Q101" s="1613"/>
    </row>
    <row r="102" spans="1:17" ht="15">
      <c r="A102" s="1317"/>
      <c r="B102" s="1320" t="s">
        <v>2085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6"/>
      <c r="O102" s="1616"/>
      <c r="P102" s="1708"/>
      <c r="Q102" s="1613"/>
    </row>
    <row r="103" spans="1:17" s="1071" customFormat="1">
      <c r="A103" s="1348"/>
      <c r="B103" s="1349"/>
      <c r="C103" s="1304"/>
      <c r="D103" s="1304"/>
      <c r="E103" s="1304"/>
      <c r="F103" s="1304"/>
      <c r="G103" s="1304"/>
      <c r="H103" s="1304"/>
      <c r="I103" s="1304"/>
      <c r="J103" s="1403"/>
      <c r="K103" s="1403"/>
      <c r="L103" s="1404"/>
      <c r="M103" s="1405"/>
      <c r="N103" s="1621"/>
      <c r="O103" s="1621"/>
      <c r="P103" s="1712"/>
      <c r="Q103" s="1623"/>
    </row>
    <row r="104" spans="1:17" s="1071" customFormat="1" ht="15">
      <c r="A104" s="1327"/>
      <c r="B104" s="1322"/>
      <c r="C104" s="1330"/>
      <c r="D104" s="1319"/>
      <c r="E104" s="1319"/>
      <c r="F104" s="1319"/>
      <c r="G104" s="1319"/>
      <c r="H104" s="1319"/>
      <c r="I104" s="1319"/>
      <c r="J104" s="1319"/>
      <c r="K104" s="1319"/>
      <c r="L104" s="1319"/>
      <c r="M104" s="1319"/>
      <c r="N104" s="1620"/>
      <c r="O104" s="1620"/>
      <c r="P104" s="1712"/>
      <c r="Q104" s="1623"/>
    </row>
    <row r="105" spans="1:17">
      <c r="A105" s="1351"/>
      <c r="B105" s="1320" t="s">
        <v>2086</v>
      </c>
      <c r="C105" s="1328"/>
      <c r="D105" s="1328"/>
      <c r="E105" s="1345"/>
      <c r="F105" s="1345"/>
      <c r="G105" s="1345"/>
      <c r="H105" s="1345"/>
      <c r="I105" s="1345"/>
      <c r="J105" s="1345"/>
      <c r="K105" s="1396"/>
      <c r="L105" s="1397"/>
      <c r="M105" s="1398"/>
      <c r="N105" s="1618"/>
      <c r="O105" s="1618"/>
      <c r="P105" s="1708"/>
      <c r="Q105" s="1613"/>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20"/>
      <c r="O106" s="1620"/>
      <c r="P106" s="1708"/>
      <c r="Q106" s="1613"/>
    </row>
    <row r="107" spans="1:17">
      <c r="A107" s="1351"/>
      <c r="B107" s="1320" t="s">
        <v>2087</v>
      </c>
      <c r="C107" s="1345"/>
      <c r="D107" s="1345"/>
      <c r="E107" s="1345"/>
      <c r="F107" s="1345"/>
      <c r="G107" s="1345"/>
      <c r="H107" s="1345"/>
      <c r="I107" s="1345"/>
      <c r="J107" s="1345"/>
      <c r="K107" s="1396"/>
      <c r="L107" s="1397"/>
      <c r="M107" s="1398"/>
      <c r="N107" s="1618"/>
      <c r="O107" s="1618"/>
      <c r="P107" s="1708"/>
      <c r="Q107" s="1613"/>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20"/>
      <c r="O108" s="1620"/>
      <c r="P108" s="1708"/>
      <c r="Q108" s="1613"/>
    </row>
    <row r="109" spans="1:17">
      <c r="A109" s="1351"/>
      <c r="B109" s="1320" t="s">
        <v>2088</v>
      </c>
      <c r="C109" s="1328"/>
      <c r="D109" s="1328"/>
      <c r="E109" s="1328"/>
      <c r="F109" s="1345"/>
      <c r="G109" s="1345"/>
      <c r="H109" s="1345"/>
      <c r="I109" s="1345"/>
      <c r="J109" s="1345"/>
      <c r="K109" s="1396"/>
      <c r="L109" s="1397"/>
      <c r="M109" s="1398"/>
      <c r="N109" s="1618"/>
      <c r="O109" s="1618"/>
      <c r="P109" s="1708"/>
      <c r="Q109" s="1613"/>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20"/>
      <c r="O110" s="1620"/>
      <c r="P110" s="1708"/>
      <c r="Q110" s="1613"/>
    </row>
    <row r="111" spans="1:17" s="1071" customFormat="1">
      <c r="A111" s="1348"/>
      <c r="B111" s="1320" t="s">
        <v>1202</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21"/>
      <c r="O111" s="1621"/>
      <c r="P111" s="1712"/>
      <c r="Q111" s="1623"/>
    </row>
    <row r="112" spans="1:17" s="1071" customFormat="1">
      <c r="A112" s="1348"/>
      <c r="B112" s="1324"/>
      <c r="C112" s="842">
        <v>0.5</v>
      </c>
      <c r="D112" s="842">
        <v>0.6</v>
      </c>
      <c r="E112" s="842">
        <v>0.7</v>
      </c>
      <c r="F112" s="842">
        <v>0.8</v>
      </c>
      <c r="G112" s="842">
        <v>0.9</v>
      </c>
      <c r="H112" s="842">
        <v>1.0001</v>
      </c>
      <c r="I112" s="842"/>
      <c r="J112" s="1716"/>
      <c r="K112" s="1716"/>
      <c r="L112" s="1717"/>
      <c r="M112" s="1718"/>
      <c r="N112" s="1621"/>
      <c r="O112" s="1621"/>
      <c r="P112" s="1712"/>
      <c r="Q112" s="1623"/>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21"/>
      <c r="O113" s="1621"/>
      <c r="P113" s="1712"/>
      <c r="Q113" s="1623"/>
    </row>
    <row r="114" spans="1:17">
      <c r="A114" s="1351"/>
      <c r="B114" s="1320" t="s">
        <v>2089</v>
      </c>
      <c r="C114" s="1328"/>
      <c r="D114" s="1328"/>
      <c r="E114" s="1345"/>
      <c r="F114" s="1345"/>
      <c r="G114" s="1345"/>
      <c r="H114" s="1345"/>
      <c r="I114" s="1345"/>
      <c r="J114" s="1345"/>
      <c r="K114" s="1396"/>
      <c r="L114" s="1397"/>
      <c r="M114" s="1398"/>
      <c r="N114" s="1618"/>
      <c r="O114" s="1618"/>
      <c r="P114" s="1708"/>
      <c r="Q114" s="1613"/>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20"/>
      <c r="O115" s="1620"/>
      <c r="P115" s="1708"/>
      <c r="Q115" s="1613"/>
    </row>
    <row r="116" spans="1:17">
      <c r="A116" s="1351"/>
      <c r="B116" s="1320" t="s">
        <v>2090</v>
      </c>
      <c r="C116" s="1328"/>
      <c r="D116" s="1328"/>
      <c r="E116" s="1328"/>
      <c r="F116" s="1328"/>
      <c r="G116" s="1328"/>
      <c r="H116" s="1345"/>
      <c r="I116" s="1345"/>
      <c r="J116" s="1345"/>
      <c r="K116" s="1396"/>
      <c r="L116" s="1397"/>
      <c r="M116" s="1398"/>
      <c r="N116" s="1618"/>
      <c r="O116" s="1618"/>
      <c r="P116" s="1708"/>
      <c r="Q116" s="1613"/>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20"/>
      <c r="O117" s="1620"/>
      <c r="P117" s="1708"/>
      <c r="Q117" s="1613"/>
    </row>
    <row r="118" spans="1:17">
      <c r="A118" s="1351"/>
      <c r="B118" s="1320" t="s">
        <v>2091</v>
      </c>
      <c r="C118" s="1345"/>
      <c r="D118" s="1345"/>
      <c r="E118" s="1345"/>
      <c r="F118" s="1345"/>
      <c r="G118" s="1345"/>
      <c r="H118" s="1345"/>
      <c r="I118" s="1345"/>
      <c r="J118" s="1345"/>
      <c r="K118" s="1396"/>
      <c r="L118" s="1397"/>
      <c r="M118" s="1398"/>
      <c r="N118" s="1618"/>
      <c r="O118" s="1618"/>
      <c r="P118" s="1708"/>
      <c r="Q118" s="1613"/>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20"/>
      <c r="O119" s="1620"/>
      <c r="P119" s="1708"/>
      <c r="Q119" s="1613"/>
    </row>
    <row r="120" spans="1:17" s="1071" customFormat="1" ht="27.75">
      <c r="A120" s="1348"/>
      <c r="B120" s="1320" t="s">
        <v>2092</v>
      </c>
      <c r="C120" s="1328"/>
      <c r="D120" s="1328"/>
      <c r="E120" s="1328"/>
      <c r="F120" s="1328"/>
      <c r="G120" s="1328"/>
      <c r="H120" s="1328"/>
      <c r="I120" s="1328"/>
      <c r="J120" s="1328"/>
      <c r="K120" s="1328"/>
      <c r="L120" s="1518"/>
      <c r="M120" s="1519"/>
      <c r="N120" s="1621"/>
      <c r="O120" s="1621"/>
      <c r="P120" s="1712"/>
      <c r="Q120" s="1623"/>
    </row>
    <row r="121" spans="1:17" s="1071" customFormat="1" ht="15">
      <c r="A121" s="1327"/>
      <c r="B121" s="1318"/>
      <c r="C121" s="1330"/>
      <c r="D121" s="1319"/>
      <c r="E121" s="1319"/>
      <c r="F121" s="1319"/>
      <c r="G121" s="1319"/>
      <c r="H121" s="1319"/>
      <c r="I121" s="1319"/>
      <c r="J121" s="1319"/>
      <c r="K121" s="1319"/>
      <c r="L121" s="1319"/>
      <c r="M121" s="1319"/>
      <c r="N121" s="1621"/>
      <c r="O121" s="1621"/>
      <c r="P121" s="1712"/>
      <c r="Q121" s="1623"/>
    </row>
    <row r="122" spans="1:17">
      <c r="A122" s="1351"/>
      <c r="B122" s="1320" t="s">
        <v>2093</v>
      </c>
      <c r="C122" s="1328"/>
      <c r="D122" s="1328"/>
      <c r="E122" s="1328"/>
      <c r="F122" s="1345"/>
      <c r="G122" s="1345"/>
      <c r="H122" s="1345"/>
      <c r="I122" s="1345"/>
      <c r="J122" s="1345"/>
      <c r="K122" s="1396"/>
      <c r="L122" s="1397"/>
      <c r="M122" s="1398"/>
      <c r="N122" s="1618"/>
      <c r="O122" s="1618"/>
      <c r="P122" s="1708"/>
      <c r="Q122" s="1613"/>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20"/>
      <c r="O123" s="1620"/>
      <c r="P123" s="1708"/>
      <c r="Q123" s="1613"/>
    </row>
    <row r="124" spans="1:17">
      <c r="A124" s="1351"/>
      <c r="B124" s="1320" t="s">
        <v>2094</v>
      </c>
      <c r="C124" s="1339" t="s">
        <v>2106</v>
      </c>
      <c r="D124" s="1339" t="s">
        <v>2107</v>
      </c>
      <c r="E124" s="1339" t="s">
        <v>2108</v>
      </c>
      <c r="F124" s="1339" t="s">
        <v>2109</v>
      </c>
      <c r="G124" s="1339" t="s">
        <v>2110</v>
      </c>
      <c r="H124" s="1321"/>
      <c r="I124" s="1321"/>
      <c r="J124" s="1321"/>
      <c r="K124" s="1370"/>
      <c r="L124" s="1371"/>
      <c r="M124" s="1372"/>
      <c r="N124" s="1618"/>
      <c r="O124" s="1618"/>
      <c r="P124" s="1712"/>
      <c r="Q124" s="1613"/>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20"/>
      <c r="O125" s="1620"/>
      <c r="P125" s="1708"/>
      <c r="Q125" s="1613"/>
    </row>
    <row r="126" spans="1:17" s="1071" customFormat="1">
      <c r="A126" s="1348"/>
      <c r="B126" s="1320">
        <f>B44</f>
        <v>111</v>
      </c>
      <c r="C126" s="1328"/>
      <c r="D126" s="1328"/>
      <c r="E126" s="1328"/>
      <c r="F126" s="1328"/>
      <c r="G126" s="1328"/>
      <c r="H126" s="1329"/>
      <c r="I126" s="1329"/>
      <c r="J126" s="1329"/>
      <c r="K126" s="1329"/>
      <c r="L126" s="1377"/>
      <c r="M126" s="1378"/>
      <c r="N126" s="1621"/>
      <c r="O126" s="1621"/>
      <c r="P126" s="1712"/>
      <c r="Q126" s="1623"/>
    </row>
    <row r="127" spans="1:17" s="1071" customFormat="1" ht="15">
      <c r="A127" s="1327"/>
      <c r="B127" s="1322"/>
      <c r="C127" s="1330"/>
      <c r="D127" s="1319"/>
      <c r="E127" s="1319"/>
      <c r="F127" s="1319"/>
      <c r="G127" s="1330"/>
      <c r="H127" s="1331"/>
      <c r="I127" s="1331"/>
      <c r="J127" s="1331"/>
      <c r="K127" s="1331"/>
      <c r="L127" s="1331"/>
      <c r="M127" s="1381"/>
      <c r="N127" s="1621"/>
      <c r="O127" s="1621"/>
      <c r="P127" s="1712"/>
      <c r="Q127" s="1623"/>
    </row>
    <row r="128" spans="1:17">
      <c r="A128" s="1351"/>
      <c r="B128" s="1320">
        <f>B45</f>
        <v>111</v>
      </c>
      <c r="C128" s="1328"/>
      <c r="D128" s="1328"/>
      <c r="E128" s="1328"/>
      <c r="F128" s="1328"/>
      <c r="G128" s="1345"/>
      <c r="H128" s="1345"/>
      <c r="I128" s="1345"/>
      <c r="J128" s="1345"/>
      <c r="K128" s="1396"/>
      <c r="L128" s="1397"/>
      <c r="M128" s="1398"/>
      <c r="N128" s="1618"/>
      <c r="O128" s="1618"/>
      <c r="P128" s="1708"/>
      <c r="Q128" s="1613"/>
    </row>
    <row r="129" spans="1:17" ht="15">
      <c r="A129" s="1317"/>
      <c r="B129" s="1322"/>
      <c r="C129" s="1330"/>
      <c r="D129" s="1330"/>
      <c r="E129" s="1330"/>
      <c r="F129" s="1330"/>
      <c r="G129" s="1319"/>
      <c r="H129" s="1319"/>
      <c r="I129" s="1319"/>
      <c r="J129" s="1319"/>
      <c r="K129" s="1319"/>
      <c r="L129" s="1319"/>
      <c r="M129" s="1368"/>
      <c r="N129" s="1620"/>
      <c r="O129" s="1620"/>
      <c r="P129" s="1708"/>
      <c r="Q129" s="1613"/>
    </row>
    <row r="130" spans="1:17">
      <c r="A130" s="1351"/>
      <c r="B130" s="1324">
        <f>B46</f>
        <v>111</v>
      </c>
      <c r="C130" s="1328"/>
      <c r="D130" s="1328"/>
      <c r="E130" s="1328"/>
      <c r="F130" s="1328"/>
      <c r="G130" s="1346"/>
      <c r="H130" s="1346"/>
      <c r="I130" s="1346"/>
      <c r="J130" s="1346"/>
      <c r="K130" s="1312"/>
      <c r="L130" s="1358"/>
      <c r="M130" s="1401"/>
      <c r="N130" s="1618"/>
      <c r="O130" s="1618"/>
      <c r="P130" s="1708"/>
      <c r="Q130" s="1613"/>
    </row>
    <row r="131" spans="1:17" ht="15">
      <c r="A131" s="1625"/>
      <c r="B131" s="1334"/>
      <c r="C131" s="1335"/>
      <c r="D131" s="1335"/>
      <c r="E131" s="1335"/>
      <c r="F131" s="1335"/>
      <c r="G131" s="1347"/>
      <c r="H131" s="1347"/>
      <c r="I131" s="1347"/>
      <c r="J131" s="1347"/>
      <c r="K131" s="1347"/>
      <c r="L131" s="1347"/>
      <c r="M131" s="1402"/>
      <c r="N131" s="1620"/>
      <c r="O131" s="1620"/>
      <c r="P131" s="1708"/>
      <c r="Q131" s="1613"/>
    </row>
    <row r="136" spans="1:17">
      <c r="B136" s="1719" t="s">
        <v>2116</v>
      </c>
    </row>
    <row r="137" spans="1:17" ht="15">
      <c r="B137" s="1720" t="s">
        <v>2117</v>
      </c>
      <c r="C137" s="1721"/>
      <c r="D137" s="1721"/>
      <c r="E137" s="1721"/>
      <c r="F137" s="1721"/>
      <c r="G137" s="1722"/>
      <c r="H137" s="1723"/>
      <c r="I137" s="1746" t="s">
        <v>2118</v>
      </c>
      <c r="J137" s="1721"/>
      <c r="K137" s="1747"/>
    </row>
    <row r="138" spans="1:17" ht="15">
      <c r="B138" s="1724"/>
      <c r="C138" s="1725" t="s">
        <v>2119</v>
      </c>
      <c r="D138" s="1725" t="s">
        <v>2120</v>
      </c>
      <c r="E138" s="1726" t="s">
        <v>2121</v>
      </c>
      <c r="F138" s="1727" t="s">
        <v>2122</v>
      </c>
      <c r="G138" s="1725" t="s">
        <v>2120</v>
      </c>
      <c r="H138" s="1728" t="s">
        <v>2121</v>
      </c>
      <c r="I138" s="1748"/>
      <c r="J138" s="1725" t="s">
        <v>2123</v>
      </c>
      <c r="K138" s="1728" t="s">
        <v>2124</v>
      </c>
    </row>
    <row r="139" spans="1:17" ht="15">
      <c r="B139" s="1729">
        <v>6</v>
      </c>
      <c r="C139" s="1730">
        <v>96</v>
      </c>
      <c r="D139" s="1731" t="s">
        <v>2125</v>
      </c>
      <c r="E139" s="1732">
        <v>100</v>
      </c>
      <c r="F139" s="1733">
        <v>102.5</v>
      </c>
      <c r="G139" s="1731" t="s">
        <v>2125</v>
      </c>
      <c r="H139" s="1734">
        <v>105</v>
      </c>
      <c r="I139" s="1749" t="s">
        <v>2126</v>
      </c>
      <c r="J139" s="1730">
        <v>20</v>
      </c>
      <c r="K139" s="1750">
        <f>C145/(J139-2)</f>
        <v>4.0555555555555596E-3</v>
      </c>
    </row>
    <row r="140" spans="1:17" ht="15">
      <c r="B140" s="1735">
        <v>5</v>
      </c>
      <c r="C140" s="1736">
        <v>100</v>
      </c>
      <c r="D140" s="1736"/>
      <c r="E140" s="1737"/>
      <c r="F140" s="1738">
        <v>102</v>
      </c>
      <c r="G140" s="1736"/>
      <c r="H140" s="1739"/>
      <c r="I140" s="1751" t="s">
        <v>2127</v>
      </c>
      <c r="J140" s="455">
        <f>ROUNDUP((J139-1)/2,0)</f>
        <v>10</v>
      </c>
      <c r="K140" s="1752">
        <v>100</v>
      </c>
    </row>
    <row r="141" spans="1:17" ht="15">
      <c r="B141" s="1735">
        <v>4</v>
      </c>
      <c r="C141" s="1736">
        <v>102</v>
      </c>
      <c r="D141" s="1736"/>
      <c r="E141" s="1737"/>
      <c r="F141" s="1738">
        <v>101.5</v>
      </c>
      <c r="G141" s="1736"/>
      <c r="H141" s="1739"/>
      <c r="I141" s="1751" t="s">
        <v>2128</v>
      </c>
      <c r="J141" s="455">
        <v>1</v>
      </c>
      <c r="K141" s="1753">
        <f>ROUND(100+(J141-J140)*K139*100,1)</f>
        <v>96.4</v>
      </c>
    </row>
    <row r="142" spans="1:17" ht="15">
      <c r="B142" s="1735">
        <v>3</v>
      </c>
      <c r="C142" s="1736">
        <v>103</v>
      </c>
      <c r="D142" s="1736"/>
      <c r="E142" s="1737"/>
      <c r="F142" s="1738">
        <v>101</v>
      </c>
      <c r="G142" s="1736"/>
      <c r="H142" s="1739"/>
      <c r="I142" s="1751" t="s">
        <v>2129</v>
      </c>
      <c r="J142" s="455">
        <f>J139</f>
        <v>20</v>
      </c>
      <c r="K142" s="1754">
        <v>95</v>
      </c>
    </row>
    <row r="143" spans="1:17" ht="15">
      <c r="B143" s="1735">
        <v>2</v>
      </c>
      <c r="C143" s="1736">
        <v>100</v>
      </c>
      <c r="D143" s="1736"/>
      <c r="E143" s="1737"/>
      <c r="F143" s="1738">
        <v>100.5</v>
      </c>
      <c r="G143" s="1736"/>
      <c r="H143" s="1739"/>
      <c r="I143" s="1751" t="s">
        <v>2130</v>
      </c>
      <c r="J143" s="1736">
        <v>15</v>
      </c>
      <c r="K143" s="1753">
        <f>ROUND(100+(J143-J140)*K139*100,1)</f>
        <v>102</v>
      </c>
    </row>
    <row r="144" spans="1:17" ht="15">
      <c r="B144" s="1735">
        <v>1</v>
      </c>
      <c r="C144" s="1736">
        <v>98</v>
      </c>
      <c r="D144" s="1740" t="s">
        <v>2131</v>
      </c>
      <c r="E144" s="1737">
        <v>102</v>
      </c>
      <c r="F144" s="1741">
        <v>100</v>
      </c>
      <c r="G144" s="1740" t="s">
        <v>2131</v>
      </c>
      <c r="H144" s="1739">
        <v>105</v>
      </c>
      <c r="I144" s="1751" t="s">
        <v>2130</v>
      </c>
      <c r="J144" s="1736">
        <v>18</v>
      </c>
      <c r="K144" s="1753">
        <f>ROUND(100+(J144-J140)*K139*100,1)</f>
        <v>103.2</v>
      </c>
    </row>
    <row r="145" spans="2:11" ht="15">
      <c r="B145" s="1742" t="s">
        <v>2132</v>
      </c>
      <c r="C145" s="1743">
        <f>ROUND(MAX(C139:C144)/MIN(C139:C144)-1,3)</f>
        <v>7.2999999999999995E-2</v>
      </c>
      <c r="D145" s="1744"/>
      <c r="E145" s="1744"/>
      <c r="F145" s="1745" t="s">
        <v>2133</v>
      </c>
      <c r="G145" s="1646"/>
      <c r="H145" s="1649"/>
      <c r="I145" s="1755" t="s">
        <v>2130</v>
      </c>
      <c r="J145" s="1756">
        <v>8</v>
      </c>
      <c r="K145" s="1757">
        <f>ROUND(100+(J145-J140)*K139*100,1)</f>
        <v>99.2</v>
      </c>
    </row>
    <row r="147" spans="2:11">
      <c r="B147" s="1719" t="s">
        <v>2134</v>
      </c>
    </row>
    <row r="148" spans="2:11">
      <c r="B148" s="1719" t="s">
        <v>2135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2044</v>
      </c>
      <c r="B1" s="1584" t="s">
        <v>2148</v>
      </c>
      <c r="C1" s="1450" t="s">
        <v>2046</v>
      </c>
      <c r="D1" s="1451"/>
      <c r="E1" s="1452"/>
      <c r="F1" s="1453"/>
      <c r="G1" s="1454" t="s">
        <v>2047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1561</v>
      </c>
      <c r="B2" s="1457" t="b">
        <f>IF(E1="项目模式",IF(C2="——",ROUND(C50*D3/10000,0),ROUND(C50*D3/10000,0)-D2),IF(E1="单套模式",IF(C2="——",ROUND(C50*D3/10000,4),ROUND(C50*D3/10000,4)-D2)))</f>
        <v>0</v>
      </c>
      <c r="C2" s="1458"/>
      <c r="D2" s="1634" t="e">
        <f ca="1">IF(E1="项目模式",SUMIF(INDIRECT("'"&amp;F2&amp;"'"&amp;"!A:A"),"承租人权益价值",INDIRECT("'"&amp;F2&amp;"'"&amp;"!c:c")),SUMIF(INDIRECT("'"&amp;F2&amp;"'"&amp;"!A:A"),"承租人权益价值（单套）",INDIRECT("'"&amp;F2&amp;"'"&amp;"!c:c")))</f>
        <v>#REF!</v>
      </c>
      <c r="E2" s="1459" t="s">
        <v>1562</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1563</v>
      </c>
      <c r="B3" s="1086">
        <f>IF(C2="——",C50,ROUND(B2*10000/D3,0))</f>
        <v>0</v>
      </c>
      <c r="C3" s="1461" t="s">
        <v>2048</v>
      </c>
      <c r="D3" s="1462">
        <f>IF(D1="",'数据-汇总表'!E3,SUMIF('数据-汇总表'!$C19:$C33,D1,'数据-汇总表'!$E19:$E33))</f>
        <v>38.93</v>
      </c>
      <c r="E3" s="1635"/>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83" t="s">
        <v>2055</v>
      </c>
      <c r="Q4" s="3884"/>
      <c r="R4" s="3887" t="s">
        <v>2051</v>
      </c>
      <c r="S4" s="3888"/>
      <c r="T4" s="3887" t="s">
        <v>2052</v>
      </c>
      <c r="U4" s="3888"/>
      <c r="V4" s="3889" t="s">
        <v>2053</v>
      </c>
      <c r="W4" s="3889"/>
      <c r="X4" s="1645"/>
      <c r="Y4" s="3887" t="s">
        <v>2055</v>
      </c>
      <c r="Z4" s="3888"/>
      <c r="AA4" s="3879" t="s">
        <v>2051</v>
      </c>
      <c r="AB4" s="3879" t="s">
        <v>2052</v>
      </c>
      <c r="AC4" s="3880" t="s">
        <v>2053</v>
      </c>
    </row>
    <row r="5" spans="1:29" ht="15">
      <c r="A5" s="1090"/>
      <c r="B5" s="1091"/>
      <c r="C5" s="3877" t="s">
        <v>2056</v>
      </c>
      <c r="D5" s="3853"/>
      <c r="E5" s="3878" t="s">
        <v>2057</v>
      </c>
      <c r="F5" s="3855"/>
      <c r="G5" s="3877" t="s">
        <v>2058</v>
      </c>
      <c r="H5" s="3853"/>
      <c r="I5" s="3877" t="s">
        <v>2059</v>
      </c>
      <c r="J5" s="3853"/>
      <c r="K5" s="1235"/>
      <c r="L5" s="1236"/>
      <c r="M5" s="1237"/>
      <c r="N5" s="1237"/>
      <c r="O5" s="1237"/>
      <c r="P5" s="3885"/>
      <c r="Q5" s="3817"/>
      <c r="R5" s="3822"/>
      <c r="S5" s="3823"/>
      <c r="T5" s="3822"/>
      <c r="U5" s="3823"/>
      <c r="V5" s="3813"/>
      <c r="W5" s="3813"/>
      <c r="X5" s="1279"/>
      <c r="Y5" s="3822"/>
      <c r="Z5" s="3823"/>
      <c r="AA5" s="3811"/>
      <c r="AB5" s="3811"/>
      <c r="AC5" s="3881"/>
    </row>
    <row r="6" spans="1:29" ht="15">
      <c r="A6" s="1092"/>
      <c r="B6" s="1093"/>
      <c r="C6" s="3843" t="s">
        <v>2060</v>
      </c>
      <c r="D6" s="3844"/>
      <c r="E6" s="3845" t="s">
        <v>2060</v>
      </c>
      <c r="F6" s="3846"/>
      <c r="G6" s="3843" t="s">
        <v>2060</v>
      </c>
      <c r="H6" s="3844"/>
      <c r="I6" s="3843" t="s">
        <v>2060</v>
      </c>
      <c r="J6" s="3844"/>
      <c r="K6" s="1235" t="s">
        <v>2061</v>
      </c>
      <c r="L6" s="1236"/>
      <c r="M6" s="1237"/>
      <c r="N6" s="1237"/>
      <c r="O6" s="1237"/>
      <c r="P6" s="3886"/>
      <c r="Q6" s="3819"/>
      <c r="R6" s="3822"/>
      <c r="S6" s="3823"/>
      <c r="T6" s="3824"/>
      <c r="U6" s="3825"/>
      <c r="V6" s="3813"/>
      <c r="W6" s="3813"/>
      <c r="X6" s="1279"/>
      <c r="Y6" s="3824"/>
      <c r="Z6" s="3825"/>
      <c r="AA6" s="3812"/>
      <c r="AB6" s="3812"/>
      <c r="AC6" s="3882"/>
    </row>
    <row r="7" spans="1:29" s="1069" customFormat="1" ht="15">
      <c r="A7" s="1094" t="s">
        <v>2062</v>
      </c>
      <c r="B7" s="1095"/>
      <c r="C7" s="1096">
        <f>'数据-取费表'!B2</f>
        <v>45300</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893" t="s">
        <v>2063</v>
      </c>
      <c r="Q7" s="3847"/>
      <c r="R7" s="1280" t="s">
        <v>2064</v>
      </c>
      <c r="S7" s="1281">
        <f t="shared" ref="S7:S15" si="0">F7</f>
        <v>0</v>
      </c>
      <c r="T7" s="1280" t="s">
        <v>2064</v>
      </c>
      <c r="U7" s="1281">
        <f t="shared" ref="U7:U15" si="1">H7</f>
        <v>0</v>
      </c>
      <c r="V7" s="1280" t="s">
        <v>2064</v>
      </c>
      <c r="W7" s="1281">
        <f t="shared" ref="W7:W15" si="2">J7</f>
        <v>0</v>
      </c>
      <c r="X7" s="1282"/>
      <c r="Y7" s="3831" t="s">
        <v>2063</v>
      </c>
      <c r="Z7" s="3832"/>
      <c r="AA7" s="1294" t="e">
        <f>D7/F7</f>
        <v>#DIV/0!</v>
      </c>
      <c r="AB7" s="1294" t="e">
        <f>D7/H7</f>
        <v>#DIV/0!</v>
      </c>
      <c r="AC7" s="1647" t="e">
        <f>D7/J7</f>
        <v>#DIV/0!</v>
      </c>
    </row>
    <row r="8" spans="1:29" s="1069" customFormat="1" ht="15">
      <c r="A8" s="1094" t="s">
        <v>2065</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893" t="s">
        <v>2066</v>
      </c>
      <c r="Q8" s="3832"/>
      <c r="R8" s="1280" t="s">
        <v>2064</v>
      </c>
      <c r="S8" s="1281">
        <f t="shared" si="0"/>
        <v>100</v>
      </c>
      <c r="T8" s="1280" t="s">
        <v>2064</v>
      </c>
      <c r="U8" s="1281">
        <f t="shared" si="1"/>
        <v>100</v>
      </c>
      <c r="V8" s="1280" t="s">
        <v>2064</v>
      </c>
      <c r="W8" s="1281">
        <f t="shared" si="2"/>
        <v>100</v>
      </c>
      <c r="X8" s="1282"/>
      <c r="Y8" s="3831" t="s">
        <v>2066</v>
      </c>
      <c r="Z8" s="3832"/>
      <c r="AA8" s="1294">
        <f t="shared" ref="AA8:AA47" si="3">D8/F8</f>
        <v>1</v>
      </c>
      <c r="AB8" s="1294">
        <f t="shared" ref="AB8:AB47" si="4">D8/H8</f>
        <v>1</v>
      </c>
      <c r="AC8" s="1647">
        <f t="shared" ref="AC8:AC47" si="5">D8/J8</f>
        <v>1</v>
      </c>
    </row>
    <row r="9" spans="1:29" s="1069" customFormat="1">
      <c r="A9" s="1102" t="s">
        <v>2067</v>
      </c>
      <c r="B9" s="1103" t="s">
        <v>2068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833"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647">
        <f t="shared" si="5"/>
        <v>1</v>
      </c>
    </row>
    <row r="10" spans="1:29" s="1070" customFormat="1" ht="27">
      <c r="A10" s="1106"/>
      <c r="B10" s="1107" t="s">
        <v>2071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833"/>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647">
        <f t="shared" si="5"/>
        <v>1</v>
      </c>
    </row>
    <row r="11" spans="1:29" ht="15">
      <c r="A11" s="1110"/>
      <c r="B11" s="1107" t="s">
        <v>2072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833"/>
      <c r="Q11" s="1284" t="str">
        <f t="shared" si="6"/>
        <v>容积率</v>
      </c>
      <c r="R11" s="1280" t="s">
        <v>2064</v>
      </c>
      <c r="S11" s="1281">
        <f t="shared" si="0"/>
        <v>100</v>
      </c>
      <c r="T11" s="1280" t="s">
        <v>2064</v>
      </c>
      <c r="U11" s="1281">
        <f t="shared" si="1"/>
        <v>100</v>
      </c>
      <c r="V11" s="1280" t="s">
        <v>2064</v>
      </c>
      <c r="W11" s="1281">
        <f t="shared" si="2"/>
        <v>100</v>
      </c>
      <c r="X11" s="1282"/>
      <c r="Y11" s="3690"/>
      <c r="Z11" s="1295" t="str">
        <f t="shared" si="7"/>
        <v>容积率</v>
      </c>
      <c r="AA11" s="1294">
        <f t="shared" si="3"/>
        <v>1</v>
      </c>
      <c r="AB11" s="1294">
        <f t="shared" si="4"/>
        <v>1</v>
      </c>
      <c r="AC11" s="1647">
        <f t="shared" si="5"/>
        <v>1</v>
      </c>
    </row>
    <row r="12" spans="1:29" s="1069" customFormat="1" ht="15">
      <c r="A12" s="1113"/>
      <c r="B12" s="1114">
        <v>111</v>
      </c>
      <c r="C12" s="1108"/>
      <c r="D12" s="1115">
        <v>100</v>
      </c>
      <c r="E12" s="1108"/>
      <c r="F12" s="1109">
        <f>SUMIF(71:71,E12,72:72)-SUMIF(71:71,C12,72:72)+100</f>
        <v>100</v>
      </c>
      <c r="G12" s="1636"/>
      <c r="H12" s="1109">
        <f>SUMIF(71:71,G12,72:72)-SUMIF(71:71,C12,72:72)+100</f>
        <v>100</v>
      </c>
      <c r="I12" s="1108"/>
      <c r="J12" s="1109">
        <f>SUMIF(71:71,I12,72:72)-SUMIF(71:71,C12,72:72)+100</f>
        <v>100</v>
      </c>
      <c r="K12" s="1254"/>
      <c r="L12" s="1239"/>
      <c r="M12" s="1240"/>
      <c r="N12" s="1240"/>
      <c r="O12" s="1240"/>
      <c r="P12" s="3833"/>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647">
        <f t="shared" si="5"/>
        <v>1</v>
      </c>
    </row>
    <row r="13" spans="1:29" ht="15">
      <c r="A13" s="1110"/>
      <c r="B13" s="1114">
        <v>111</v>
      </c>
      <c r="C13" s="1118"/>
      <c r="D13" s="1119">
        <v>100</v>
      </c>
      <c r="E13" s="1108"/>
      <c r="F13" s="1109">
        <f>SUMIF(73:73,E13,74:74)-SUMIF(73:73,C13,74:74)+100</f>
        <v>100</v>
      </c>
      <c r="G13" s="1636"/>
      <c r="H13" s="1119">
        <f>SUMIF(73:73,G13,74:74)-SUMIF(73:73,C13,74:74)+100</f>
        <v>100</v>
      </c>
      <c r="I13" s="1108"/>
      <c r="J13" s="1119">
        <f>SUMIF(73:73,I13,74:74)-SUMIF(73:73,C13,74:74)+100</f>
        <v>100</v>
      </c>
      <c r="K13" s="1254"/>
      <c r="L13" s="1249"/>
      <c r="M13" s="1237"/>
      <c r="N13" s="1237"/>
      <c r="O13" s="1237"/>
      <c r="P13" s="3833"/>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647">
        <f t="shared" si="5"/>
        <v>1</v>
      </c>
    </row>
    <row r="14" spans="1:29" ht="15">
      <c r="A14" s="1120"/>
      <c r="B14" s="1121">
        <v>111</v>
      </c>
      <c r="C14" s="1122"/>
      <c r="D14" s="1123">
        <v>100</v>
      </c>
      <c r="E14" s="1544"/>
      <c r="F14" s="1123">
        <f>SUMIF(75:75,E14,76:76)-SUMIF(75:75,C14,76:76)+100</f>
        <v>100</v>
      </c>
      <c r="G14" s="1636"/>
      <c r="H14" s="1123">
        <f>SUMIF(75:75,G14,76:76)-SUMIF(75:75,C14,76:76)+100</f>
        <v>100</v>
      </c>
      <c r="I14" s="1108"/>
      <c r="J14" s="1123">
        <f>SUMIF(75:75,I14,76:76)-SUMIF(75:75,C14,76:76)+100</f>
        <v>100</v>
      </c>
      <c r="K14" s="1254"/>
      <c r="L14" s="1249"/>
      <c r="M14" s="1237"/>
      <c r="N14" s="1237"/>
      <c r="O14" s="1237"/>
      <c r="P14" s="3833"/>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647">
        <f t="shared" si="5"/>
        <v>1</v>
      </c>
    </row>
    <row r="15" spans="1:29" ht="71.25">
      <c r="A15" s="1124" t="s">
        <v>2073</v>
      </c>
      <c r="B15" s="1125" t="s">
        <v>2149</v>
      </c>
      <c r="C15" s="1637"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834" t="s">
        <v>2075</v>
      </c>
      <c r="Q15" s="664" t="str">
        <f t="shared" si="6"/>
        <v>办公集聚程度</v>
      </c>
      <c r="R15" s="1285" t="s">
        <v>2064</v>
      </c>
      <c r="S15" s="1286">
        <f t="shared" si="0"/>
        <v>100</v>
      </c>
      <c r="T15" s="1285" t="s">
        <v>2064</v>
      </c>
      <c r="U15" s="1286">
        <f t="shared" si="1"/>
        <v>100</v>
      </c>
      <c r="V15" s="1285" t="s">
        <v>2064</v>
      </c>
      <c r="W15" s="1286">
        <f t="shared" si="2"/>
        <v>100</v>
      </c>
      <c r="X15" s="1279"/>
      <c r="Y15" s="3839" t="s">
        <v>2075</v>
      </c>
      <c r="Z15" s="1269" t="str">
        <f t="shared" si="7"/>
        <v>办公集聚程度</v>
      </c>
      <c r="AA15" s="1296">
        <f t="shared" si="3"/>
        <v>1</v>
      </c>
      <c r="AB15" s="1296">
        <f t="shared" si="4"/>
        <v>1</v>
      </c>
      <c r="AC15" s="1648">
        <f t="shared" si="5"/>
        <v>1</v>
      </c>
    </row>
    <row r="16" spans="1:29" ht="15">
      <c r="A16" s="1110"/>
      <c r="B16" s="1129"/>
      <c r="C16" s="1132"/>
      <c r="D16" s="1131"/>
      <c r="E16" s="1130"/>
      <c r="F16" s="1131"/>
      <c r="G16" s="1132"/>
      <c r="H16" s="1133"/>
      <c r="I16" s="1130"/>
      <c r="J16" s="1131"/>
      <c r="K16" s="1510"/>
      <c r="L16" s="1249"/>
      <c r="M16" s="1237"/>
      <c r="N16" s="1237"/>
      <c r="O16" s="1237"/>
      <c r="P16" s="3835"/>
      <c r="Q16" s="664"/>
      <c r="R16" s="1285"/>
      <c r="S16" s="1286"/>
      <c r="T16" s="1285"/>
      <c r="U16" s="1286"/>
      <c r="V16" s="1285"/>
      <c r="W16" s="1286"/>
      <c r="X16" s="1279"/>
      <c r="Y16" s="3840"/>
      <c r="Z16" s="1269"/>
      <c r="AA16" s="1296">
        <v>1</v>
      </c>
      <c r="AB16" s="1296">
        <v>1</v>
      </c>
      <c r="AC16" s="1648">
        <v>1</v>
      </c>
    </row>
    <row r="17" spans="1:29" ht="71.25">
      <c r="A17" s="1110"/>
      <c r="B17" s="1134" t="s">
        <v>2076</v>
      </c>
      <c r="C17" s="1638"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835"/>
      <c r="Q17" s="664" t="str">
        <f>B17</f>
        <v>交通便捷度</v>
      </c>
      <c r="R17" s="1285" t="s">
        <v>2064</v>
      </c>
      <c r="S17" s="1286">
        <f>F17</f>
        <v>100</v>
      </c>
      <c r="T17" s="1285" t="s">
        <v>2064</v>
      </c>
      <c r="U17" s="1286">
        <f>H17</f>
        <v>100</v>
      </c>
      <c r="V17" s="1285" t="s">
        <v>2064</v>
      </c>
      <c r="W17" s="1286">
        <f>J17</f>
        <v>100</v>
      </c>
      <c r="X17" s="1279"/>
      <c r="Y17" s="3840"/>
      <c r="Z17" s="1269" t="str">
        <f>Q17</f>
        <v>交通便捷度</v>
      </c>
      <c r="AA17" s="1296">
        <f t="shared" si="3"/>
        <v>1</v>
      </c>
      <c r="AB17" s="1296">
        <f t="shared" si="4"/>
        <v>1</v>
      </c>
      <c r="AC17" s="1648">
        <f t="shared" si="5"/>
        <v>1</v>
      </c>
    </row>
    <row r="18" spans="1:29" ht="15">
      <c r="A18" s="1110"/>
      <c r="B18" s="1138"/>
      <c r="C18" s="1639"/>
      <c r="D18" s="1133"/>
      <c r="E18" s="1430"/>
      <c r="F18" s="1133"/>
      <c r="G18" s="1422"/>
      <c r="H18" s="1131"/>
      <c r="I18" s="1422"/>
      <c r="J18" s="1131"/>
      <c r="K18" s="1510"/>
      <c r="L18" s="1249"/>
      <c r="M18" s="1237"/>
      <c r="N18" s="1237"/>
      <c r="O18" s="1237"/>
      <c r="P18" s="3835"/>
      <c r="Q18" s="664"/>
      <c r="R18" s="1285"/>
      <c r="S18" s="1286"/>
      <c r="T18" s="1285"/>
      <c r="U18" s="1286"/>
      <c r="V18" s="1285"/>
      <c r="W18" s="1286"/>
      <c r="X18" s="1279"/>
      <c r="Y18" s="3840"/>
      <c r="Z18" s="1269"/>
      <c r="AA18" s="1296">
        <v>1</v>
      </c>
      <c r="AB18" s="1296">
        <v>1</v>
      </c>
      <c r="AC18" s="1648">
        <v>1</v>
      </c>
    </row>
    <row r="19" spans="1:29" ht="42.75">
      <c r="A19" s="1110"/>
      <c r="B19" s="1134" t="s">
        <v>2077</v>
      </c>
      <c r="C19" s="1638"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835"/>
      <c r="Q19" s="664" t="str">
        <f>B19</f>
        <v>公共配套设施</v>
      </c>
      <c r="R19" s="1285" t="s">
        <v>2064</v>
      </c>
      <c r="S19" s="1286">
        <f>F19</f>
        <v>100</v>
      </c>
      <c r="T19" s="1285" t="s">
        <v>2064</v>
      </c>
      <c r="U19" s="1286">
        <f>H19</f>
        <v>100</v>
      </c>
      <c r="V19" s="1285" t="s">
        <v>2064</v>
      </c>
      <c r="W19" s="1286">
        <f>J19</f>
        <v>100</v>
      </c>
      <c r="X19" s="1279"/>
      <c r="Y19" s="3840"/>
      <c r="Z19" s="1269" t="str">
        <f>Q19</f>
        <v>公共配套设施</v>
      </c>
      <c r="AA19" s="1296">
        <f t="shared" si="3"/>
        <v>1</v>
      </c>
      <c r="AB19" s="1296">
        <f t="shared" si="4"/>
        <v>1</v>
      </c>
      <c r="AC19" s="1648">
        <f t="shared" si="5"/>
        <v>1</v>
      </c>
    </row>
    <row r="20" spans="1:29" ht="15">
      <c r="A20" s="1110"/>
      <c r="B20" s="1138"/>
      <c r="C20" s="1132"/>
      <c r="D20" s="1131"/>
      <c r="E20" s="1252"/>
      <c r="F20" s="1131"/>
      <c r="G20" s="1139"/>
      <c r="H20" s="1131"/>
      <c r="I20" s="1139"/>
      <c r="J20" s="1131"/>
      <c r="K20" s="1510"/>
      <c r="L20" s="1249"/>
      <c r="M20" s="1237"/>
      <c r="N20" s="1237"/>
      <c r="O20" s="1237"/>
      <c r="P20" s="3835"/>
      <c r="Q20" s="664"/>
      <c r="R20" s="1285"/>
      <c r="S20" s="1286"/>
      <c r="T20" s="1285"/>
      <c r="U20" s="1286"/>
      <c r="V20" s="1285"/>
      <c r="W20" s="1286"/>
      <c r="X20" s="1279"/>
      <c r="Y20" s="3840"/>
      <c r="Z20" s="1269"/>
      <c r="AA20" s="1296">
        <v>1</v>
      </c>
      <c r="AB20" s="1296">
        <v>1</v>
      </c>
      <c r="AC20" s="1648">
        <v>1</v>
      </c>
    </row>
    <row r="21" spans="1:29" ht="28.5">
      <c r="A21" s="1110"/>
      <c r="B21" s="1141" t="s">
        <v>2078</v>
      </c>
      <c r="C21" s="1638"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835"/>
      <c r="Q21" s="664" t="str">
        <f>B21</f>
        <v>基础设施水平</v>
      </c>
      <c r="R21" s="1285" t="s">
        <v>2064</v>
      </c>
      <c r="S21" s="1286">
        <f>F21</f>
        <v>100</v>
      </c>
      <c r="T21" s="1285" t="s">
        <v>2064</v>
      </c>
      <c r="U21" s="1286">
        <f>H21</f>
        <v>100</v>
      </c>
      <c r="V21" s="1285" t="s">
        <v>2064</v>
      </c>
      <c r="W21" s="1286">
        <f>J21</f>
        <v>100</v>
      </c>
      <c r="X21" s="1279"/>
      <c r="Y21" s="3840"/>
      <c r="Z21" s="1269" t="str">
        <f>Q21</f>
        <v>基础设施水平</v>
      </c>
      <c r="AA21" s="1296">
        <f t="shared" ref="AA21" si="8">D21/F21</f>
        <v>1</v>
      </c>
      <c r="AB21" s="1296">
        <f t="shared" ref="AB21" si="9">D21/H21</f>
        <v>1</v>
      </c>
      <c r="AC21" s="1648">
        <f t="shared" ref="AC21" si="10">D21/J21</f>
        <v>1</v>
      </c>
    </row>
    <row r="22" spans="1:29" ht="15">
      <c r="A22" s="1110"/>
      <c r="B22" s="1141"/>
      <c r="C22" s="1639"/>
      <c r="D22" s="1131"/>
      <c r="E22" s="1130"/>
      <c r="F22" s="1131"/>
      <c r="G22" s="1132"/>
      <c r="H22" s="1131"/>
      <c r="I22" s="1132"/>
      <c r="J22" s="1131"/>
      <c r="K22" s="1511"/>
      <c r="L22" s="1249"/>
      <c r="M22" s="1237"/>
      <c r="N22" s="1237"/>
      <c r="O22" s="1237"/>
      <c r="P22" s="3835"/>
      <c r="Q22" s="664"/>
      <c r="R22" s="1285"/>
      <c r="S22" s="1286"/>
      <c r="T22" s="1285"/>
      <c r="U22" s="1286"/>
      <c r="V22" s="1285"/>
      <c r="W22" s="1286"/>
      <c r="X22" s="1279"/>
      <c r="Y22" s="3840"/>
      <c r="Z22" s="1269"/>
      <c r="AA22" s="1296">
        <v>1</v>
      </c>
      <c r="AB22" s="1296">
        <v>1</v>
      </c>
      <c r="AC22" s="1648">
        <v>1</v>
      </c>
    </row>
    <row r="23" spans="1:29" ht="42.75">
      <c r="A23" s="1110"/>
      <c r="B23" s="1134" t="s">
        <v>2150</v>
      </c>
      <c r="C23" s="1638"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835"/>
      <c r="Q23" s="664" t="str">
        <f>B23</f>
        <v>环境质量</v>
      </c>
      <c r="R23" s="1285" t="s">
        <v>2064</v>
      </c>
      <c r="S23" s="1286">
        <f>F23</f>
        <v>100</v>
      </c>
      <c r="T23" s="1285" t="s">
        <v>2064</v>
      </c>
      <c r="U23" s="1286">
        <f>H23</f>
        <v>100</v>
      </c>
      <c r="V23" s="1285" t="s">
        <v>2064</v>
      </c>
      <c r="W23" s="1286">
        <f>J23</f>
        <v>100</v>
      </c>
      <c r="X23" s="1279"/>
      <c r="Y23" s="3840"/>
      <c r="Z23" s="1269" t="str">
        <f>Q23</f>
        <v>环境质量</v>
      </c>
      <c r="AA23" s="1296">
        <f t="shared" si="3"/>
        <v>1</v>
      </c>
      <c r="AB23" s="1296">
        <f t="shared" si="4"/>
        <v>1</v>
      </c>
      <c r="AC23" s="1648">
        <f t="shared" si="5"/>
        <v>1</v>
      </c>
    </row>
    <row r="24" spans="1:29" ht="15">
      <c r="A24" s="1110"/>
      <c r="B24" s="1141"/>
      <c r="C24" s="1132"/>
      <c r="D24" s="1131"/>
      <c r="E24" s="1252"/>
      <c r="F24" s="1131"/>
      <c r="G24" s="1139"/>
      <c r="H24" s="1131"/>
      <c r="I24" s="1139"/>
      <c r="J24" s="1131"/>
      <c r="K24" s="1510"/>
      <c r="L24" s="1249"/>
      <c r="M24" s="1237"/>
      <c r="N24" s="1237"/>
      <c r="O24" s="1237"/>
      <c r="P24" s="3835"/>
      <c r="Q24" s="664"/>
      <c r="R24" s="1285"/>
      <c r="S24" s="1286"/>
      <c r="T24" s="1285"/>
      <c r="U24" s="1286"/>
      <c r="V24" s="1285"/>
      <c r="W24" s="1286"/>
      <c r="X24" s="1279"/>
      <c r="Y24" s="3840"/>
      <c r="Z24" s="1269"/>
      <c r="AA24" s="1296">
        <v>1</v>
      </c>
      <c r="AB24" s="1296">
        <v>1</v>
      </c>
      <c r="AC24" s="1648">
        <v>1</v>
      </c>
    </row>
    <row r="25" spans="1:29" ht="27">
      <c r="A25" s="1090"/>
      <c r="B25" s="1134" t="s">
        <v>2151</v>
      </c>
      <c r="C25" s="1640"/>
      <c r="D25" s="1119">
        <v>100</v>
      </c>
      <c r="E25" s="1118"/>
      <c r="F25" s="1119">
        <f>SUMIF(87:87,E26,88:88)-SUMIF(87:87,C26,88:88)+100</f>
        <v>100</v>
      </c>
      <c r="G25" s="1640"/>
      <c r="H25" s="1119">
        <f>SUMIF(87:87,G26,88:88)-SUMIF(87:87,C26,88:88)+100</f>
        <v>100</v>
      </c>
      <c r="I25" s="1118"/>
      <c r="J25" s="1119">
        <f>SUMIF(87:87,I26,88:88)-SUMIF(87:87,C26,88:88)+100</f>
        <v>100</v>
      </c>
      <c r="K25" s="1509"/>
      <c r="L25" s="1249"/>
      <c r="M25" s="1237"/>
      <c r="N25" s="1237"/>
      <c r="O25" s="1237"/>
      <c r="P25" s="3835"/>
      <c r="Q25" s="664" t="str">
        <f>B25</f>
        <v>毗邻道路的类型与等级</v>
      </c>
      <c r="R25" s="1285" t="s">
        <v>2064</v>
      </c>
      <c r="S25" s="1286">
        <f>F25</f>
        <v>100</v>
      </c>
      <c r="T25" s="1285" t="s">
        <v>2064</v>
      </c>
      <c r="U25" s="1286">
        <f>H25</f>
        <v>100</v>
      </c>
      <c r="V25" s="1285" t="s">
        <v>2064</v>
      </c>
      <c r="W25" s="1286">
        <f>J25</f>
        <v>100</v>
      </c>
      <c r="X25" s="1279"/>
      <c r="Y25" s="3840"/>
      <c r="Z25" s="1269" t="str">
        <f>Q25</f>
        <v>毗邻道路的类型与等级</v>
      </c>
      <c r="AA25" s="1296">
        <f t="shared" si="3"/>
        <v>1</v>
      </c>
      <c r="AB25" s="1296">
        <f t="shared" si="4"/>
        <v>1</v>
      </c>
      <c r="AC25" s="1648">
        <f t="shared" si="5"/>
        <v>1</v>
      </c>
    </row>
    <row r="26" spans="1:29" ht="15">
      <c r="A26" s="1090"/>
      <c r="B26" s="1138"/>
      <c r="C26" s="1145"/>
      <c r="D26" s="1119"/>
      <c r="E26" s="1144"/>
      <c r="F26" s="1119"/>
      <c r="G26" s="1145"/>
      <c r="H26" s="1119"/>
      <c r="I26" s="1144"/>
      <c r="J26" s="1119"/>
      <c r="K26" s="1510"/>
      <c r="L26" s="1249"/>
      <c r="M26" s="1237"/>
      <c r="N26" s="1237"/>
      <c r="O26" s="1237"/>
      <c r="P26" s="3835"/>
      <c r="Q26" s="664"/>
      <c r="R26" s="1285"/>
      <c r="S26" s="1286"/>
      <c r="T26" s="1285"/>
      <c r="U26" s="1286"/>
      <c r="V26" s="1285"/>
      <c r="W26" s="1286"/>
      <c r="X26" s="1279"/>
      <c r="Y26" s="3840"/>
      <c r="Z26" s="1269"/>
      <c r="AA26" s="1296">
        <v>1</v>
      </c>
      <c r="AB26" s="1296">
        <v>1</v>
      </c>
      <c r="AC26" s="1648">
        <v>1</v>
      </c>
    </row>
    <row r="27" spans="1:29" ht="15">
      <c r="A27" s="1110"/>
      <c r="B27" s="1138" t="s">
        <v>2141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835"/>
      <c r="Q27" s="664" t="str">
        <f t="shared" ref="Q27:Q47" si="11">B27</f>
        <v>楼层</v>
      </c>
      <c r="R27" s="1285" t="s">
        <v>2064</v>
      </c>
      <c r="S27" s="1286">
        <f>F27</f>
        <v>100</v>
      </c>
      <c r="T27" s="1285" t="s">
        <v>2064</v>
      </c>
      <c r="U27" s="1286">
        <f>H27</f>
        <v>100</v>
      </c>
      <c r="V27" s="1285" t="s">
        <v>2064</v>
      </c>
      <c r="W27" s="1286">
        <f>J27</f>
        <v>100</v>
      </c>
      <c r="X27" s="1279"/>
      <c r="Y27" s="3840"/>
      <c r="Z27" s="1269" t="str">
        <f>Q27</f>
        <v>楼层</v>
      </c>
      <c r="AA27" s="1296">
        <f t="shared" si="3"/>
        <v>1</v>
      </c>
      <c r="AB27" s="1296">
        <f t="shared" si="4"/>
        <v>1</v>
      </c>
      <c r="AC27" s="1648">
        <f t="shared" si="5"/>
        <v>1</v>
      </c>
    </row>
    <row r="28" spans="1:29" s="1069" customFormat="1" ht="15">
      <c r="A28" s="1113"/>
      <c r="B28" s="1134" t="s">
        <v>2081</v>
      </c>
      <c r="C28" s="1641"/>
      <c r="D28" s="1589">
        <v>100</v>
      </c>
      <c r="E28" s="1642"/>
      <c r="F28" s="1589">
        <f>SUMIF(91:91,E28,92:92)-SUMIF(91:91,C28,92:92)+100</f>
        <v>100</v>
      </c>
      <c r="G28" s="1641"/>
      <c r="H28" s="1589">
        <f>SUMIF(91:91,G28,92:92)-SUMIF(91:91,C28,92:92)+100</f>
        <v>100</v>
      </c>
      <c r="I28" s="1642"/>
      <c r="J28" s="1589">
        <f>SUMIF(91:91,I28,92:92)-SUMIF(91:91,C28,92:92)+100</f>
        <v>100</v>
      </c>
      <c r="K28" s="1255"/>
      <c r="L28" s="1239"/>
      <c r="M28" s="1240"/>
      <c r="N28" s="1240"/>
      <c r="O28" s="1240"/>
      <c r="P28" s="3835"/>
      <c r="Q28" s="1284" t="str">
        <f t="shared" si="11"/>
        <v>朝向</v>
      </c>
      <c r="R28" s="1280" t="s">
        <v>2064</v>
      </c>
      <c r="S28" s="1281">
        <f>F28</f>
        <v>100</v>
      </c>
      <c r="T28" s="1280" t="s">
        <v>2064</v>
      </c>
      <c r="U28" s="1281">
        <f>H28</f>
        <v>100</v>
      </c>
      <c r="V28" s="1280" t="s">
        <v>2064</v>
      </c>
      <c r="W28" s="1281">
        <f>J28</f>
        <v>100</v>
      </c>
      <c r="X28" s="1282"/>
      <c r="Y28" s="3840"/>
      <c r="Z28" s="1295" t="str">
        <f>Q28</f>
        <v>朝向</v>
      </c>
      <c r="AA28" s="1296">
        <f t="shared" si="3"/>
        <v>1</v>
      </c>
      <c r="AB28" s="1296">
        <f t="shared" si="4"/>
        <v>1</v>
      </c>
      <c r="AC28" s="1648">
        <f t="shared" si="5"/>
        <v>1</v>
      </c>
    </row>
    <row r="29" spans="1:29" ht="15">
      <c r="A29" s="1110"/>
      <c r="B29" s="1149">
        <v>111</v>
      </c>
      <c r="C29" s="1640"/>
      <c r="D29" s="1119">
        <v>100</v>
      </c>
      <c r="E29" s="1108"/>
      <c r="F29" s="1119">
        <f>SUMIF(93:93,E29,94:94)-SUMIF(93:93,C29,94:94)+100</f>
        <v>100</v>
      </c>
      <c r="G29" s="1636"/>
      <c r="H29" s="1119">
        <f>SUMIF(93:93,G29,94:94)-SUMIF(93:93,C29,94:94)+100</f>
        <v>100</v>
      </c>
      <c r="I29" s="1108"/>
      <c r="J29" s="1119">
        <f>SUMIF(93:93,I29,94:94)-SUMIF(93:93,C29,94:94)+100</f>
        <v>100</v>
      </c>
      <c r="K29" s="1254"/>
      <c r="L29" s="1249"/>
      <c r="M29" s="1237"/>
      <c r="N29" s="1237"/>
      <c r="O29" s="1237"/>
      <c r="P29" s="3835"/>
      <c r="Q29" s="664">
        <f t="shared" si="11"/>
        <v>111</v>
      </c>
      <c r="R29" s="1285" t="s">
        <v>2064</v>
      </c>
      <c r="S29" s="1286">
        <f t="shared" ref="S29:S47" si="12">F29</f>
        <v>100</v>
      </c>
      <c r="T29" s="1285" t="s">
        <v>2064</v>
      </c>
      <c r="U29" s="1286">
        <f t="shared" ref="U29:U47" si="13">H29</f>
        <v>100</v>
      </c>
      <c r="V29" s="1285" t="s">
        <v>2064</v>
      </c>
      <c r="W29" s="1286">
        <f t="shared" ref="W29:W47" si="14">J29</f>
        <v>100</v>
      </c>
      <c r="X29" s="1279"/>
      <c r="Y29" s="3840"/>
      <c r="Z29" s="1269">
        <f t="shared" ref="Z29:Z47" si="15">Q29</f>
        <v>111</v>
      </c>
      <c r="AA29" s="1296">
        <f t="shared" si="3"/>
        <v>1</v>
      </c>
      <c r="AB29" s="1296">
        <f t="shared" si="4"/>
        <v>1</v>
      </c>
      <c r="AC29" s="1648">
        <f t="shared" si="5"/>
        <v>1</v>
      </c>
    </row>
    <row r="30" spans="1:29" ht="15">
      <c r="A30" s="1110"/>
      <c r="B30" s="1149">
        <v>111</v>
      </c>
      <c r="C30" s="1640"/>
      <c r="D30" s="1119">
        <v>100</v>
      </c>
      <c r="E30" s="1108"/>
      <c r="F30" s="1119">
        <f>SUMIF(95:95,E30,96:96)-SUMIF(95:95,C30,96:96)+100</f>
        <v>100</v>
      </c>
      <c r="G30" s="1636"/>
      <c r="H30" s="1119">
        <f>SUMIF(95:95,G30,96:96)-SUMIF(95:95,C30,96:96)+100</f>
        <v>100</v>
      </c>
      <c r="I30" s="1108"/>
      <c r="J30" s="1119">
        <f>SUMIF(95:95,I30,96:96)-SUMIF(95:95,C30,96:96)+100</f>
        <v>100</v>
      </c>
      <c r="K30" s="1254"/>
      <c r="L30" s="1249"/>
      <c r="M30" s="1237"/>
      <c r="N30" s="1237"/>
      <c r="O30" s="1237"/>
      <c r="P30" s="3835"/>
      <c r="Q30" s="664">
        <f t="shared" si="11"/>
        <v>111</v>
      </c>
      <c r="R30" s="1285" t="s">
        <v>2064</v>
      </c>
      <c r="S30" s="1286">
        <f t="shared" si="12"/>
        <v>100</v>
      </c>
      <c r="T30" s="1285" t="s">
        <v>2064</v>
      </c>
      <c r="U30" s="1286">
        <f t="shared" si="13"/>
        <v>100</v>
      </c>
      <c r="V30" s="1285" t="s">
        <v>2064</v>
      </c>
      <c r="W30" s="1286">
        <f t="shared" si="14"/>
        <v>100</v>
      </c>
      <c r="X30" s="1279"/>
      <c r="Y30" s="3840"/>
      <c r="Z30" s="1269">
        <f t="shared" si="15"/>
        <v>111</v>
      </c>
      <c r="AA30" s="1296">
        <f t="shared" si="3"/>
        <v>1</v>
      </c>
      <c r="AB30" s="1296">
        <f t="shared" si="4"/>
        <v>1</v>
      </c>
      <c r="AC30" s="1648">
        <f t="shared" si="5"/>
        <v>1</v>
      </c>
    </row>
    <row r="31" spans="1:29" ht="15">
      <c r="A31" s="1110"/>
      <c r="B31" s="1149">
        <v>111</v>
      </c>
      <c r="C31" s="1640"/>
      <c r="D31" s="1119">
        <v>100</v>
      </c>
      <c r="E31" s="1108"/>
      <c r="F31" s="1119">
        <f>SUMIF(97:97,E31,98:98)-SUMIF(97:97,C31,98:98)+100</f>
        <v>100</v>
      </c>
      <c r="G31" s="1636"/>
      <c r="H31" s="1119">
        <f>SUMIF(97:97,G31,98:98)-SUMIF(97:97,C31,98:98)+100</f>
        <v>100</v>
      </c>
      <c r="I31" s="1108"/>
      <c r="J31" s="1119">
        <f>SUMIF(97:97,I31,98:98)-SUMIF(97:97,C31,98:98)+100</f>
        <v>100</v>
      </c>
      <c r="K31" s="1254"/>
      <c r="L31" s="1249"/>
      <c r="M31" s="1237"/>
      <c r="N31" s="1237"/>
      <c r="O31" s="1237"/>
      <c r="P31" s="3835"/>
      <c r="Q31" s="664">
        <f t="shared" si="11"/>
        <v>111</v>
      </c>
      <c r="R31" s="1285" t="s">
        <v>2064</v>
      </c>
      <c r="S31" s="1286">
        <f t="shared" si="12"/>
        <v>100</v>
      </c>
      <c r="T31" s="1285" t="s">
        <v>2064</v>
      </c>
      <c r="U31" s="1286">
        <f t="shared" si="13"/>
        <v>100</v>
      </c>
      <c r="V31" s="1285" t="s">
        <v>2064</v>
      </c>
      <c r="W31" s="1286">
        <f t="shared" si="14"/>
        <v>100</v>
      </c>
      <c r="X31" s="1279"/>
      <c r="Y31" s="3840"/>
      <c r="Z31" s="1269">
        <f t="shared" si="15"/>
        <v>111</v>
      </c>
      <c r="AA31" s="1296">
        <f t="shared" si="3"/>
        <v>1</v>
      </c>
      <c r="AB31" s="1296">
        <f t="shared" si="4"/>
        <v>1</v>
      </c>
      <c r="AC31" s="1648">
        <f t="shared" si="5"/>
        <v>1</v>
      </c>
    </row>
    <row r="32" spans="1:29" ht="15">
      <c r="A32" s="1120"/>
      <c r="B32" s="1542">
        <v>111</v>
      </c>
      <c r="C32" s="1643"/>
      <c r="D32" s="1123">
        <v>100</v>
      </c>
      <c r="E32" s="1544"/>
      <c r="F32" s="1123">
        <f>SUMIF(99:99,E32,100:100)-SUMIF(99:99,C32,100:100)+100</f>
        <v>100</v>
      </c>
      <c r="G32" s="1636"/>
      <c r="H32" s="1123">
        <f>SUMIF(99:99,G32,100:100)-SUMIF(99:99,C32,100:100)+100</f>
        <v>100</v>
      </c>
      <c r="I32" s="1108"/>
      <c r="J32" s="1123">
        <f>SUMIF(99:99,I32,100:100)-SUMIF(99:99,C32,100:100)+100</f>
        <v>100</v>
      </c>
      <c r="K32" s="1254"/>
      <c r="L32" s="1249"/>
      <c r="M32" s="1237"/>
      <c r="N32" s="1237"/>
      <c r="O32" s="1237"/>
      <c r="P32" s="3835"/>
      <c r="Q32" s="664">
        <f t="shared" si="11"/>
        <v>111</v>
      </c>
      <c r="R32" s="1285" t="s">
        <v>2064</v>
      </c>
      <c r="S32" s="1286">
        <f t="shared" si="12"/>
        <v>100</v>
      </c>
      <c r="T32" s="1285" t="s">
        <v>2064</v>
      </c>
      <c r="U32" s="1286">
        <f t="shared" si="13"/>
        <v>100</v>
      </c>
      <c r="V32" s="1285" t="s">
        <v>2064</v>
      </c>
      <c r="W32" s="1286">
        <f t="shared" si="14"/>
        <v>100</v>
      </c>
      <c r="X32" s="1279"/>
      <c r="Y32" s="3840"/>
      <c r="Z32" s="1269">
        <f t="shared" si="15"/>
        <v>111</v>
      </c>
      <c r="AA32" s="1296">
        <f t="shared" si="3"/>
        <v>1</v>
      </c>
      <c r="AB32" s="1296">
        <f t="shared" si="4"/>
        <v>1</v>
      </c>
      <c r="AC32" s="1648">
        <f t="shared" si="5"/>
        <v>1</v>
      </c>
    </row>
    <row r="33" spans="1:29" ht="15">
      <c r="A33" s="1124" t="s">
        <v>2082</v>
      </c>
      <c r="B33" s="1103" t="s">
        <v>2083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836" t="s">
        <v>2084</v>
      </c>
      <c r="Q33" s="664" t="str">
        <f t="shared" si="11"/>
        <v>建筑类型</v>
      </c>
      <c r="R33" s="1285" t="s">
        <v>2064</v>
      </c>
      <c r="S33" s="1286">
        <f t="shared" si="12"/>
        <v>100</v>
      </c>
      <c r="T33" s="1285" t="s">
        <v>2064</v>
      </c>
      <c r="U33" s="1286">
        <f t="shared" si="13"/>
        <v>100</v>
      </c>
      <c r="V33" s="1285" t="s">
        <v>2064</v>
      </c>
      <c r="W33" s="1286">
        <f t="shared" si="14"/>
        <v>100</v>
      </c>
      <c r="X33" s="1279"/>
      <c r="Y33" s="3841" t="s">
        <v>2084</v>
      </c>
      <c r="Z33" s="1269" t="str">
        <f t="shared" si="15"/>
        <v>建筑类型</v>
      </c>
      <c r="AA33" s="1296">
        <f t="shared" si="3"/>
        <v>1</v>
      </c>
      <c r="AB33" s="1296">
        <f t="shared" si="4"/>
        <v>1</v>
      </c>
      <c r="AC33" s="1648">
        <f t="shared" si="5"/>
        <v>1</v>
      </c>
    </row>
    <row r="34" spans="1:29" s="1071" customFormat="1" ht="15">
      <c r="A34" s="1166"/>
      <c r="B34" s="1107" t="s">
        <v>2085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837"/>
      <c r="Q34" s="1513" t="str">
        <f t="shared" si="11"/>
        <v>项目建筑规模</v>
      </c>
      <c r="R34" s="1287" t="s">
        <v>2064</v>
      </c>
      <c r="S34" s="1288" t="e">
        <f t="shared" si="12"/>
        <v>#N/A</v>
      </c>
      <c r="T34" s="1287" t="s">
        <v>2064</v>
      </c>
      <c r="U34" s="1288" t="e">
        <f t="shared" si="13"/>
        <v>#N/A</v>
      </c>
      <c r="V34" s="1287" t="s">
        <v>2064</v>
      </c>
      <c r="W34" s="1288" t="e">
        <f t="shared" si="14"/>
        <v>#N/A</v>
      </c>
      <c r="X34" s="1289"/>
      <c r="Y34" s="3841"/>
      <c r="Z34" s="1297" t="str">
        <f t="shared" si="15"/>
        <v>项目建筑规模</v>
      </c>
      <c r="AA34" s="1296" t="e">
        <f t="shared" si="3"/>
        <v>#N/A</v>
      </c>
      <c r="AB34" s="1296" t="e">
        <f t="shared" si="4"/>
        <v>#N/A</v>
      </c>
      <c r="AC34" s="1648" t="e">
        <f t="shared" si="5"/>
        <v>#N/A</v>
      </c>
    </row>
    <row r="35" spans="1:29" ht="15">
      <c r="A35" s="1161"/>
      <c r="B35" s="1107" t="s">
        <v>2086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837"/>
      <c r="Q35" s="664" t="str">
        <f t="shared" si="11"/>
        <v>建筑结构</v>
      </c>
      <c r="R35" s="1285" t="s">
        <v>2064</v>
      </c>
      <c r="S35" s="1286">
        <f t="shared" si="12"/>
        <v>100</v>
      </c>
      <c r="T35" s="1285" t="s">
        <v>2064</v>
      </c>
      <c r="U35" s="1286">
        <f t="shared" si="13"/>
        <v>100</v>
      </c>
      <c r="V35" s="1285" t="s">
        <v>2064</v>
      </c>
      <c r="W35" s="1286">
        <f t="shared" si="14"/>
        <v>100</v>
      </c>
      <c r="X35" s="1279"/>
      <c r="Y35" s="3841"/>
      <c r="Z35" s="1269" t="str">
        <f t="shared" si="15"/>
        <v>建筑结构</v>
      </c>
      <c r="AA35" s="1296">
        <f t="shared" si="3"/>
        <v>1</v>
      </c>
      <c r="AB35" s="1296">
        <f t="shared" si="4"/>
        <v>1</v>
      </c>
      <c r="AC35" s="1648">
        <f t="shared" si="5"/>
        <v>1</v>
      </c>
    </row>
    <row r="36" spans="1:29" ht="15">
      <c r="A36" s="1161"/>
      <c r="B36" s="1107" t="s">
        <v>2088</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837"/>
      <c r="Q36" s="664" t="str">
        <f t="shared" si="11"/>
        <v>公共部分装修</v>
      </c>
      <c r="R36" s="1285" t="s">
        <v>2064</v>
      </c>
      <c r="S36" s="1286">
        <f t="shared" si="12"/>
        <v>100</v>
      </c>
      <c r="T36" s="1285" t="s">
        <v>2064</v>
      </c>
      <c r="U36" s="1286">
        <f t="shared" si="13"/>
        <v>100</v>
      </c>
      <c r="V36" s="1285" t="s">
        <v>2064</v>
      </c>
      <c r="W36" s="1286">
        <f t="shared" si="14"/>
        <v>100</v>
      </c>
      <c r="X36" s="1279"/>
      <c r="Y36" s="3841"/>
      <c r="Z36" s="1269" t="str">
        <f t="shared" si="15"/>
        <v>公共部分装修</v>
      </c>
      <c r="AA36" s="1296">
        <f t="shared" si="3"/>
        <v>1</v>
      </c>
      <c r="AB36" s="1296">
        <f t="shared" si="4"/>
        <v>1</v>
      </c>
      <c r="AC36" s="1648">
        <f t="shared" si="5"/>
        <v>1</v>
      </c>
    </row>
    <row r="37" spans="1:29" ht="15">
      <c r="A37" s="1161"/>
      <c r="B37" s="1107" t="s">
        <v>1202</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837"/>
      <c r="Q37" s="664" t="str">
        <f t="shared" si="11"/>
        <v>成新度</v>
      </c>
      <c r="R37" s="1285" t="s">
        <v>2064</v>
      </c>
      <c r="S37" s="1286" t="e">
        <f t="shared" si="12"/>
        <v>#N/A</v>
      </c>
      <c r="T37" s="1285" t="s">
        <v>2064</v>
      </c>
      <c r="U37" s="1286" t="e">
        <f t="shared" si="13"/>
        <v>#N/A</v>
      </c>
      <c r="V37" s="1285" t="s">
        <v>2064</v>
      </c>
      <c r="W37" s="1286" t="e">
        <f t="shared" si="14"/>
        <v>#N/A</v>
      </c>
      <c r="X37" s="1279"/>
      <c r="Y37" s="3841"/>
      <c r="Z37" s="1269" t="str">
        <f t="shared" si="15"/>
        <v>成新度</v>
      </c>
      <c r="AA37" s="1296" t="e">
        <f t="shared" si="3"/>
        <v>#N/A</v>
      </c>
      <c r="AB37" s="1296" t="e">
        <f t="shared" si="4"/>
        <v>#N/A</v>
      </c>
      <c r="AC37" s="1648" t="e">
        <f t="shared" si="5"/>
        <v>#N/A</v>
      </c>
    </row>
    <row r="38" spans="1:29" s="1069" customFormat="1" ht="15">
      <c r="A38" s="1163"/>
      <c r="B38" s="1107" t="s">
        <v>2152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837"/>
      <c r="Q38" s="1284" t="str">
        <f t="shared" si="11"/>
        <v>写字楼等级</v>
      </c>
      <c r="R38" s="1280" t="s">
        <v>2064</v>
      </c>
      <c r="S38" s="1281">
        <f t="shared" si="12"/>
        <v>100</v>
      </c>
      <c r="T38" s="1280" t="s">
        <v>2064</v>
      </c>
      <c r="U38" s="1281">
        <f t="shared" si="13"/>
        <v>100</v>
      </c>
      <c r="V38" s="1280" t="s">
        <v>2064</v>
      </c>
      <c r="W38" s="1281">
        <f t="shared" si="14"/>
        <v>100</v>
      </c>
      <c r="X38" s="1282"/>
      <c r="Y38" s="3841"/>
      <c r="Z38" s="1295" t="str">
        <f t="shared" si="15"/>
        <v>写字楼等级</v>
      </c>
      <c r="AA38" s="1294">
        <f t="shared" si="3"/>
        <v>1</v>
      </c>
      <c r="AB38" s="1294">
        <f t="shared" si="4"/>
        <v>1</v>
      </c>
      <c r="AC38" s="1647">
        <f t="shared" si="5"/>
        <v>1</v>
      </c>
    </row>
    <row r="39" spans="1:29" ht="15">
      <c r="A39" s="1161"/>
      <c r="B39" s="1107" t="s">
        <v>2089</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837" t="s">
        <v>2084</v>
      </c>
      <c r="Q39" s="664" t="str">
        <f t="shared" si="11"/>
        <v>物业管理</v>
      </c>
      <c r="R39" s="1285" t="s">
        <v>2064</v>
      </c>
      <c r="S39" s="1286">
        <f t="shared" si="12"/>
        <v>100</v>
      </c>
      <c r="T39" s="1285" t="s">
        <v>2064</v>
      </c>
      <c r="U39" s="1286">
        <f t="shared" si="13"/>
        <v>100</v>
      </c>
      <c r="V39" s="1285" t="s">
        <v>2064</v>
      </c>
      <c r="W39" s="1286">
        <f t="shared" si="14"/>
        <v>100</v>
      </c>
      <c r="X39" s="1279"/>
      <c r="Y39" s="3841" t="s">
        <v>2084</v>
      </c>
      <c r="Z39" s="1269" t="str">
        <f t="shared" si="15"/>
        <v>物业管理</v>
      </c>
      <c r="AA39" s="1296">
        <f t="shared" si="3"/>
        <v>1</v>
      </c>
      <c r="AB39" s="1296">
        <f t="shared" si="4"/>
        <v>1</v>
      </c>
      <c r="AC39" s="1648">
        <f t="shared" si="5"/>
        <v>1</v>
      </c>
    </row>
    <row r="40" spans="1:29" ht="15">
      <c r="A40" s="1161"/>
      <c r="B40" s="1107" t="s">
        <v>2090</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837"/>
      <c r="Q40" s="664" t="str">
        <f t="shared" si="11"/>
        <v>市政基础设施</v>
      </c>
      <c r="R40" s="1285" t="s">
        <v>2064</v>
      </c>
      <c r="S40" s="1286">
        <f t="shared" si="12"/>
        <v>100</v>
      </c>
      <c r="T40" s="1285" t="s">
        <v>2064</v>
      </c>
      <c r="U40" s="1286">
        <f t="shared" si="13"/>
        <v>100</v>
      </c>
      <c r="V40" s="1285" t="s">
        <v>2064</v>
      </c>
      <c r="W40" s="1286">
        <f t="shared" si="14"/>
        <v>100</v>
      </c>
      <c r="X40" s="1279"/>
      <c r="Y40" s="3841"/>
      <c r="Z40" s="1269" t="str">
        <f t="shared" si="15"/>
        <v>市政基础设施</v>
      </c>
      <c r="AA40" s="1296">
        <f t="shared" si="3"/>
        <v>1</v>
      </c>
      <c r="AB40" s="1296">
        <f t="shared" si="4"/>
        <v>1</v>
      </c>
      <c r="AC40" s="1648">
        <f t="shared" si="5"/>
        <v>1</v>
      </c>
    </row>
    <row r="41" spans="1:29" ht="15">
      <c r="A41" s="1161"/>
      <c r="B41" s="1107" t="s">
        <v>2144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837"/>
      <c r="Q41" s="664" t="str">
        <f t="shared" si="11"/>
        <v>层高</v>
      </c>
      <c r="R41" s="1285" t="s">
        <v>2064</v>
      </c>
      <c r="S41" s="1286">
        <f t="shared" si="12"/>
        <v>100</v>
      </c>
      <c r="T41" s="1285" t="s">
        <v>2064</v>
      </c>
      <c r="U41" s="1286">
        <f t="shared" si="13"/>
        <v>100</v>
      </c>
      <c r="V41" s="1285" t="s">
        <v>2064</v>
      </c>
      <c r="W41" s="1286">
        <f t="shared" si="14"/>
        <v>100</v>
      </c>
      <c r="X41" s="1279"/>
      <c r="Y41" s="3841"/>
      <c r="Z41" s="1269" t="str">
        <f t="shared" si="15"/>
        <v>层高</v>
      </c>
      <c r="AA41" s="1296">
        <f t="shared" si="3"/>
        <v>1</v>
      </c>
      <c r="AB41" s="1296">
        <f t="shared" si="4"/>
        <v>1</v>
      </c>
      <c r="AC41" s="1648">
        <f t="shared" si="5"/>
        <v>1</v>
      </c>
    </row>
    <row r="42" spans="1:29" s="1071" customFormat="1" ht="15">
      <c r="A42" s="1166"/>
      <c r="B42" s="1264" t="s">
        <v>2153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837"/>
      <c r="Q42" s="1513" t="str">
        <f t="shared" si="11"/>
        <v>单套建筑面积</v>
      </c>
      <c r="R42" s="1287" t="s">
        <v>2064</v>
      </c>
      <c r="S42" s="1288">
        <f t="shared" si="12"/>
        <v>100</v>
      </c>
      <c r="T42" s="1287" t="s">
        <v>2064</v>
      </c>
      <c r="U42" s="1288">
        <f t="shared" si="13"/>
        <v>100</v>
      </c>
      <c r="V42" s="1287" t="s">
        <v>2064</v>
      </c>
      <c r="W42" s="1288">
        <f t="shared" si="14"/>
        <v>100</v>
      </c>
      <c r="X42" s="1289"/>
      <c r="Y42" s="3841"/>
      <c r="Z42" s="1297" t="str">
        <f t="shared" si="15"/>
        <v>单套建筑面积</v>
      </c>
      <c r="AA42" s="1296">
        <f t="shared" si="3"/>
        <v>1</v>
      </c>
      <c r="AB42" s="1296">
        <f t="shared" si="4"/>
        <v>1</v>
      </c>
      <c r="AC42" s="1648">
        <f t="shared" si="5"/>
        <v>1</v>
      </c>
    </row>
    <row r="43" spans="1:29" ht="15">
      <c r="A43" s="1161"/>
      <c r="B43" s="1107" t="s">
        <v>2093</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837"/>
      <c r="Q43" s="664" t="str">
        <f t="shared" si="11"/>
        <v>内部装修</v>
      </c>
      <c r="R43" s="1285" t="s">
        <v>2064</v>
      </c>
      <c r="S43" s="1286">
        <f t="shared" si="12"/>
        <v>100</v>
      </c>
      <c r="T43" s="1285" t="s">
        <v>2064</v>
      </c>
      <c r="U43" s="1286">
        <f t="shared" si="13"/>
        <v>100</v>
      </c>
      <c r="V43" s="1285" t="s">
        <v>2064</v>
      </c>
      <c r="W43" s="1286">
        <f t="shared" si="14"/>
        <v>100</v>
      </c>
      <c r="X43" s="1279"/>
      <c r="Y43" s="3841"/>
      <c r="Z43" s="1269" t="str">
        <f t="shared" si="15"/>
        <v>内部装修</v>
      </c>
      <c r="AA43" s="1296">
        <f t="shared" si="3"/>
        <v>1</v>
      </c>
      <c r="AB43" s="1296">
        <f t="shared" si="4"/>
        <v>1</v>
      </c>
      <c r="AC43" s="1648">
        <f t="shared" si="5"/>
        <v>1</v>
      </c>
    </row>
    <row r="44" spans="1:29" ht="15">
      <c r="A44" s="1161"/>
      <c r="B44" s="1107" t="s">
        <v>2094</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837"/>
      <c r="Q44" s="664" t="str">
        <f t="shared" si="11"/>
        <v>内部装修维护情况</v>
      </c>
      <c r="R44" s="1285" t="s">
        <v>2064</v>
      </c>
      <c r="S44" s="1286">
        <f t="shared" si="12"/>
        <v>100</v>
      </c>
      <c r="T44" s="1285" t="s">
        <v>2064</v>
      </c>
      <c r="U44" s="1286">
        <f t="shared" si="13"/>
        <v>100</v>
      </c>
      <c r="V44" s="1285" t="s">
        <v>2064</v>
      </c>
      <c r="W44" s="1286">
        <f t="shared" si="14"/>
        <v>100</v>
      </c>
      <c r="X44" s="1279"/>
      <c r="Y44" s="3841"/>
      <c r="Z44" s="1269" t="str">
        <f t="shared" si="15"/>
        <v>内部装修维护情况</v>
      </c>
      <c r="AA44" s="1296">
        <f t="shared" si="3"/>
        <v>1</v>
      </c>
      <c r="AB44" s="1296">
        <f t="shared" si="4"/>
        <v>1</v>
      </c>
      <c r="AC44" s="1648">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837"/>
      <c r="Q45" s="1284">
        <f t="shared" si="11"/>
        <v>111</v>
      </c>
      <c r="R45" s="1280" t="s">
        <v>2064</v>
      </c>
      <c r="S45" s="1281">
        <f t="shared" si="12"/>
        <v>100</v>
      </c>
      <c r="T45" s="1280" t="s">
        <v>2064</v>
      </c>
      <c r="U45" s="1281">
        <f t="shared" si="13"/>
        <v>100</v>
      </c>
      <c r="V45" s="1280" t="s">
        <v>2064</v>
      </c>
      <c r="W45" s="1281">
        <f t="shared" si="14"/>
        <v>100</v>
      </c>
      <c r="X45" s="1282"/>
      <c r="Y45" s="3841"/>
      <c r="Z45" s="1295">
        <f t="shared" si="15"/>
        <v>111</v>
      </c>
      <c r="AA45" s="1294">
        <f t="shared" si="3"/>
        <v>1</v>
      </c>
      <c r="AB45" s="1294">
        <f t="shared" si="4"/>
        <v>1</v>
      </c>
      <c r="AC45" s="1647">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837"/>
      <c r="Q46" s="664">
        <f t="shared" si="11"/>
        <v>111</v>
      </c>
      <c r="R46" s="1285" t="s">
        <v>2064</v>
      </c>
      <c r="S46" s="1286">
        <f t="shared" si="12"/>
        <v>100</v>
      </c>
      <c r="T46" s="1285" t="s">
        <v>2064</v>
      </c>
      <c r="U46" s="1286">
        <f t="shared" si="13"/>
        <v>100</v>
      </c>
      <c r="V46" s="1285" t="s">
        <v>2064</v>
      </c>
      <c r="W46" s="1286">
        <f t="shared" si="14"/>
        <v>100</v>
      </c>
      <c r="X46" s="1279"/>
      <c r="Y46" s="3841"/>
      <c r="Z46" s="1269">
        <f t="shared" si="15"/>
        <v>111</v>
      </c>
      <c r="AA46" s="1296">
        <f t="shared" si="3"/>
        <v>1</v>
      </c>
      <c r="AB46" s="1296">
        <f t="shared" si="4"/>
        <v>1</v>
      </c>
      <c r="AC46" s="1648">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838"/>
      <c r="Q47" s="664">
        <f t="shared" si="11"/>
        <v>111</v>
      </c>
      <c r="R47" s="1285" t="s">
        <v>2064</v>
      </c>
      <c r="S47" s="1286">
        <f t="shared" si="12"/>
        <v>100</v>
      </c>
      <c r="T47" s="1285" t="s">
        <v>2064</v>
      </c>
      <c r="U47" s="1286">
        <f t="shared" si="13"/>
        <v>100</v>
      </c>
      <c r="V47" s="1285" t="s">
        <v>2064</v>
      </c>
      <c r="W47" s="1286">
        <f t="shared" si="14"/>
        <v>100</v>
      </c>
      <c r="X47" s="1279"/>
      <c r="Y47" s="3842"/>
      <c r="Z47" s="1269">
        <f t="shared" si="15"/>
        <v>111</v>
      </c>
      <c r="AA47" s="1296">
        <f t="shared" si="3"/>
        <v>1</v>
      </c>
      <c r="AB47" s="1296">
        <f t="shared" si="4"/>
        <v>1</v>
      </c>
      <c r="AC47" s="1648">
        <f t="shared" si="5"/>
        <v>1</v>
      </c>
    </row>
    <row r="48" spans="1:29" ht="15">
      <c r="A48" s="1168" t="s">
        <v>2095</v>
      </c>
      <c r="B48" s="1488"/>
      <c r="C48" s="1489" t="s">
        <v>124</v>
      </c>
      <c r="D48" s="1490"/>
      <c r="E48" s="1491"/>
      <c r="F48" s="1492"/>
      <c r="G48" s="1493"/>
      <c r="H48" s="1494"/>
      <c r="I48" s="1491"/>
      <c r="J48" s="1175"/>
      <c r="K48" s="1260"/>
      <c r="L48" s="1261"/>
      <c r="M48" s="1237"/>
      <c r="N48" s="1237"/>
      <c r="O48" s="1237"/>
      <c r="P48" s="3833" t="str">
        <f>A48</f>
        <v>成交单价（元/平方米）</v>
      </c>
      <c r="Q48" s="3826"/>
      <c r="R48" s="3827">
        <f>E48</f>
        <v>0</v>
      </c>
      <c r="S48" s="3827"/>
      <c r="T48" s="3827">
        <f>G48</f>
        <v>0</v>
      </c>
      <c r="U48" s="3827"/>
      <c r="V48" s="3827">
        <f>I48</f>
        <v>0</v>
      </c>
      <c r="W48" s="3827"/>
      <c r="X48" s="1419"/>
      <c r="Y48" s="1298"/>
      <c r="Z48" s="1419"/>
      <c r="AA48" s="1419"/>
      <c r="AB48" s="1419"/>
      <c r="AC48" s="1129"/>
    </row>
    <row r="49" spans="1:29" ht="15">
      <c r="A49" s="1176" t="s">
        <v>2096</v>
      </c>
      <c r="B49" s="1495"/>
      <c r="C49" s="1496" t="e">
        <f>R50</f>
        <v>#DIV/0!</v>
      </c>
      <c r="D49" s="1179" t="s">
        <v>2097</v>
      </c>
      <c r="E49" s="1497" t="e">
        <f>R49</f>
        <v>#DIV/0!</v>
      </c>
      <c r="F49" s="1180"/>
      <c r="G49" s="1496" t="e">
        <f>T49</f>
        <v>#DIV/0!</v>
      </c>
      <c r="H49" s="1180"/>
      <c r="I49" s="1497" t="e">
        <f>V49</f>
        <v>#DIV/0!</v>
      </c>
      <c r="J49" s="1180"/>
      <c r="K49" s="1262">
        <f>F49+H49+J49</f>
        <v>0</v>
      </c>
      <c r="L49" s="1261"/>
      <c r="M49" s="1237"/>
      <c r="N49" s="1237"/>
      <c r="O49" s="1237"/>
      <c r="P49" s="3833" t="str">
        <f>A49</f>
        <v>比较价值（元/平方米）</v>
      </c>
      <c r="Q49" s="3826"/>
      <c r="R49" s="3827" t="e">
        <f>IF(F1="售价",ROUND(PRODUCT(R48,AA7:AA47),0),ROUND(PRODUCT(R48,AA7:AA47),1))</f>
        <v>#DIV/0!</v>
      </c>
      <c r="S49" s="3827"/>
      <c r="T49" s="3827" t="e">
        <f>IF(F1="售价",ROUND(PRODUCT(T48,AB7:AB47),0),ROUND(PRODUCT(T48,AB7:AB47),1))</f>
        <v>#DIV/0!</v>
      </c>
      <c r="U49" s="3827"/>
      <c r="V49" s="3827" t="e">
        <f>IF(F1="售价",ROUND(PRODUCT(V48,AC7:AC47),0),ROUND(PRODUCT(V48,AC7:AC47),1))</f>
        <v>#DIV/0!</v>
      </c>
      <c r="W49" s="3827"/>
      <c r="X49" s="1419"/>
      <c r="Y49" s="1419"/>
      <c r="Z49" s="1419"/>
      <c r="AA49" s="1419"/>
      <c r="AB49" s="1419"/>
      <c r="AC49" s="1129"/>
    </row>
    <row r="50" spans="1:29" ht="15">
      <c r="A50" s="1182" t="s">
        <v>2098</v>
      </c>
      <c r="B50" s="1183"/>
      <c r="C50" s="1498" t="e">
        <f>R50</f>
        <v>#DIV/0!</v>
      </c>
      <c r="D50" s="1498"/>
      <c r="E50" s="1498"/>
      <c r="F50" s="1498"/>
      <c r="G50" s="1498"/>
      <c r="H50" s="1498"/>
      <c r="I50" s="1498"/>
      <c r="J50" s="1184"/>
      <c r="K50" s="1263"/>
      <c r="L50" s="1261"/>
      <c r="M50" s="1237"/>
      <c r="N50" s="1237"/>
      <c r="O50" s="1237"/>
      <c r="P50" s="3890" t="str">
        <f>A50</f>
        <v>估价对象XX用房的比较价值（楼面单价，元/平方米）</v>
      </c>
      <c r="Q50" s="3891"/>
      <c r="R50" s="3892" t="e">
        <f>IF(F1="售价",ROUND(IF(D49="简单平均",AVERAGE(R49:V49),R49*F49+T49*H49+V49*J49),0),ROUND(IF(D49="简单平均",AVERAGE(R49:V49),R49*F49+T49*H49+V49*J49),1))</f>
        <v>#DIV/0!</v>
      </c>
      <c r="S50" s="3892"/>
      <c r="T50" s="3892"/>
      <c r="U50" s="3892"/>
      <c r="V50" s="3892"/>
      <c r="W50" s="3892"/>
      <c r="X50" s="1646"/>
      <c r="Y50" s="1646"/>
      <c r="Z50" s="1646"/>
      <c r="AA50" s="1646"/>
      <c r="AB50" s="1646"/>
      <c r="AC50" s="1649"/>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2099</v>
      </c>
      <c r="D53" s="709"/>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2100</v>
      </c>
      <c r="D54" s="708"/>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2101</v>
      </c>
      <c r="D55" s="708"/>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2102</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2062</v>
      </c>
      <c r="B59" s="1501"/>
      <c r="C59" s="1502" t="str">
        <f>YEAR(C7)&amp;"-"&amp;MONTH(C7)</f>
        <v>2024-1</v>
      </c>
      <c r="D59" s="1503">
        <f>EDATE(C59,-1)</f>
        <v>45261</v>
      </c>
      <c r="E59" s="1503">
        <f>EDATE(D59,-1)</f>
        <v>45231</v>
      </c>
      <c r="F59" s="1503">
        <f t="shared" ref="F59:O59" si="16">EDATE(E59,-1)</f>
        <v>45200</v>
      </c>
      <c r="G59" s="1503">
        <f t="shared" si="16"/>
        <v>45170</v>
      </c>
      <c r="H59" s="1503">
        <f t="shared" si="16"/>
        <v>45139</v>
      </c>
      <c r="I59" s="1503">
        <f t="shared" si="16"/>
        <v>45108</v>
      </c>
      <c r="J59" s="1503">
        <f t="shared" si="16"/>
        <v>45078</v>
      </c>
      <c r="K59" s="1503">
        <f t="shared" si="16"/>
        <v>45047</v>
      </c>
      <c r="L59" s="1503">
        <f t="shared" si="16"/>
        <v>45017</v>
      </c>
      <c r="M59" s="1503">
        <f t="shared" si="16"/>
        <v>44986</v>
      </c>
      <c r="N59" s="1503">
        <f t="shared" si="16"/>
        <v>44958</v>
      </c>
      <c r="O59" s="1503">
        <f t="shared" si="16"/>
        <v>44927</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2103</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2065</v>
      </c>
      <c r="B62" s="1310"/>
      <c r="C62" s="1311" t="s">
        <v>2104</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44">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2105</v>
      </c>
      <c r="B64" s="1316" t="s">
        <v>2068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2071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2072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1"/>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2073</v>
      </c>
      <c r="B77" s="1316" t="s">
        <v>2149</v>
      </c>
      <c r="C77" s="1337" t="s">
        <v>2106</v>
      </c>
      <c r="D77" s="1337" t="s">
        <v>2107</v>
      </c>
      <c r="E77" s="1337" t="s">
        <v>2108</v>
      </c>
      <c r="F77" s="1337" t="s">
        <v>2109</v>
      </c>
      <c r="G77" s="1337" t="s">
        <v>2110</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2076</v>
      </c>
      <c r="C79" s="1339" t="s">
        <v>2106</v>
      </c>
      <c r="D79" s="1339" t="s">
        <v>2107</v>
      </c>
      <c r="E79" s="1339" t="s">
        <v>2108</v>
      </c>
      <c r="F79" s="1339" t="s">
        <v>2109</v>
      </c>
      <c r="G79" s="1339" t="s">
        <v>2110</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2077</v>
      </c>
      <c r="C81" s="1339" t="s">
        <v>2106</v>
      </c>
      <c r="D81" s="1339" t="s">
        <v>2107</v>
      </c>
      <c r="E81" s="1339" t="s">
        <v>2108</v>
      </c>
      <c r="F81" s="1339" t="s">
        <v>2109</v>
      </c>
      <c r="G81" s="1339" t="s">
        <v>2110</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2078</v>
      </c>
      <c r="C83" s="1344" t="s">
        <v>2111</v>
      </c>
      <c r="D83" s="1344" t="s">
        <v>2112</v>
      </c>
      <c r="E83" s="1344" t="s">
        <v>2113</v>
      </c>
      <c r="F83" s="1344" t="s">
        <v>2114</v>
      </c>
      <c r="G83" s="1344" t="s">
        <v>2115</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2150</v>
      </c>
      <c r="C85" s="1339" t="s">
        <v>2106</v>
      </c>
      <c r="D85" s="1339" t="s">
        <v>2107</v>
      </c>
      <c r="E85" s="1339" t="s">
        <v>2108</v>
      </c>
      <c r="F85" s="1339" t="s">
        <v>2109</v>
      </c>
      <c r="G85" s="1339" t="s">
        <v>2110</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2151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50"/>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25"/>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2082</v>
      </c>
      <c r="B101" s="1316" t="s">
        <v>2083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2085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2086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2088</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1202</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2">
        <v>0.5</v>
      </c>
      <c r="D111" s="842">
        <v>0.6</v>
      </c>
      <c r="E111" s="842">
        <v>0.7</v>
      </c>
      <c r="F111" s="842">
        <v>0.8</v>
      </c>
      <c r="G111" s="842">
        <v>0.9</v>
      </c>
      <c r="H111" s="842">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2152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2089</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2090</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2154</v>
      </c>
      <c r="C119" s="1345"/>
      <c r="D119" s="1345"/>
      <c r="E119" s="1345"/>
      <c r="F119" s="1345"/>
      <c r="G119" s="1345"/>
      <c r="H119" s="1345"/>
      <c r="I119" s="1345"/>
      <c r="J119" s="1345"/>
      <c r="K119" s="1345"/>
      <c r="L119" s="1652"/>
      <c r="M119" s="1653"/>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2145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2093</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2094</v>
      </c>
      <c r="C125" s="1339" t="s">
        <v>2106</v>
      </c>
      <c r="D125" s="1339" t="s">
        <v>2107</v>
      </c>
      <c r="E125" s="1339" t="s">
        <v>2108</v>
      </c>
      <c r="F125" s="1339" t="s">
        <v>2109</v>
      </c>
      <c r="G125" s="1339" t="s">
        <v>2110</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25"/>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workbookViewId="0">
      <selection activeCell="D57" sqref="D57"/>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2044</v>
      </c>
      <c r="B1" s="1584" t="s">
        <v>2155</v>
      </c>
      <c r="C1" s="1450" t="s">
        <v>2046</v>
      </c>
      <c r="D1" s="1451" t="s">
        <v>3405</v>
      </c>
      <c r="E1" s="1452" t="s">
        <v>3344</v>
      </c>
      <c r="F1" s="1453" t="s">
        <v>2156</v>
      </c>
      <c r="G1" s="1454" t="s">
        <v>2047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1561</v>
      </c>
      <c r="B2" s="1457">
        <f>IF(E1="项目模式",IF(C2="——",ROUND(C43*D3/10000,0),ROUND(C43*D3/10000,0)-D2),IF(E1="单套模式",IF(C2="——",ROUND(C43*D3/10000,4),ROUND(C43*D3/10000,4)-D2)))</f>
        <v>60.2014</v>
      </c>
      <c r="C2" s="1458" t="s">
        <v>124</v>
      </c>
      <c r="D2" s="1414" t="e">
        <f ca="1">IF(E1="项目模式",SUMIF(INDIRECT("'"&amp;F2&amp;"'"&amp;"!A:A"),"承租人权益价值",INDIRECT("'"&amp;F2&amp;"'"&amp;"!c:c")),SUMIF(INDIRECT("'"&amp;F2&amp;"'"&amp;"!A:A"),"承租人权益价值（单套）",INDIRECT("'"&amp;F2&amp;"'"&amp;"!c:c")))</f>
        <v>#REF!</v>
      </c>
      <c r="E2" s="1459" t="s">
        <v>1562</v>
      </c>
      <c r="F2" s="1460"/>
      <c r="G2" s="1084"/>
      <c r="H2" s="1084"/>
      <c r="I2" s="1084"/>
      <c r="J2" s="1084"/>
      <c r="K2" s="1084"/>
      <c r="L2" s="1593"/>
      <c r="M2" s="1594"/>
      <c r="N2" s="1594"/>
      <c r="O2" s="1594"/>
      <c r="P2" s="1231"/>
      <c r="Q2" s="1231"/>
      <c r="R2" s="1231"/>
      <c r="S2" s="1231"/>
      <c r="T2" s="1231"/>
      <c r="U2" s="1231"/>
      <c r="V2" s="1231"/>
      <c r="W2" s="1231"/>
      <c r="X2" s="1231"/>
      <c r="Y2" s="1231"/>
      <c r="Z2" s="1231"/>
      <c r="AA2" s="1231"/>
      <c r="AB2" s="1231"/>
      <c r="AC2" s="1293"/>
    </row>
    <row r="3" spans="1:29" s="1068" customFormat="1" ht="28.5" customHeight="1">
      <c r="A3" s="381" t="s">
        <v>1563</v>
      </c>
      <c r="B3" s="1086">
        <f>IF(C2="——",C43,ROUND(B2*10000/D3,0))</f>
        <v>15464</v>
      </c>
      <c r="C3" s="1461" t="s">
        <v>2048</v>
      </c>
      <c r="D3" s="1462">
        <f>IF(D1="",'数据-汇总表'!E3,SUMIF('数据-汇总表'!$C19:$C33,D1,'数据-汇总表'!$E19:$E33))</f>
        <v>38.93</v>
      </c>
      <c r="E3" s="1084"/>
      <c r="F3" s="1085"/>
      <c r="G3" s="1084"/>
      <c r="H3" s="1084"/>
      <c r="I3" s="1084"/>
      <c r="J3" s="1084"/>
      <c r="K3" s="1232"/>
      <c r="L3" s="1593"/>
      <c r="M3" s="1594"/>
      <c r="N3" s="1594"/>
      <c r="O3" s="1594"/>
      <c r="P3" s="1231"/>
      <c r="Q3" s="1231"/>
      <c r="R3" s="1231"/>
      <c r="S3" s="1231"/>
      <c r="T3" s="1231"/>
      <c r="U3" s="1231"/>
      <c r="V3" s="1231"/>
      <c r="W3" s="1231"/>
      <c r="X3" s="1231"/>
      <c r="Y3" s="1231"/>
      <c r="Z3" s="1231"/>
      <c r="AA3" s="1231"/>
      <c r="AB3" s="1292"/>
      <c r="AC3" s="1293"/>
    </row>
    <row r="4" spans="1:29" ht="15">
      <c r="A4" s="1088" t="s">
        <v>2049</v>
      </c>
      <c r="B4" s="1089"/>
      <c r="C4" s="3848" t="s">
        <v>2050</v>
      </c>
      <c r="D4" s="3849"/>
      <c r="E4" s="3850" t="s">
        <v>2051</v>
      </c>
      <c r="F4" s="3851"/>
      <c r="G4" s="3848" t="s">
        <v>2052</v>
      </c>
      <c r="H4" s="3849"/>
      <c r="I4" s="3848" t="s">
        <v>2053</v>
      </c>
      <c r="J4" s="3849"/>
      <c r="K4" s="1235" t="s">
        <v>2054</v>
      </c>
      <c r="L4" s="1595"/>
      <c r="M4" s="1596"/>
      <c r="N4" s="1596"/>
      <c r="O4" s="1596"/>
      <c r="P4" s="3814" t="s">
        <v>2055</v>
      </c>
      <c r="Q4" s="3815"/>
      <c r="R4" s="3820" t="s">
        <v>2051</v>
      </c>
      <c r="S4" s="3821"/>
      <c r="T4" s="3820" t="s">
        <v>2052</v>
      </c>
      <c r="U4" s="3821"/>
      <c r="V4" s="3813" t="s">
        <v>2053</v>
      </c>
      <c r="W4" s="3813"/>
      <c r="X4" s="1279"/>
      <c r="Y4" s="3820" t="s">
        <v>2055</v>
      </c>
      <c r="Z4" s="3821"/>
      <c r="AA4" s="3810" t="s">
        <v>2051</v>
      </c>
      <c r="AB4" s="3811" t="s">
        <v>2052</v>
      </c>
      <c r="AC4" s="3810" t="s">
        <v>2053</v>
      </c>
    </row>
    <row r="5" spans="1:29" ht="15">
      <c r="A5" s="1090"/>
      <c r="B5" s="1091"/>
      <c r="C5" s="3895" t="str">
        <f>项目基本情况!F10</f>
        <v>兴盛国际</v>
      </c>
      <c r="D5" s="3853"/>
      <c r="E5" s="3854" t="str">
        <f>案例!A2</f>
        <v>天骥智谷</v>
      </c>
      <c r="F5" s="3855"/>
      <c r="G5" s="3852" t="str">
        <f>案例!A4</f>
        <v>锋创科技园</v>
      </c>
      <c r="H5" s="3853"/>
      <c r="I5" s="3852" t="str">
        <f>案例!A5</f>
        <v>汇龙森科技</v>
      </c>
      <c r="J5" s="3853"/>
      <c r="K5" s="1235"/>
      <c r="L5" s="1595"/>
      <c r="M5" s="1596"/>
      <c r="N5" s="1596"/>
      <c r="O5" s="1596"/>
      <c r="P5" s="3816"/>
      <c r="Q5" s="3817"/>
      <c r="R5" s="3822"/>
      <c r="S5" s="3823"/>
      <c r="T5" s="3822"/>
      <c r="U5" s="3823"/>
      <c r="V5" s="3813"/>
      <c r="W5" s="3813"/>
      <c r="X5" s="1279"/>
      <c r="Y5" s="3822"/>
      <c r="Z5" s="3823"/>
      <c r="AA5" s="3811"/>
      <c r="AB5" s="3811"/>
      <c r="AC5" s="3811"/>
    </row>
    <row r="6" spans="1:29" ht="15">
      <c r="A6" s="1092"/>
      <c r="B6" s="1093"/>
      <c r="C6" s="3843" t="s">
        <v>2060</v>
      </c>
      <c r="D6" s="3844"/>
      <c r="E6" s="3845" t="s">
        <v>2060</v>
      </c>
      <c r="F6" s="3846"/>
      <c r="G6" s="3843" t="s">
        <v>2060</v>
      </c>
      <c r="H6" s="3844"/>
      <c r="I6" s="3843" t="s">
        <v>2060</v>
      </c>
      <c r="J6" s="3844"/>
      <c r="K6" s="1235" t="s">
        <v>2061</v>
      </c>
      <c r="L6" s="1595"/>
      <c r="M6" s="1596"/>
      <c r="N6" s="1596"/>
      <c r="O6" s="1596"/>
      <c r="P6" s="3818"/>
      <c r="Q6" s="3819"/>
      <c r="R6" s="3822"/>
      <c r="S6" s="3823"/>
      <c r="T6" s="3824"/>
      <c r="U6" s="3825"/>
      <c r="V6" s="3813"/>
      <c r="W6" s="3813"/>
      <c r="X6" s="1279"/>
      <c r="Y6" s="3824"/>
      <c r="Z6" s="3825"/>
      <c r="AA6" s="3812"/>
      <c r="AB6" s="3812"/>
      <c r="AC6" s="3812"/>
    </row>
    <row r="7" spans="1:29" s="1069" customFormat="1" ht="15">
      <c r="A7" s="1094" t="s">
        <v>2062</v>
      </c>
      <c r="B7" s="1095"/>
      <c r="C7" s="1096">
        <f>'数据-取费表'!B2</f>
        <v>45300</v>
      </c>
      <c r="D7" s="1097">
        <v>100</v>
      </c>
      <c r="E7" s="1098">
        <v>45292</v>
      </c>
      <c r="F7" s="1099">
        <f>SUMIF(52:52,YEAR(E7)&amp;"-"&amp;MONTH(E7),53:53)</f>
        <v>100</v>
      </c>
      <c r="G7" s="1098">
        <v>45292</v>
      </c>
      <c r="H7" s="1097">
        <f>SUMIF(52:52,YEAR(G7)&amp;"-"&amp;MONTH(G7),53:53)</f>
        <v>100</v>
      </c>
      <c r="I7" s="1098">
        <v>45292</v>
      </c>
      <c r="J7" s="1097">
        <f>SUMIF(52:52,YEAR(I7)&amp;"-"&amp;MONTH(I7),53:53)</f>
        <v>100</v>
      </c>
      <c r="K7" s="1238"/>
      <c r="L7" s="1597"/>
      <c r="M7" s="1598"/>
      <c r="N7" s="1598"/>
      <c r="O7" s="1598"/>
      <c r="P7" s="3831" t="s">
        <v>2063</v>
      </c>
      <c r="Q7" s="3847"/>
      <c r="R7" s="1280" t="s">
        <v>2064</v>
      </c>
      <c r="S7" s="1281">
        <f t="shared" ref="S7:S15" si="0">F7</f>
        <v>100</v>
      </c>
      <c r="T7" s="1280" t="s">
        <v>2064</v>
      </c>
      <c r="U7" s="1281">
        <f t="shared" ref="U7:U15" si="1">H7</f>
        <v>100</v>
      </c>
      <c r="V7" s="1280" t="s">
        <v>2064</v>
      </c>
      <c r="W7" s="1281">
        <f t="shared" ref="W7:W15" si="2">J7</f>
        <v>100</v>
      </c>
      <c r="X7" s="1282"/>
      <c r="Y7" s="3831" t="s">
        <v>2063</v>
      </c>
      <c r="Z7" s="3832"/>
      <c r="AA7" s="1294">
        <f>D7/F7</f>
        <v>1</v>
      </c>
      <c r="AB7" s="1294">
        <f>D7/H7</f>
        <v>1</v>
      </c>
      <c r="AC7" s="1294">
        <f>D7/J7</f>
        <v>1</v>
      </c>
    </row>
    <row r="8" spans="1:29" s="1069" customFormat="1" ht="15">
      <c r="A8" s="1094" t="s">
        <v>2065</v>
      </c>
      <c r="B8" s="1095"/>
      <c r="C8" s="1101" t="s">
        <v>1448</v>
      </c>
      <c r="D8" s="1097">
        <v>100</v>
      </c>
      <c r="E8" s="1101" t="s">
        <v>2157</v>
      </c>
      <c r="F8" s="1099">
        <f>SUMIF(55:55,E8,56:56)-SUMIF(55:55,C8,56:56)+100</f>
        <v>105</v>
      </c>
      <c r="G8" s="1101" t="s">
        <v>2157</v>
      </c>
      <c r="H8" s="1097">
        <f>SUMIF(55:55,G8,56:56)-SUMIF(55:55,C8,56:56)+100</f>
        <v>105</v>
      </c>
      <c r="I8" s="1101" t="s">
        <v>2157</v>
      </c>
      <c r="J8" s="1097">
        <f>SUMIF(55:55,I8,56:56)-SUMIF(55:55,C8,56:56)+100</f>
        <v>105</v>
      </c>
      <c r="K8" s="1238"/>
      <c r="L8" s="1597"/>
      <c r="M8" s="1598"/>
      <c r="N8" s="1598"/>
      <c r="O8" s="1598"/>
      <c r="P8" s="3831" t="s">
        <v>2066</v>
      </c>
      <c r="Q8" s="3832"/>
      <c r="R8" s="1280" t="s">
        <v>2064</v>
      </c>
      <c r="S8" s="1281">
        <f t="shared" si="0"/>
        <v>105</v>
      </c>
      <c r="T8" s="1280" t="s">
        <v>2064</v>
      </c>
      <c r="U8" s="1281">
        <f t="shared" si="1"/>
        <v>105</v>
      </c>
      <c r="V8" s="1280" t="s">
        <v>2064</v>
      </c>
      <c r="W8" s="1281">
        <f t="shared" si="2"/>
        <v>105</v>
      </c>
      <c r="X8" s="1282"/>
      <c r="Y8" s="3831" t="s">
        <v>2066</v>
      </c>
      <c r="Z8" s="3832"/>
      <c r="AA8" s="1294">
        <f t="shared" ref="AA8:AA40" si="3">D8/F8</f>
        <v>0.95238095238095233</v>
      </c>
      <c r="AB8" s="1294">
        <f t="shared" ref="AB8:AB40" si="4">D8/H8</f>
        <v>0.95238095238095233</v>
      </c>
      <c r="AC8" s="1294">
        <f t="shared" ref="AC8:AC40" si="5">D8/J8</f>
        <v>0.95238095238095233</v>
      </c>
    </row>
    <row r="9" spans="1:29" s="1069" customFormat="1">
      <c r="A9" s="1102" t="s">
        <v>2067</v>
      </c>
      <c r="B9" s="1103" t="s">
        <v>2068</v>
      </c>
      <c r="C9" s="1585" t="s">
        <v>409</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7"/>
      <c r="M9" s="1598"/>
      <c r="N9" s="1598"/>
      <c r="O9" s="1599"/>
      <c r="P9" s="3826"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294">
        <f t="shared" si="5"/>
        <v>1</v>
      </c>
    </row>
    <row r="10" spans="1:29" s="1070" customFormat="1" ht="27">
      <c r="A10" s="1106"/>
      <c r="B10" s="1107" t="s">
        <v>2071</v>
      </c>
      <c r="C10" s="1466" t="s">
        <v>2158</v>
      </c>
      <c r="D10" s="1109">
        <v>100</v>
      </c>
      <c r="E10" s="1466" t="s">
        <v>2158</v>
      </c>
      <c r="F10" s="1109">
        <f>SUMIF(59:59,E10,60:60)-SUMIF(59:59,C10,60:60)+100</f>
        <v>100</v>
      </c>
      <c r="G10" s="1535" t="s">
        <v>2158</v>
      </c>
      <c r="H10" s="1109">
        <f>SUMIF(59:59,G10,60:60)-SUMIF(59:59,C10,60:60)+100</f>
        <v>100</v>
      </c>
      <c r="I10" s="1466" t="s">
        <v>2158</v>
      </c>
      <c r="J10" s="1109">
        <f>SUMIF(59:59,I10,60:60)-SUMIF(59:59,C10,60:60)+100</f>
        <v>100</v>
      </c>
      <c r="K10" s="1238"/>
      <c r="L10" s="1600"/>
      <c r="M10" s="1601"/>
      <c r="N10" s="1601"/>
      <c r="O10" s="1602"/>
      <c r="P10" s="3826"/>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294">
        <f t="shared" si="5"/>
        <v>1</v>
      </c>
    </row>
    <row r="11" spans="1:29" ht="15" hidden="1">
      <c r="A11" s="1110"/>
      <c r="B11" s="1107" t="s">
        <v>2072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603"/>
      <c r="M11" s="1596"/>
      <c r="N11" s="1596"/>
      <c r="O11" s="1604"/>
      <c r="P11" s="3826"/>
      <c r="Q11" s="1284" t="str">
        <f t="shared" si="6"/>
        <v>容积率</v>
      </c>
      <c r="R11" s="1280" t="s">
        <v>2064</v>
      </c>
      <c r="S11" s="1281">
        <f t="shared" si="0"/>
        <v>100</v>
      </c>
      <c r="T11" s="1280" t="s">
        <v>2064</v>
      </c>
      <c r="U11" s="1281">
        <f t="shared" si="1"/>
        <v>100</v>
      </c>
      <c r="V11" s="1280" t="s">
        <v>2064</v>
      </c>
      <c r="W11" s="1281">
        <f t="shared" si="2"/>
        <v>100</v>
      </c>
      <c r="X11" s="1282"/>
      <c r="Y11" s="3690"/>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109">
        <f>SUMIF(64:64,E12,65:65)-SUMIF(64:64,C12,65:65)+100</f>
        <v>100</v>
      </c>
      <c r="G12" s="1586"/>
      <c r="H12" s="1109">
        <f>SUMIF(64:64,G12,65:65)-SUMIF(64:64,C12,65:65)+100</f>
        <v>100</v>
      </c>
      <c r="I12" s="1468"/>
      <c r="J12" s="1109">
        <f>SUMIF(64:64,I12,65:65)-SUMIF(64:64,C12,65:65)+100</f>
        <v>100</v>
      </c>
      <c r="K12" s="1254"/>
      <c r="L12" s="1597"/>
      <c r="M12" s="1598"/>
      <c r="N12" s="1598"/>
      <c r="O12" s="1599"/>
      <c r="P12" s="3826"/>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hidden="1">
      <c r="A13" s="1110"/>
      <c r="B13" s="1114">
        <v>111</v>
      </c>
      <c r="C13" s="1118"/>
      <c r="D13" s="1119">
        <v>100</v>
      </c>
      <c r="E13" s="1118"/>
      <c r="F13" s="1109">
        <f>SUMIF(66:66,E13,67:67)-SUMIF(66:66,C13,67:67)+100</f>
        <v>100</v>
      </c>
      <c r="G13" s="1586"/>
      <c r="H13" s="1119">
        <f>SUMIF(66:66,G13,67:67)-SUMIF(66:66,C13,67:67)+100</f>
        <v>100</v>
      </c>
      <c r="I13" s="1468"/>
      <c r="J13" s="1119">
        <f>SUMIF(66:66,I13,67:67)-SUMIF(66:66,C13,67:67)+100</f>
        <v>100</v>
      </c>
      <c r="K13" s="1254"/>
      <c r="L13" s="1605"/>
      <c r="M13" s="1596"/>
      <c r="N13" s="1596"/>
      <c r="O13" s="1604"/>
      <c r="P13" s="3826"/>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15" hidden="1">
      <c r="A14" s="1120"/>
      <c r="B14" s="1121">
        <v>111</v>
      </c>
      <c r="C14" s="1122"/>
      <c r="D14" s="1123">
        <v>100</v>
      </c>
      <c r="E14" s="1122"/>
      <c r="F14" s="1123">
        <f>SUMIF(68:68,E14,69:69)-SUMIF(68:68,C14,69:69)+100</f>
        <v>100</v>
      </c>
      <c r="G14" s="1586"/>
      <c r="H14" s="1123">
        <f>SUMIF(68:68,G14,69:69)-SUMIF(68:68,C14,69:69)+100</f>
        <v>100</v>
      </c>
      <c r="I14" s="1468"/>
      <c r="J14" s="1123">
        <f>SUMIF(68:68,I14,69:69)-SUMIF(68:68,C14,69:69)+100</f>
        <v>100</v>
      </c>
      <c r="K14" s="1254"/>
      <c r="L14" s="1605"/>
      <c r="M14" s="1596"/>
      <c r="N14" s="1596"/>
      <c r="O14" s="1604"/>
      <c r="P14" s="3826"/>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294">
        <f t="shared" si="5"/>
        <v>1</v>
      </c>
    </row>
    <row r="15" spans="1:29" ht="57">
      <c r="A15" s="1124" t="s">
        <v>2073</v>
      </c>
      <c r="B15" s="1417" t="s">
        <v>2159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v>3</v>
      </c>
      <c r="L15" s="1605"/>
      <c r="M15" s="1596"/>
      <c r="N15" s="1596"/>
      <c r="O15" s="1604"/>
      <c r="P15" s="3839" t="s">
        <v>2075</v>
      </c>
      <c r="Q15" s="664" t="str">
        <f t="shared" si="6"/>
        <v>产业集聚程度</v>
      </c>
      <c r="R15" s="1285" t="s">
        <v>2064</v>
      </c>
      <c r="S15" s="1286">
        <f t="shared" si="0"/>
        <v>100</v>
      </c>
      <c r="T15" s="1285" t="s">
        <v>2064</v>
      </c>
      <c r="U15" s="1286">
        <f t="shared" si="1"/>
        <v>100</v>
      </c>
      <c r="V15" s="1285" t="s">
        <v>2064</v>
      </c>
      <c r="W15" s="1286">
        <f t="shared" si="2"/>
        <v>100</v>
      </c>
      <c r="X15" s="1279"/>
      <c r="Y15" s="3839" t="s">
        <v>2075</v>
      </c>
      <c r="Z15" s="1269" t="str">
        <f t="shared" si="7"/>
        <v>产业集聚程度</v>
      </c>
      <c r="AA15" s="1296">
        <f t="shared" si="3"/>
        <v>1</v>
      </c>
      <c r="AB15" s="1296">
        <f t="shared" si="4"/>
        <v>1</v>
      </c>
      <c r="AC15" s="1296">
        <f t="shared" si="5"/>
        <v>1</v>
      </c>
    </row>
    <row r="16" spans="1:29" ht="15">
      <c r="A16" s="1110"/>
      <c r="B16" s="1419"/>
      <c r="C16" s="1130" t="s">
        <v>2160</v>
      </c>
      <c r="D16" s="1131"/>
      <c r="E16" s="1130" t="s">
        <v>2160</v>
      </c>
      <c r="F16" s="1471"/>
      <c r="G16" s="1130" t="s">
        <v>2160</v>
      </c>
      <c r="H16" s="1133"/>
      <c r="I16" s="1130" t="s">
        <v>2160</v>
      </c>
      <c r="J16" s="1131"/>
      <c r="K16" s="1510"/>
      <c r="L16" s="1605"/>
      <c r="M16" s="1596"/>
      <c r="N16" s="1596"/>
      <c r="O16" s="1604"/>
      <c r="P16" s="3840"/>
      <c r="Q16" s="664"/>
      <c r="R16" s="1285"/>
      <c r="S16" s="1286"/>
      <c r="T16" s="1285"/>
      <c r="U16" s="1286"/>
      <c r="V16" s="1285"/>
      <c r="W16" s="1286"/>
      <c r="X16" s="1279"/>
      <c r="Y16" s="3840"/>
      <c r="Z16" s="1269"/>
      <c r="AA16" s="1296">
        <v>1</v>
      </c>
      <c r="AB16" s="1296">
        <v>1</v>
      </c>
      <c r="AC16" s="1296">
        <v>1</v>
      </c>
    </row>
    <row r="17" spans="1:29" ht="85.5">
      <c r="A17" s="1110"/>
      <c r="B17" s="1420" t="s">
        <v>2076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v>3</v>
      </c>
      <c r="L17" s="1605"/>
      <c r="M17" s="1596"/>
      <c r="N17" s="1596"/>
      <c r="O17" s="1604"/>
      <c r="P17" s="3840"/>
      <c r="Q17" s="664" t="str">
        <f>B17</f>
        <v>交通便捷度</v>
      </c>
      <c r="R17" s="1285" t="s">
        <v>2064</v>
      </c>
      <c r="S17" s="1286">
        <f>F17</f>
        <v>100</v>
      </c>
      <c r="T17" s="1285" t="s">
        <v>2064</v>
      </c>
      <c r="U17" s="1286">
        <f>H17</f>
        <v>100</v>
      </c>
      <c r="V17" s="1285" t="s">
        <v>2064</v>
      </c>
      <c r="W17" s="1286">
        <f>J17</f>
        <v>100</v>
      </c>
      <c r="X17" s="1279"/>
      <c r="Y17" s="3840"/>
      <c r="Z17" s="1269" t="str">
        <f>Q17</f>
        <v>交通便捷度</v>
      </c>
      <c r="AA17" s="1296">
        <f t="shared" si="3"/>
        <v>1</v>
      </c>
      <c r="AB17" s="1296">
        <f t="shared" si="4"/>
        <v>1</v>
      </c>
      <c r="AC17" s="1296">
        <f t="shared" si="5"/>
        <v>1</v>
      </c>
    </row>
    <row r="18" spans="1:29" ht="15">
      <c r="A18" s="1110"/>
      <c r="B18" s="1158"/>
      <c r="C18" s="1421" t="s">
        <v>2160</v>
      </c>
      <c r="D18" s="1133"/>
      <c r="E18" s="1421" t="s">
        <v>2160</v>
      </c>
      <c r="F18" s="1473"/>
      <c r="G18" s="1421" t="s">
        <v>2160</v>
      </c>
      <c r="H18" s="1131"/>
      <c r="I18" s="1421" t="s">
        <v>2160</v>
      </c>
      <c r="J18" s="1131"/>
      <c r="K18" s="1510"/>
      <c r="L18" s="1605"/>
      <c r="M18" s="1596"/>
      <c r="N18" s="1596"/>
      <c r="O18" s="1604"/>
      <c r="P18" s="3840"/>
      <c r="Q18" s="664"/>
      <c r="R18" s="1285"/>
      <c r="S18" s="1286"/>
      <c r="T18" s="1285"/>
      <c r="U18" s="1286"/>
      <c r="V18" s="1285"/>
      <c r="W18" s="1286"/>
      <c r="X18" s="1279"/>
      <c r="Y18" s="3840"/>
      <c r="Z18" s="1269"/>
      <c r="AA18" s="1296">
        <v>1</v>
      </c>
      <c r="AB18" s="1296">
        <v>1</v>
      </c>
      <c r="AC18" s="1296">
        <v>1</v>
      </c>
    </row>
    <row r="19" spans="1:29" ht="42.75">
      <c r="A19" s="1110"/>
      <c r="B19" s="1420" t="s">
        <v>2077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5"/>
      <c r="M19" s="1596"/>
      <c r="N19" s="1596"/>
      <c r="O19" s="1604"/>
      <c r="P19" s="3840"/>
      <c r="Q19" s="664" t="str">
        <f>B19</f>
        <v>公共配套设施</v>
      </c>
      <c r="R19" s="1285" t="s">
        <v>2064</v>
      </c>
      <c r="S19" s="1286">
        <f>F19</f>
        <v>100</v>
      </c>
      <c r="T19" s="1285" t="s">
        <v>2064</v>
      </c>
      <c r="U19" s="1286">
        <f>H19</f>
        <v>100</v>
      </c>
      <c r="V19" s="1285" t="s">
        <v>2064</v>
      </c>
      <c r="W19" s="1286">
        <f>J19</f>
        <v>100</v>
      </c>
      <c r="X19" s="1279"/>
      <c r="Y19" s="3840"/>
      <c r="Z19" s="1269" t="str">
        <f>Q19</f>
        <v>公共配套设施</v>
      </c>
      <c r="AA19" s="1296">
        <f t="shared" si="3"/>
        <v>1</v>
      </c>
      <c r="AB19" s="1296">
        <f t="shared" si="4"/>
        <v>1</v>
      </c>
      <c r="AC19" s="1296">
        <f t="shared" si="5"/>
        <v>1</v>
      </c>
    </row>
    <row r="20" spans="1:29" ht="15">
      <c r="A20" s="1110"/>
      <c r="B20" s="1158"/>
      <c r="C20" s="1130" t="s">
        <v>2160</v>
      </c>
      <c r="D20" s="1131"/>
      <c r="E20" s="1130" t="s">
        <v>2160</v>
      </c>
      <c r="F20" s="1471"/>
      <c r="G20" s="1130" t="s">
        <v>2160</v>
      </c>
      <c r="H20" s="1131"/>
      <c r="I20" s="1130" t="s">
        <v>2160</v>
      </c>
      <c r="J20" s="1131"/>
      <c r="K20" s="1510"/>
      <c r="L20" s="1605"/>
      <c r="M20" s="1596"/>
      <c r="N20" s="1596"/>
      <c r="O20" s="1604"/>
      <c r="P20" s="3840"/>
      <c r="Q20" s="664"/>
      <c r="R20" s="1285"/>
      <c r="S20" s="1286"/>
      <c r="T20" s="1285"/>
      <c r="U20" s="1286"/>
      <c r="V20" s="1285"/>
      <c r="W20" s="1286"/>
      <c r="X20" s="1279"/>
      <c r="Y20" s="3840"/>
      <c r="Z20" s="1269"/>
      <c r="AA20" s="1296">
        <v>1</v>
      </c>
      <c r="AB20" s="1296">
        <v>1</v>
      </c>
      <c r="AC20" s="1296">
        <v>1</v>
      </c>
    </row>
    <row r="21" spans="1:29" ht="28.5">
      <c r="A21" s="1110"/>
      <c r="B21" s="1424" t="s">
        <v>2078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1</v>
      </c>
      <c r="L21" s="1605"/>
      <c r="M21" s="1596"/>
      <c r="N21" s="1596"/>
      <c r="O21" s="1604"/>
      <c r="P21" s="3840"/>
      <c r="Q21" s="664" t="str">
        <f>B21</f>
        <v>基础设施水平</v>
      </c>
      <c r="R21" s="1285" t="s">
        <v>2064</v>
      </c>
      <c r="S21" s="1286">
        <f>F21</f>
        <v>100</v>
      </c>
      <c r="T21" s="1285" t="s">
        <v>2064</v>
      </c>
      <c r="U21" s="1286">
        <f>H21</f>
        <v>100</v>
      </c>
      <c r="V21" s="1285" t="s">
        <v>2064</v>
      </c>
      <c r="W21" s="1286">
        <f>J21</f>
        <v>100</v>
      </c>
      <c r="X21" s="1279"/>
      <c r="Y21" s="3840"/>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5"/>
      <c r="M22" s="1596"/>
      <c r="N22" s="1596"/>
      <c r="O22" s="1604"/>
      <c r="P22" s="3840"/>
      <c r="Q22" s="664"/>
      <c r="R22" s="1285"/>
      <c r="S22" s="1286"/>
      <c r="T22" s="1285"/>
      <c r="U22" s="1286"/>
      <c r="V22" s="1285"/>
      <c r="W22" s="1286"/>
      <c r="X22" s="1279"/>
      <c r="Y22" s="3840"/>
      <c r="Z22" s="1269"/>
      <c r="AA22" s="1296">
        <v>1</v>
      </c>
      <c r="AB22" s="1296">
        <v>1</v>
      </c>
      <c r="AC22" s="1296">
        <v>1</v>
      </c>
    </row>
    <row r="23" spans="1:29" ht="71.25">
      <c r="A23" s="1110"/>
      <c r="B23" s="1420" t="s">
        <v>2150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5"/>
      <c r="M23" s="1596"/>
      <c r="N23" s="1596"/>
      <c r="O23" s="1604"/>
      <c r="P23" s="3840"/>
      <c r="Q23" s="664" t="str">
        <f>B23</f>
        <v>环境质量</v>
      </c>
      <c r="R23" s="1285" t="s">
        <v>2064</v>
      </c>
      <c r="S23" s="1286">
        <f>F23</f>
        <v>100</v>
      </c>
      <c r="T23" s="1285" t="s">
        <v>2064</v>
      </c>
      <c r="U23" s="1286">
        <f>H23</f>
        <v>100</v>
      </c>
      <c r="V23" s="1285" t="s">
        <v>2064</v>
      </c>
      <c r="W23" s="1286">
        <f>J23</f>
        <v>100</v>
      </c>
      <c r="X23" s="1279"/>
      <c r="Y23" s="3840"/>
      <c r="Z23" s="1269" t="str">
        <f>Q23</f>
        <v>环境质量</v>
      </c>
      <c r="AA23" s="1296">
        <f t="shared" si="3"/>
        <v>1</v>
      </c>
      <c r="AB23" s="1296">
        <f t="shared" si="4"/>
        <v>1</v>
      </c>
      <c r="AC23" s="1296">
        <f t="shared" si="5"/>
        <v>1</v>
      </c>
    </row>
    <row r="24" spans="1:29" ht="15">
      <c r="A24" s="1110"/>
      <c r="B24" s="1424"/>
      <c r="C24" s="1130" t="s">
        <v>2160</v>
      </c>
      <c r="D24" s="1131"/>
      <c r="E24" s="1130" t="s">
        <v>2160</v>
      </c>
      <c r="F24" s="1471"/>
      <c r="G24" s="1130" t="s">
        <v>2160</v>
      </c>
      <c r="H24" s="1131"/>
      <c r="I24" s="1130" t="s">
        <v>2160</v>
      </c>
      <c r="J24" s="1131"/>
      <c r="K24" s="1510"/>
      <c r="L24" s="1605"/>
      <c r="M24" s="1596"/>
      <c r="N24" s="1596"/>
      <c r="O24" s="1604"/>
      <c r="P24" s="3840"/>
      <c r="Q24" s="664"/>
      <c r="R24" s="1285"/>
      <c r="S24" s="1286"/>
      <c r="T24" s="1285"/>
      <c r="U24" s="1286"/>
      <c r="V24" s="1285"/>
      <c r="W24" s="1286"/>
      <c r="X24" s="1279"/>
      <c r="Y24" s="3840"/>
      <c r="Z24" s="1269"/>
      <c r="AA24" s="1296">
        <v>1</v>
      </c>
      <c r="AB24" s="1296">
        <v>1</v>
      </c>
      <c r="AC24" s="1296">
        <v>1</v>
      </c>
    </row>
    <row r="25" spans="1:29" ht="15">
      <c r="A25" s="1090"/>
      <c r="B25" s="1587" t="s">
        <v>2161</v>
      </c>
      <c r="C25" s="1588" t="s">
        <v>2162</v>
      </c>
      <c r="D25" s="1119">
        <v>100</v>
      </c>
      <c r="E25" s="1118" t="str">
        <f>案例!D2</f>
        <v>带地下1层</v>
      </c>
      <c r="F25" s="1474">
        <f>SUMIF(80:80,E25,81:81)-SUMIF(80:80,C25,81:81)+100</f>
        <v>97</v>
      </c>
      <c r="G25" s="1118" t="str">
        <f>案例!D4</f>
        <v>纯地上</v>
      </c>
      <c r="H25" s="1119">
        <f>SUMIF(80:80,G25,81:81)-SUMIF(80:80,C25,81:81)+100</f>
        <v>100</v>
      </c>
      <c r="I25" s="1118" t="str">
        <f>案例!D5</f>
        <v>纯地上</v>
      </c>
      <c r="J25" s="1119">
        <f>SUMIF(80:80,I25,81:81)-SUMIF(80:80,C25,81:81)+100</f>
        <v>100</v>
      </c>
      <c r="K25" s="1254"/>
      <c r="L25" s="1605"/>
      <c r="M25" s="1596"/>
      <c r="N25" s="1596"/>
      <c r="O25" s="1604"/>
      <c r="P25" s="3840"/>
      <c r="Q25" s="664" t="str">
        <f>B25</f>
        <v>楼层</v>
      </c>
      <c r="R25" s="1285" t="s">
        <v>2064</v>
      </c>
      <c r="S25" s="1286">
        <f>F25</f>
        <v>97</v>
      </c>
      <c r="T25" s="1285" t="s">
        <v>2064</v>
      </c>
      <c r="U25" s="1286">
        <f>H25</f>
        <v>100</v>
      </c>
      <c r="V25" s="1285" t="s">
        <v>2064</v>
      </c>
      <c r="W25" s="1286">
        <f>J25</f>
        <v>100</v>
      </c>
      <c r="X25" s="1279"/>
      <c r="Y25" s="3840"/>
      <c r="Z25" s="1269" t="str">
        <f>Q25</f>
        <v>楼层</v>
      </c>
      <c r="AA25" s="1296">
        <f t="shared" si="3"/>
        <v>1.0309278350515501</v>
      </c>
      <c r="AB25" s="1296">
        <f t="shared" si="4"/>
        <v>1</v>
      </c>
      <c r="AC25" s="1296">
        <f t="shared" si="5"/>
        <v>1</v>
      </c>
    </row>
    <row r="26" spans="1:29" ht="15" hidden="1">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5"/>
      <c r="M26" s="1596"/>
      <c r="N26" s="1596"/>
      <c r="O26" s="1604"/>
      <c r="P26" s="3840"/>
      <c r="Q26" s="664">
        <f t="shared" ref="Q26:Q40" si="11">B26</f>
        <v>111</v>
      </c>
      <c r="R26" s="1285" t="s">
        <v>2064</v>
      </c>
      <c r="S26" s="1286">
        <f>F26</f>
        <v>100</v>
      </c>
      <c r="T26" s="1285" t="s">
        <v>2064</v>
      </c>
      <c r="U26" s="1286">
        <f>H26</f>
        <v>100</v>
      </c>
      <c r="V26" s="1285" t="s">
        <v>2064</v>
      </c>
      <c r="W26" s="1286">
        <f>J26</f>
        <v>100</v>
      </c>
      <c r="X26" s="1279"/>
      <c r="Y26" s="3840"/>
      <c r="Z26" s="1269">
        <f>Q26</f>
        <v>111</v>
      </c>
      <c r="AA26" s="1296">
        <f t="shared" si="3"/>
        <v>1</v>
      </c>
      <c r="AB26" s="1296">
        <f t="shared" si="4"/>
        <v>1</v>
      </c>
      <c r="AC26" s="1296">
        <f t="shared" si="5"/>
        <v>1</v>
      </c>
    </row>
    <row r="27" spans="1:29" s="1069" customFormat="1" ht="15" hidden="1">
      <c r="A27" s="1113"/>
      <c r="B27" s="1425">
        <v>111</v>
      </c>
      <c r="C27" s="1118">
        <v>111</v>
      </c>
      <c r="D27" s="1589">
        <v>100</v>
      </c>
      <c r="E27" s="1118"/>
      <c r="F27" s="1590">
        <f>SUMIF(84:84,E27,85:85)-SUMIF(84:84,C27,85:85)+100</f>
        <v>100</v>
      </c>
      <c r="G27" s="1118"/>
      <c r="H27" s="1589">
        <f>SUMIF(84:84,G27,85:85)-SUMIF(84:84,C27,85:85)+100</f>
        <v>100</v>
      </c>
      <c r="I27" s="1118"/>
      <c r="J27" s="1589">
        <f>SUMIF(84:84,I27,85:85)-SUMIF(84:84,C27,85:85)+100</f>
        <v>100</v>
      </c>
      <c r="K27" s="1254"/>
      <c r="L27" s="1597"/>
      <c r="M27" s="1598"/>
      <c r="N27" s="1598"/>
      <c r="O27" s="1599"/>
      <c r="P27" s="3840"/>
      <c r="Q27" s="1284">
        <f t="shared" si="11"/>
        <v>111</v>
      </c>
      <c r="R27" s="1280" t="s">
        <v>2064</v>
      </c>
      <c r="S27" s="1281">
        <f>F27</f>
        <v>100</v>
      </c>
      <c r="T27" s="1280" t="s">
        <v>2064</v>
      </c>
      <c r="U27" s="1281">
        <f>H27</f>
        <v>100</v>
      </c>
      <c r="V27" s="1280" t="s">
        <v>2064</v>
      </c>
      <c r="W27" s="1281">
        <f>J27</f>
        <v>100</v>
      </c>
      <c r="X27" s="1282"/>
      <c r="Y27" s="3840"/>
      <c r="Z27" s="1295">
        <f>Q27</f>
        <v>111</v>
      </c>
      <c r="AA27" s="1296">
        <f t="shared" si="3"/>
        <v>1</v>
      </c>
      <c r="AB27" s="1296">
        <f t="shared" si="4"/>
        <v>1</v>
      </c>
      <c r="AC27" s="1296">
        <f t="shared" si="5"/>
        <v>1</v>
      </c>
    </row>
    <row r="28" spans="1:29" ht="15" hidden="1">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5"/>
      <c r="M28" s="1596"/>
      <c r="N28" s="1596"/>
      <c r="O28" s="1604"/>
      <c r="P28" s="3840"/>
      <c r="Q28" s="664">
        <f t="shared" si="11"/>
        <v>111</v>
      </c>
      <c r="R28" s="1285" t="s">
        <v>2064</v>
      </c>
      <c r="S28" s="1286">
        <f t="shared" ref="S28:S40" si="12">F28</f>
        <v>100</v>
      </c>
      <c r="T28" s="1285" t="s">
        <v>2064</v>
      </c>
      <c r="U28" s="1286">
        <f t="shared" ref="U28:U40" si="13">H28</f>
        <v>100</v>
      </c>
      <c r="V28" s="1285" t="s">
        <v>2064</v>
      </c>
      <c r="W28" s="1286">
        <f t="shared" ref="W28:W40" si="14">J28</f>
        <v>100</v>
      </c>
      <c r="X28" s="1279"/>
      <c r="Y28" s="3840"/>
      <c r="Z28" s="1269">
        <f t="shared" ref="Z28:Z40" si="15">Q28</f>
        <v>111</v>
      </c>
      <c r="AA28" s="1296">
        <f t="shared" si="3"/>
        <v>1</v>
      </c>
      <c r="AB28" s="1296">
        <f t="shared" si="4"/>
        <v>1</v>
      </c>
      <c r="AC28" s="1296">
        <f t="shared" si="5"/>
        <v>1</v>
      </c>
    </row>
    <row r="29" spans="1:29" ht="15">
      <c r="A29" s="1478" t="s">
        <v>2082</v>
      </c>
      <c r="B29" s="1103" t="s">
        <v>2083</v>
      </c>
      <c r="C29" s="1479" t="s">
        <v>2164</v>
      </c>
      <c r="D29" s="1160">
        <v>100</v>
      </c>
      <c r="E29" s="1479" t="s">
        <v>2164</v>
      </c>
      <c r="F29" s="1474">
        <f>SUMIF(88:88,E29,89:89)-SUMIF(88:88,C29,89:89)+100</f>
        <v>100</v>
      </c>
      <c r="G29" s="1479" t="s">
        <v>2164</v>
      </c>
      <c r="H29" s="1119">
        <f>SUMIF(88:88,G29,89:89)-SUMIF(88:88,C29,89:89)+100</f>
        <v>100</v>
      </c>
      <c r="I29" s="1479" t="s">
        <v>2164</v>
      </c>
      <c r="J29" s="1160">
        <f>SUMIF(88:88,I29,89:89)-SUMIF(88:88,C29,89:89)+100</f>
        <v>100</v>
      </c>
      <c r="K29" s="1255">
        <v>3</v>
      </c>
      <c r="L29" s="1605"/>
      <c r="M29" s="1596"/>
      <c r="N29" s="1596"/>
      <c r="O29" s="1604"/>
      <c r="P29" s="3894" t="s">
        <v>2084</v>
      </c>
      <c r="Q29" s="664" t="str">
        <f t="shared" si="11"/>
        <v>建筑类型</v>
      </c>
      <c r="R29" s="1285" t="s">
        <v>2064</v>
      </c>
      <c r="S29" s="1286">
        <f t="shared" si="12"/>
        <v>100</v>
      </c>
      <c r="T29" s="1285" t="s">
        <v>2064</v>
      </c>
      <c r="U29" s="1286">
        <f t="shared" si="13"/>
        <v>100</v>
      </c>
      <c r="V29" s="1285" t="s">
        <v>2064</v>
      </c>
      <c r="W29" s="1286">
        <f t="shared" si="14"/>
        <v>100</v>
      </c>
      <c r="X29" s="1279"/>
      <c r="Y29" s="3841" t="s">
        <v>2084</v>
      </c>
      <c r="Z29" s="1269" t="str">
        <f t="shared" si="15"/>
        <v>建筑类型</v>
      </c>
      <c r="AA29" s="1296">
        <f t="shared" si="3"/>
        <v>1</v>
      </c>
      <c r="AB29" s="1296">
        <f t="shared" si="4"/>
        <v>1</v>
      </c>
      <c r="AC29" s="1296">
        <f t="shared" si="5"/>
        <v>1</v>
      </c>
    </row>
    <row r="30" spans="1:29" s="1071" customFormat="1" ht="15">
      <c r="A30" s="1166"/>
      <c r="B30" s="1107" t="s">
        <v>2085</v>
      </c>
      <c r="C30" s="1468">
        <f>D3</f>
        <v>38.93</v>
      </c>
      <c r="D30" s="1109">
        <v>100</v>
      </c>
      <c r="E30" s="1112">
        <f>案例!B2</f>
        <v>6500</v>
      </c>
      <c r="F30" s="1467">
        <f>LOOKUP(E30,91:91,92:92)-LOOKUP(C30,91:91,92:92)+100</f>
        <v>96</v>
      </c>
      <c r="G30" s="1111">
        <f>案例!B4</f>
        <v>2219</v>
      </c>
      <c r="H30" s="1109">
        <f>LOOKUP(G30,91:91,92:92)-LOOKUP(C30,91:91,92:92)+100</f>
        <v>99</v>
      </c>
      <c r="I30" s="1111">
        <f>案例!B5</f>
        <v>3404</v>
      </c>
      <c r="J30" s="1109">
        <f>LOOKUP(I30,91:91,92:92)-LOOKUP(C30,91:91,92:92)+100</f>
        <v>98</v>
      </c>
      <c r="K30" s="1254"/>
      <c r="L30" s="1603"/>
      <c r="M30" s="1606"/>
      <c r="N30" s="1606"/>
      <c r="O30" s="1607"/>
      <c r="P30" s="3841"/>
      <c r="Q30" s="1513" t="str">
        <f t="shared" si="11"/>
        <v>项目建筑规模</v>
      </c>
      <c r="R30" s="1287" t="s">
        <v>2064</v>
      </c>
      <c r="S30" s="1288">
        <f t="shared" si="12"/>
        <v>96</v>
      </c>
      <c r="T30" s="1287" t="s">
        <v>2064</v>
      </c>
      <c r="U30" s="1288">
        <f t="shared" si="13"/>
        <v>99</v>
      </c>
      <c r="V30" s="1287" t="s">
        <v>2064</v>
      </c>
      <c r="W30" s="1288">
        <f t="shared" si="14"/>
        <v>98</v>
      </c>
      <c r="X30" s="1289"/>
      <c r="Y30" s="3841"/>
      <c r="Z30" s="1297" t="str">
        <f t="shared" si="15"/>
        <v>项目建筑规模</v>
      </c>
      <c r="AA30" s="1296">
        <f t="shared" si="3"/>
        <v>1.0416666666666667</v>
      </c>
      <c r="AB30" s="1296">
        <f t="shared" si="4"/>
        <v>1.0101010101010102</v>
      </c>
      <c r="AC30" s="1296">
        <f t="shared" si="5"/>
        <v>1.0204081632653061</v>
      </c>
    </row>
    <row r="31" spans="1:29" ht="15">
      <c r="A31" s="1161"/>
      <c r="B31" s="1107" t="s">
        <v>2086</v>
      </c>
      <c r="C31" s="1484" t="s">
        <v>1828</v>
      </c>
      <c r="D31" s="1119">
        <v>100</v>
      </c>
      <c r="E31" s="1484" t="s">
        <v>1828</v>
      </c>
      <c r="F31" s="1474">
        <f>SUMIF(93:93,E31,94:94)-SUMIF(93:93,C31,94:94)+100</f>
        <v>100</v>
      </c>
      <c r="G31" s="1484" t="s">
        <v>1828</v>
      </c>
      <c r="H31" s="1119">
        <f>SUMIF(93:93,G31,94:94)-SUMIF(93:93,C31,94:94)+100</f>
        <v>100</v>
      </c>
      <c r="I31" s="1484" t="s">
        <v>1828</v>
      </c>
      <c r="J31" s="1119">
        <f>SUMIF(93:93,I31,94:94)-SUMIF(93:93,C31,94:94)+100</f>
        <v>100</v>
      </c>
      <c r="K31" s="1255">
        <v>1</v>
      </c>
      <c r="L31" s="1605"/>
      <c r="M31" s="1596"/>
      <c r="N31" s="1596"/>
      <c r="O31" s="1604"/>
      <c r="P31" s="3841"/>
      <c r="Q31" s="664" t="str">
        <f t="shared" si="11"/>
        <v>建筑结构</v>
      </c>
      <c r="R31" s="1285" t="s">
        <v>2064</v>
      </c>
      <c r="S31" s="1286">
        <f t="shared" si="12"/>
        <v>100</v>
      </c>
      <c r="T31" s="1285" t="s">
        <v>2064</v>
      </c>
      <c r="U31" s="1286">
        <f t="shared" si="13"/>
        <v>100</v>
      </c>
      <c r="V31" s="1285" t="s">
        <v>2064</v>
      </c>
      <c r="W31" s="1286">
        <f t="shared" si="14"/>
        <v>100</v>
      </c>
      <c r="X31" s="1279"/>
      <c r="Y31" s="3841"/>
      <c r="Z31" s="1269" t="str">
        <f t="shared" si="15"/>
        <v>建筑结构</v>
      </c>
      <c r="AA31" s="1296">
        <f t="shared" si="3"/>
        <v>1</v>
      </c>
      <c r="AB31" s="1296">
        <f t="shared" si="4"/>
        <v>1</v>
      </c>
      <c r="AC31" s="1296">
        <f t="shared" si="5"/>
        <v>1</v>
      </c>
    </row>
    <row r="32" spans="1:29" ht="15">
      <c r="A32" s="1161"/>
      <c r="B32" s="1107" t="s">
        <v>2088</v>
      </c>
      <c r="C32" s="1484" t="s">
        <v>2165</v>
      </c>
      <c r="D32" s="1119">
        <v>100</v>
      </c>
      <c r="E32" s="1484" t="s">
        <v>2165</v>
      </c>
      <c r="F32" s="1474">
        <f>SUMIF(95:95,E32,96:96)-SUMIF(95:95,C32,96:96)+100</f>
        <v>100</v>
      </c>
      <c r="G32" s="1484" t="s">
        <v>2165</v>
      </c>
      <c r="H32" s="1119">
        <f>SUMIF(95:95,G32,96:96)-SUMIF(95:95,C32,96:96)+100</f>
        <v>100</v>
      </c>
      <c r="I32" s="1484" t="s">
        <v>2165</v>
      </c>
      <c r="J32" s="1119">
        <f>SUMIF(95:95,I32,96:96)-SUMIF(95:95,C32,96:96)+100</f>
        <v>100</v>
      </c>
      <c r="K32" s="1255">
        <v>2</v>
      </c>
      <c r="L32" s="1605"/>
      <c r="M32" s="1596"/>
      <c r="N32" s="1596"/>
      <c r="O32" s="1604"/>
      <c r="P32" s="3841"/>
      <c r="Q32" s="664" t="str">
        <f t="shared" si="11"/>
        <v>公共部分装修</v>
      </c>
      <c r="R32" s="1285" t="s">
        <v>2064</v>
      </c>
      <c r="S32" s="1286">
        <f t="shared" si="12"/>
        <v>100</v>
      </c>
      <c r="T32" s="1285" t="s">
        <v>2064</v>
      </c>
      <c r="U32" s="1286">
        <f t="shared" si="13"/>
        <v>100</v>
      </c>
      <c r="V32" s="1285" t="s">
        <v>2064</v>
      </c>
      <c r="W32" s="1286">
        <f t="shared" si="14"/>
        <v>100</v>
      </c>
      <c r="X32" s="1279"/>
      <c r="Y32" s="3841"/>
      <c r="Z32" s="1269" t="str">
        <f t="shared" si="15"/>
        <v>公共部分装修</v>
      </c>
      <c r="AA32" s="1296">
        <f t="shared" si="3"/>
        <v>1</v>
      </c>
      <c r="AB32" s="1296">
        <f t="shared" si="4"/>
        <v>1</v>
      </c>
      <c r="AC32" s="1296">
        <f t="shared" si="5"/>
        <v>1</v>
      </c>
    </row>
    <row r="33" spans="1:29" ht="15">
      <c r="A33" s="1161"/>
      <c r="B33" s="1107" t="s">
        <v>1202</v>
      </c>
      <c r="C33" s="1591">
        <f>'数据-取费表'!N16</f>
        <v>0.82</v>
      </c>
      <c r="D33" s="1119">
        <v>100</v>
      </c>
      <c r="E33" s="1481">
        <v>0.82</v>
      </c>
      <c r="F33" s="1474">
        <f>LOOKUP(E33,98:98,99:99)-LOOKUP(C33,98:98,99:99)+100</f>
        <v>100</v>
      </c>
      <c r="G33" s="1481">
        <v>0.8</v>
      </c>
      <c r="H33" s="1474">
        <f>LOOKUP(G33,98:98,99:99)-LOOKUP(C33,98:98,99:99)+100</f>
        <v>100</v>
      </c>
      <c r="I33" s="1481">
        <v>0.83</v>
      </c>
      <c r="J33" s="1119">
        <f>LOOKUP(I33,98:98,99:99)-LOOKUP(C33,98:98,99:99)+100</f>
        <v>100</v>
      </c>
      <c r="K33" s="1255">
        <v>2</v>
      </c>
      <c r="L33" s="1605"/>
      <c r="M33" s="1596"/>
      <c r="N33" s="1596"/>
      <c r="O33" s="1604"/>
      <c r="P33" s="3841"/>
      <c r="Q33" s="664" t="str">
        <f t="shared" si="11"/>
        <v>成新度</v>
      </c>
      <c r="R33" s="1285" t="s">
        <v>2064</v>
      </c>
      <c r="S33" s="1286">
        <f t="shared" si="12"/>
        <v>100</v>
      </c>
      <c r="T33" s="1285" t="s">
        <v>2064</v>
      </c>
      <c r="U33" s="1286">
        <f t="shared" si="13"/>
        <v>100</v>
      </c>
      <c r="V33" s="1285" t="s">
        <v>2064</v>
      </c>
      <c r="W33" s="1286">
        <f t="shared" si="14"/>
        <v>100</v>
      </c>
      <c r="X33" s="1279"/>
      <c r="Y33" s="3841"/>
      <c r="Z33" s="1269" t="str">
        <f t="shared" si="15"/>
        <v>成新度</v>
      </c>
      <c r="AA33" s="1296">
        <f t="shared" si="3"/>
        <v>1</v>
      </c>
      <c r="AB33" s="1296">
        <f t="shared" si="4"/>
        <v>1</v>
      </c>
      <c r="AC33" s="1296">
        <f t="shared" si="5"/>
        <v>1</v>
      </c>
    </row>
    <row r="34" spans="1:29" s="1069" customFormat="1" ht="15" hidden="1">
      <c r="A34" s="1163"/>
      <c r="B34" s="1107" t="s">
        <v>2089</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7"/>
      <c r="M34" s="1598"/>
      <c r="N34" s="1598"/>
      <c r="O34" s="1599"/>
      <c r="P34" s="3841"/>
      <c r="Q34" s="1284" t="str">
        <f t="shared" si="11"/>
        <v>物业管理</v>
      </c>
      <c r="R34" s="1280" t="s">
        <v>2064</v>
      </c>
      <c r="S34" s="1281">
        <f t="shared" si="12"/>
        <v>100</v>
      </c>
      <c r="T34" s="1280" t="s">
        <v>2064</v>
      </c>
      <c r="U34" s="1281">
        <f t="shared" si="13"/>
        <v>100</v>
      </c>
      <c r="V34" s="1280" t="s">
        <v>2064</v>
      </c>
      <c r="W34" s="1281">
        <f t="shared" si="14"/>
        <v>100</v>
      </c>
      <c r="X34" s="1282"/>
      <c r="Y34" s="3841"/>
      <c r="Z34" s="1295" t="str">
        <f t="shared" si="15"/>
        <v>物业管理</v>
      </c>
      <c r="AA34" s="1294">
        <f t="shared" si="3"/>
        <v>1</v>
      </c>
      <c r="AB34" s="1294">
        <f t="shared" si="4"/>
        <v>1</v>
      </c>
      <c r="AC34" s="1294">
        <f t="shared" si="5"/>
        <v>1</v>
      </c>
    </row>
    <row r="35" spans="1:29" ht="15" hidden="1">
      <c r="A35" s="1161"/>
      <c r="B35" s="1107" t="s">
        <v>2090</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5"/>
      <c r="M35" s="1596"/>
      <c r="N35" s="1596"/>
      <c r="O35" s="1604"/>
      <c r="P35" s="3841" t="s">
        <v>2084</v>
      </c>
      <c r="Q35" s="664" t="str">
        <f t="shared" si="11"/>
        <v>市政基础设施</v>
      </c>
      <c r="R35" s="1285" t="s">
        <v>2064</v>
      </c>
      <c r="S35" s="1286">
        <f t="shared" si="12"/>
        <v>100</v>
      </c>
      <c r="T35" s="1285" t="s">
        <v>2064</v>
      </c>
      <c r="U35" s="1286">
        <f t="shared" si="13"/>
        <v>100</v>
      </c>
      <c r="V35" s="1285" t="s">
        <v>2064</v>
      </c>
      <c r="W35" s="1286">
        <f t="shared" si="14"/>
        <v>100</v>
      </c>
      <c r="X35" s="1279"/>
      <c r="Y35" s="3841" t="s">
        <v>2084</v>
      </c>
      <c r="Z35" s="1269" t="str">
        <f t="shared" si="15"/>
        <v>市政基础设施</v>
      </c>
      <c r="AA35" s="1296">
        <f t="shared" si="3"/>
        <v>1</v>
      </c>
      <c r="AB35" s="1296">
        <f t="shared" si="4"/>
        <v>1</v>
      </c>
      <c r="AC35" s="1296">
        <f t="shared" si="5"/>
        <v>1</v>
      </c>
    </row>
    <row r="36" spans="1:29" ht="15">
      <c r="A36" s="1161"/>
      <c r="B36" s="1107" t="s">
        <v>2093</v>
      </c>
      <c r="C36" s="1484" t="s">
        <v>2165</v>
      </c>
      <c r="D36" s="1119">
        <v>100</v>
      </c>
      <c r="E36" s="1484" t="s">
        <v>2165</v>
      </c>
      <c r="F36" s="1474">
        <f>SUMIF(104:104,E36,105:105)-SUMIF(104:104,C36,105:105)+100</f>
        <v>100</v>
      </c>
      <c r="G36" s="1484" t="s">
        <v>2165</v>
      </c>
      <c r="H36" s="1119">
        <f>SUMIF(104:104,G36,105:105)-SUMIF(104:104,C36,105:105)+100</f>
        <v>100</v>
      </c>
      <c r="I36" s="1484" t="s">
        <v>2165</v>
      </c>
      <c r="J36" s="1119">
        <f>SUMIF(104:104,I36,105:105)-SUMIF(104:104,C36,105:105)+100</f>
        <v>100</v>
      </c>
      <c r="K36" s="1255">
        <v>2</v>
      </c>
      <c r="L36" s="1605"/>
      <c r="M36" s="1596"/>
      <c r="N36" s="1596"/>
      <c r="O36" s="1604"/>
      <c r="P36" s="3841"/>
      <c r="Q36" s="664" t="str">
        <f t="shared" si="11"/>
        <v>内部装修</v>
      </c>
      <c r="R36" s="1285" t="s">
        <v>2064</v>
      </c>
      <c r="S36" s="1286">
        <f t="shared" si="12"/>
        <v>100</v>
      </c>
      <c r="T36" s="1285" t="s">
        <v>2064</v>
      </c>
      <c r="U36" s="1286">
        <f t="shared" si="13"/>
        <v>100</v>
      </c>
      <c r="V36" s="1285" t="s">
        <v>2064</v>
      </c>
      <c r="W36" s="1286">
        <f t="shared" si="14"/>
        <v>100</v>
      </c>
      <c r="X36" s="1279"/>
      <c r="Y36" s="3841"/>
      <c r="Z36" s="1269" t="str">
        <f t="shared" si="15"/>
        <v>内部装修</v>
      </c>
      <c r="AA36" s="1296">
        <f t="shared" si="3"/>
        <v>1</v>
      </c>
      <c r="AB36" s="1296">
        <f t="shared" si="4"/>
        <v>1</v>
      </c>
      <c r="AC36" s="1296">
        <f t="shared" si="5"/>
        <v>1</v>
      </c>
    </row>
    <row r="37" spans="1:29" ht="15">
      <c r="A37" s="1161"/>
      <c r="B37" s="1107" t="s">
        <v>2166</v>
      </c>
      <c r="C37" s="1144" t="s">
        <v>2160</v>
      </c>
      <c r="D37" s="1119">
        <v>100</v>
      </c>
      <c r="E37" s="1144" t="s">
        <v>2160</v>
      </c>
      <c r="F37" s="1474">
        <f>SUMIF(106:106,E37,107:107)-SUMIF(106:106,C37,107:107)+100</f>
        <v>100</v>
      </c>
      <c r="G37" s="1144" t="s">
        <v>2160</v>
      </c>
      <c r="H37" s="1119">
        <f>SUMIF(106:106,G37,107:107)-SUMIF(106:106,C37,107:107)+100</f>
        <v>100</v>
      </c>
      <c r="I37" s="1144" t="s">
        <v>2160</v>
      </c>
      <c r="J37" s="1119">
        <f>SUMIF(106:106,I37,107:107)-SUMIF(106:106,C37,107:107)+100</f>
        <v>100</v>
      </c>
      <c r="K37" s="1255">
        <v>2</v>
      </c>
      <c r="L37" s="1605"/>
      <c r="M37" s="1596"/>
      <c r="N37" s="1596"/>
      <c r="O37" s="1604"/>
      <c r="P37" s="3841"/>
      <c r="Q37" s="664" t="str">
        <f t="shared" si="11"/>
        <v>内部装修状况</v>
      </c>
      <c r="R37" s="1285" t="s">
        <v>2064</v>
      </c>
      <c r="S37" s="1286">
        <f t="shared" si="12"/>
        <v>100</v>
      </c>
      <c r="T37" s="1285" t="s">
        <v>2064</v>
      </c>
      <c r="U37" s="1286">
        <f t="shared" si="13"/>
        <v>100</v>
      </c>
      <c r="V37" s="1285" t="s">
        <v>2064</v>
      </c>
      <c r="W37" s="1286">
        <f t="shared" si="14"/>
        <v>100</v>
      </c>
      <c r="X37" s="1279"/>
      <c r="Y37" s="3841"/>
      <c r="Z37" s="1269" t="str">
        <f t="shared" si="15"/>
        <v>内部装修状况</v>
      </c>
      <c r="AA37" s="1296">
        <f t="shared" si="3"/>
        <v>1</v>
      </c>
      <c r="AB37" s="1296">
        <f t="shared" si="4"/>
        <v>1</v>
      </c>
      <c r="AC37" s="1296">
        <f t="shared" si="5"/>
        <v>1</v>
      </c>
    </row>
    <row r="38" spans="1:29" s="1071" customFormat="1" ht="15" hidden="1">
      <c r="A38" s="1166"/>
      <c r="B38" s="1425"/>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603"/>
      <c r="M38" s="1606"/>
      <c r="N38" s="1606"/>
      <c r="O38" s="1607"/>
      <c r="P38" s="3841"/>
      <c r="Q38" s="1513">
        <f t="shared" si="11"/>
        <v>0</v>
      </c>
      <c r="R38" s="1287" t="s">
        <v>2064</v>
      </c>
      <c r="S38" s="1288">
        <f t="shared" si="12"/>
        <v>100</v>
      </c>
      <c r="T38" s="1287" t="s">
        <v>2064</v>
      </c>
      <c r="U38" s="1288">
        <f t="shared" si="13"/>
        <v>100</v>
      </c>
      <c r="V38" s="1287" t="s">
        <v>2064</v>
      </c>
      <c r="W38" s="1288">
        <f t="shared" si="14"/>
        <v>100</v>
      </c>
      <c r="X38" s="1289"/>
      <c r="Y38" s="3841"/>
      <c r="Z38" s="1297">
        <f t="shared" si="15"/>
        <v>0</v>
      </c>
      <c r="AA38" s="1296">
        <f t="shared" si="3"/>
        <v>1</v>
      </c>
      <c r="AB38" s="1296">
        <f t="shared" si="4"/>
        <v>1</v>
      </c>
      <c r="AC38" s="1296">
        <f t="shared" si="5"/>
        <v>1</v>
      </c>
    </row>
    <row r="39" spans="1:29" ht="15" hidden="1">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5"/>
      <c r="M39" s="1596"/>
      <c r="N39" s="1596"/>
      <c r="O39" s="1604"/>
      <c r="P39" s="3841"/>
      <c r="Q39" s="664">
        <f t="shared" si="11"/>
        <v>111</v>
      </c>
      <c r="R39" s="1285" t="s">
        <v>2064</v>
      </c>
      <c r="S39" s="1286">
        <f t="shared" si="12"/>
        <v>100</v>
      </c>
      <c r="T39" s="1285" t="s">
        <v>2064</v>
      </c>
      <c r="U39" s="1286">
        <f t="shared" si="13"/>
        <v>100</v>
      </c>
      <c r="V39" s="1285" t="s">
        <v>2064</v>
      </c>
      <c r="W39" s="1286">
        <f t="shared" si="14"/>
        <v>100</v>
      </c>
      <c r="X39" s="1279"/>
      <c r="Y39" s="3841"/>
      <c r="Z39" s="1269">
        <f t="shared" si="15"/>
        <v>111</v>
      </c>
      <c r="AA39" s="1296">
        <f t="shared" si="3"/>
        <v>1</v>
      </c>
      <c r="AB39" s="1296">
        <f t="shared" si="4"/>
        <v>1</v>
      </c>
      <c r="AC39" s="1296">
        <f t="shared" si="5"/>
        <v>1</v>
      </c>
    </row>
    <row r="40" spans="1:29" ht="15" hidden="1">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5"/>
      <c r="M40" s="1596"/>
      <c r="N40" s="1596"/>
      <c r="O40" s="1604"/>
      <c r="P40" s="3842"/>
      <c r="Q40" s="664">
        <f t="shared" si="11"/>
        <v>111</v>
      </c>
      <c r="R40" s="1285" t="s">
        <v>2064</v>
      </c>
      <c r="S40" s="1286">
        <f t="shared" si="12"/>
        <v>100</v>
      </c>
      <c r="T40" s="1285" t="s">
        <v>2064</v>
      </c>
      <c r="U40" s="1286">
        <f t="shared" si="13"/>
        <v>100</v>
      </c>
      <c r="V40" s="1285" t="s">
        <v>2064</v>
      </c>
      <c r="W40" s="1286">
        <f t="shared" si="14"/>
        <v>100</v>
      </c>
      <c r="X40" s="1279"/>
      <c r="Y40" s="3842"/>
      <c r="Z40" s="1269">
        <f t="shared" si="15"/>
        <v>111</v>
      </c>
      <c r="AA40" s="1296">
        <f t="shared" si="3"/>
        <v>1</v>
      </c>
      <c r="AB40" s="1296">
        <f t="shared" si="4"/>
        <v>1</v>
      </c>
      <c r="AC40" s="1296">
        <f t="shared" si="5"/>
        <v>1</v>
      </c>
    </row>
    <row r="41" spans="1:29" ht="15">
      <c r="A41" s="1168" t="s">
        <v>2095</v>
      </c>
      <c r="B41" s="1488"/>
      <c r="C41" s="1489" t="s">
        <v>124</v>
      </c>
      <c r="D41" s="1490"/>
      <c r="E41" s="1491">
        <f>案例!C2</f>
        <v>15000</v>
      </c>
      <c r="F41" s="1492"/>
      <c r="G41" s="1493">
        <f>案例!C4</f>
        <v>17125</v>
      </c>
      <c r="H41" s="1494"/>
      <c r="I41" s="1491">
        <f>案例!C5</f>
        <v>15000</v>
      </c>
      <c r="J41" s="1494"/>
      <c r="K41" s="1260"/>
      <c r="L41" s="1608"/>
      <c r="M41" s="1220"/>
      <c r="N41" s="1596"/>
      <c r="O41" s="1220"/>
      <c r="P41" s="3826" t="str">
        <f>A41</f>
        <v>成交单价（元/平方米）</v>
      </c>
      <c r="Q41" s="3826"/>
      <c r="R41" s="3827">
        <f>E41</f>
        <v>15000</v>
      </c>
      <c r="S41" s="3827"/>
      <c r="T41" s="3827">
        <f>G41</f>
        <v>17125</v>
      </c>
      <c r="U41" s="3827"/>
      <c r="V41" s="3827">
        <f>I41</f>
        <v>15000</v>
      </c>
      <c r="W41" s="3827"/>
      <c r="X41" s="1225"/>
      <c r="Y41" s="1298"/>
      <c r="Z41" s="1225"/>
      <c r="AA41" s="1225"/>
      <c r="AB41" s="1225"/>
      <c r="AC41" s="1225"/>
    </row>
    <row r="42" spans="1:29" ht="15">
      <c r="A42" s="1176" t="s">
        <v>2096</v>
      </c>
      <c r="B42" s="1495"/>
      <c r="C42" s="1496">
        <f>R43</f>
        <v>15464</v>
      </c>
      <c r="D42" s="1179" t="s">
        <v>2097</v>
      </c>
      <c r="E42" s="1497">
        <f>R42</f>
        <v>15341</v>
      </c>
      <c r="F42" s="1180"/>
      <c r="G42" s="1496">
        <f>T42</f>
        <v>16474</v>
      </c>
      <c r="H42" s="1180"/>
      <c r="I42" s="1497">
        <f>V42</f>
        <v>14577</v>
      </c>
      <c r="J42" s="1180"/>
      <c r="K42" s="1262">
        <f>F42+H42+J42</f>
        <v>0</v>
      </c>
      <c r="L42" s="1608"/>
      <c r="M42" s="1220"/>
      <c r="N42" s="1596"/>
      <c r="O42" s="1220"/>
      <c r="P42" s="3826" t="str">
        <f>A42</f>
        <v>比较价值（元/平方米）</v>
      </c>
      <c r="Q42" s="3826"/>
      <c r="R42" s="3827">
        <f>IF(F1="售价",ROUND(PRODUCT(R41,AA7:AA40),0),ROUND(PRODUCT(R41,AA7:AA40),1))</f>
        <v>15341</v>
      </c>
      <c r="S42" s="3827"/>
      <c r="T42" s="3827">
        <f>IF(F1="售价",ROUND(PRODUCT(T41,AB7:AB40),0),ROUND(PRODUCT(T41,AB7:AB40),1))</f>
        <v>16474</v>
      </c>
      <c r="U42" s="3827"/>
      <c r="V42" s="3827">
        <f>IF(F1="售价",ROUND(PRODUCT(V41,AC7:AC40),0),ROUND(PRODUCT(V41,AC7:AC40),1))</f>
        <v>14577</v>
      </c>
      <c r="W42" s="3827"/>
      <c r="X42" s="1225"/>
      <c r="Y42" s="1225"/>
      <c r="Z42" s="1225"/>
      <c r="AA42" s="1225"/>
      <c r="AB42" s="1225"/>
      <c r="AC42" s="1225"/>
    </row>
    <row r="43" spans="1:29" ht="15">
      <c r="A43" s="1182" t="s">
        <v>2098</v>
      </c>
      <c r="B43" s="1183"/>
      <c r="C43" s="1498">
        <f>R43</f>
        <v>15464</v>
      </c>
      <c r="D43" s="1498"/>
      <c r="E43" s="1498"/>
      <c r="F43" s="1498"/>
      <c r="G43" s="1498"/>
      <c r="H43" s="1498"/>
      <c r="I43" s="1498"/>
      <c r="J43" s="1498"/>
      <c r="K43" s="1263"/>
      <c r="L43" s="1608"/>
      <c r="M43" s="1220"/>
      <c r="N43" s="1220"/>
      <c r="O43" s="1220"/>
      <c r="P43" s="3828" t="str">
        <f>A43</f>
        <v>估价对象XX用房的比较价值（楼面单价，元/平方米）</v>
      </c>
      <c r="Q43" s="3829"/>
      <c r="R43" s="3830">
        <f>IF(F1="售价",ROUND(IF(D42="简单平均",AVERAGE(R42:V42),R42*F42+T42*H42+V42*J42),0),ROUND(IF(D42="简单平均",AVERAGE(R42:V42),R42*F42+T42*H42+V42*J42),1))</f>
        <v>15464</v>
      </c>
      <c r="S43" s="3830"/>
      <c r="T43" s="3830"/>
      <c r="U43" s="3830"/>
      <c r="V43" s="3830"/>
      <c r="W43" s="383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2099</v>
      </c>
      <c r="D46" s="709"/>
      <c r="E46" s="1188">
        <f>IF(E41&lt;E42,E42/E41-1,E41/E42-1)</f>
        <v>2.2733333333333272E-2</v>
      </c>
      <c r="F46" s="1189" t="str">
        <f>IF(OR(E46&gt;=0.3,E46&lt;=-0.3),"超过30%","")</f>
        <v/>
      </c>
      <c r="G46" s="1188">
        <f>IF(G41&lt;G42,G42/G41-1,G41/G42-1)</f>
        <v>3.9516814374165321E-2</v>
      </c>
      <c r="H46" s="1189" t="str">
        <f>IF(OR(G46&gt;=0.3,G46&lt;=-0.3),"超过30%","")</f>
        <v/>
      </c>
      <c r="I46" s="1188">
        <f>IF(I41&lt;I42,I42/I41-1,I41/I42-1)</f>
        <v>2.901831652603426E-2</v>
      </c>
      <c r="J46" s="1189" t="str">
        <f>IF(OR(I46&gt;=0.3,I46&lt;=-0.3),"超过30%","")</f>
        <v/>
      </c>
      <c r="K46" s="1265"/>
      <c r="L46" s="1274"/>
      <c r="M46" s="1220"/>
      <c r="N46" s="1220"/>
      <c r="O46" s="1220"/>
    </row>
    <row r="47" spans="1:29" ht="13.5" customHeight="1">
      <c r="A47" s="1185"/>
      <c r="B47" s="1185"/>
      <c r="C47" s="1187" t="s">
        <v>2100</v>
      </c>
      <c r="D47" s="708"/>
      <c r="E47" s="1188">
        <f>IF(E42&lt;G42,G42/E42-1,E42/G42-1)</f>
        <v>7.3854377159246365E-2</v>
      </c>
      <c r="F47" s="1189" t="str">
        <f>IF(OR(E47&gt;=0.2,E47&lt;=-0.2),"超过20%","")</f>
        <v/>
      </c>
      <c r="G47" s="1188">
        <f>IF(G42&lt;I42,I42/G42-1,G42/I42-1)</f>
        <v>0.13013651642999235</v>
      </c>
      <c r="H47" s="1189" t="str">
        <f>IF(OR(G47&gt;=0.2,G47&lt;=-0.2),"超过20%","")</f>
        <v/>
      </c>
      <c r="I47" s="1188">
        <f>IF(I42&lt;E42,E42/I42-1,I42/E42-1)</f>
        <v>5.241133292172595E-2</v>
      </c>
      <c r="J47" s="1189" t="str">
        <f>IF(OR(I47&gt;=0.2,I47&lt;=-0.2),"超过20%","")</f>
        <v/>
      </c>
      <c r="K47" s="1265"/>
      <c r="L47" s="1274"/>
      <c r="M47" s="1220"/>
      <c r="N47" s="1220"/>
      <c r="O47" s="1220"/>
    </row>
    <row r="48" spans="1:29" s="1072" customFormat="1" ht="13.5" customHeight="1">
      <c r="A48" s="1190"/>
      <c r="B48" s="1190"/>
      <c r="C48" s="1187" t="s">
        <v>2101</v>
      </c>
      <c r="D48" s="708"/>
      <c r="E48" s="1188">
        <f>IF(E41&lt;G41,G41/E41-1,E41/G41-1)</f>
        <v>0.141666666666667</v>
      </c>
      <c r="F48" s="1189" t="str">
        <f>IF(OR(E48&gt;=0.3,E48&lt;=-0.3),"超过30%","")</f>
        <v/>
      </c>
      <c r="G48" s="1188">
        <f>IF(G41&lt;I41,I41/G41-1,G41/I41-1)</f>
        <v>0.141666666666667</v>
      </c>
      <c r="H48" s="1189" t="str">
        <f>IF(OR(G48&gt;=0.3,G48&lt;=-0.3),"超过30%","")</f>
        <v/>
      </c>
      <c r="I48" s="1188">
        <f>IF(I41&lt;E41,E41/I41-1,I41/E41-1)</f>
        <v>0</v>
      </c>
      <c r="J48" s="1189" t="str">
        <f>IF(OR(I48&gt;=0.3,I48&lt;=-0.3),"超过30%","")</f>
        <v/>
      </c>
      <c r="K48" s="1267"/>
      <c r="L48" s="1609"/>
      <c r="M48" s="1610"/>
      <c r="N48" s="1610"/>
      <c r="O48" s="1610"/>
    </row>
    <row r="49" spans="1:17" s="1072" customFormat="1">
      <c r="A49" s="1190"/>
      <c r="B49" s="1191"/>
      <c r="C49" s="1499"/>
      <c r="D49" s="1190"/>
      <c r="E49" s="1190"/>
      <c r="F49" s="1190"/>
      <c r="G49" s="1190"/>
      <c r="H49" s="1190"/>
      <c r="I49" s="1190"/>
      <c r="J49" s="1190"/>
      <c r="K49" s="1267"/>
      <c r="L49" s="1609"/>
      <c r="M49" s="1610"/>
      <c r="N49" s="1610"/>
      <c r="O49" s="1610"/>
    </row>
    <row r="50" spans="1:17">
      <c r="A50" s="1185"/>
      <c r="B50" s="1191"/>
      <c r="C50" s="1499"/>
      <c r="D50" s="1185"/>
      <c r="E50" s="1185"/>
      <c r="F50" s="1185"/>
      <c r="G50" s="1185"/>
      <c r="H50" s="1185"/>
      <c r="I50" s="1185"/>
      <c r="J50" s="1185"/>
      <c r="K50" s="1265"/>
      <c r="L50" s="1274"/>
      <c r="M50" s="1220"/>
      <c r="N50" s="1220"/>
      <c r="O50" s="1220"/>
    </row>
    <row r="51" spans="1:17" ht="21">
      <c r="A51" s="1224" t="s">
        <v>2102</v>
      </c>
      <c r="B51" s="1225"/>
      <c r="C51" s="1226"/>
      <c r="D51" s="1226"/>
      <c r="E51" s="1226"/>
      <c r="F51" s="1227"/>
      <c r="G51" s="1227"/>
      <c r="H51" s="1226"/>
      <c r="I51" s="1226"/>
      <c r="J51" s="1226"/>
      <c r="K51" s="1443"/>
      <c r="L51" s="1444"/>
      <c r="M51" s="1277"/>
      <c r="N51" s="1277"/>
      <c r="O51" s="1277"/>
      <c r="P51" s="1611"/>
      <c r="Q51" s="1613"/>
    </row>
    <row r="52" spans="1:17" s="1074" customFormat="1" ht="15">
      <c r="A52" s="1500" t="s">
        <v>2062</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12"/>
    </row>
    <row r="53" spans="1:17" s="1069" customFormat="1" ht="15">
      <c r="A53" s="1504"/>
      <c r="B53" s="1310"/>
      <c r="C53" s="1505">
        <v>100</v>
      </c>
      <c r="D53" s="1314"/>
      <c r="E53" s="1314"/>
      <c r="F53" s="1314"/>
      <c r="G53" s="1314"/>
      <c r="H53" s="1314"/>
      <c r="I53" s="1314"/>
      <c r="J53" s="1314"/>
      <c r="K53" s="1314"/>
      <c r="L53" s="1314"/>
      <c r="M53" s="1512"/>
      <c r="N53" s="1314"/>
      <c r="O53" s="1362"/>
      <c r="P53" s="1613"/>
    </row>
    <row r="54" spans="1:17" s="1069" customFormat="1" ht="15">
      <c r="A54" s="1305" t="s">
        <v>2103</v>
      </c>
      <c r="B54" s="1306"/>
      <c r="C54" s="1307"/>
      <c r="D54" s="1308"/>
      <c r="E54" s="1308"/>
      <c r="F54" s="1308"/>
      <c r="G54" s="1308"/>
      <c r="H54" s="1308"/>
      <c r="I54" s="1308"/>
      <c r="J54" s="1308"/>
      <c r="K54" s="1308"/>
      <c r="L54" s="1308"/>
      <c r="M54" s="1356"/>
      <c r="N54" s="1614"/>
      <c r="O54" s="1615"/>
      <c r="P54" s="1613"/>
      <c r="Q54" s="1613"/>
    </row>
    <row r="55" spans="1:17" s="1069" customFormat="1" ht="15">
      <c r="A55" s="1309" t="s">
        <v>2065</v>
      </c>
      <c r="B55" s="1310"/>
      <c r="C55" s="1311" t="s">
        <v>2104</v>
      </c>
      <c r="D55" s="1592" t="s">
        <v>2157</v>
      </c>
      <c r="E55" s="1312"/>
      <c r="F55" s="1312"/>
      <c r="G55" s="1312"/>
      <c r="H55" s="1312"/>
      <c r="I55" s="1312"/>
      <c r="J55" s="1312"/>
      <c r="K55" s="1312"/>
      <c r="L55" s="1358"/>
      <c r="M55" s="1359"/>
      <c r="N55" s="1616"/>
      <c r="O55" s="1616"/>
      <c r="P55" s="1617"/>
      <c r="Q55" s="1613"/>
    </row>
    <row r="56" spans="1:17" s="1069" customFormat="1" ht="15">
      <c r="A56" s="1309"/>
      <c r="B56" s="1310"/>
      <c r="C56" s="1313">
        <v>100</v>
      </c>
      <c r="D56" s="1314">
        <v>105</v>
      </c>
      <c r="E56" s="1314"/>
      <c r="F56" s="1314"/>
      <c r="G56" s="1314"/>
      <c r="H56" s="1314"/>
      <c r="I56" s="1314"/>
      <c r="J56" s="1314"/>
      <c r="K56" s="1314"/>
      <c r="L56" s="1314"/>
      <c r="M56" s="1362"/>
      <c r="N56" s="1616"/>
      <c r="O56" s="1616"/>
      <c r="P56" s="1613"/>
      <c r="Q56" s="1613"/>
    </row>
    <row r="57" spans="1:17">
      <c r="A57" s="1315" t="s">
        <v>2105</v>
      </c>
      <c r="B57" s="1316" t="s">
        <v>2068</v>
      </c>
      <c r="C57" s="1338" t="str">
        <f>C9</f>
        <v>工业</v>
      </c>
      <c r="D57" s="1258"/>
      <c r="E57" s="1258"/>
      <c r="F57" s="1258"/>
      <c r="G57" s="1258"/>
      <c r="H57" s="1258"/>
      <c r="I57" s="1258"/>
      <c r="J57" s="1258"/>
      <c r="K57" s="1363"/>
      <c r="L57" s="1364"/>
      <c r="M57" s="1365"/>
      <c r="N57" s="1618"/>
      <c r="O57" s="1618"/>
      <c r="P57" s="1619"/>
      <c r="Q57" s="1613"/>
    </row>
    <row r="58" spans="1:17" ht="15">
      <c r="A58" s="1317"/>
      <c r="B58" s="1318"/>
      <c r="C58" s="1319">
        <v>100</v>
      </c>
      <c r="D58" s="1319"/>
      <c r="E58" s="1319"/>
      <c r="F58" s="1319"/>
      <c r="G58" s="1319"/>
      <c r="H58" s="1319"/>
      <c r="I58" s="1319"/>
      <c r="J58" s="1319"/>
      <c r="K58" s="1319"/>
      <c r="L58" s="1319"/>
      <c r="M58" s="1368"/>
      <c r="N58" s="1620"/>
      <c r="O58" s="1620"/>
      <c r="P58" s="1619"/>
      <c r="Q58" s="1613"/>
    </row>
    <row r="59" spans="1:17" ht="27">
      <c r="A59" s="1317"/>
      <c r="B59" s="1320" t="s">
        <v>2071</v>
      </c>
      <c r="C59" s="1345"/>
      <c r="D59" s="1345"/>
      <c r="E59" s="1345"/>
      <c r="F59" s="1345"/>
      <c r="G59" s="1345"/>
      <c r="H59" s="1345"/>
      <c r="I59" s="1345"/>
      <c r="J59" s="1345"/>
      <c r="K59" s="1396"/>
      <c r="L59" s="1397"/>
      <c r="M59" s="1398"/>
      <c r="N59" s="1618"/>
      <c r="O59" s="1618"/>
      <c r="P59" s="1619"/>
      <c r="Q59" s="1613"/>
    </row>
    <row r="60" spans="1:17" ht="15">
      <c r="A60" s="1317"/>
      <c r="B60" s="1322"/>
      <c r="C60" s="1319"/>
      <c r="D60" s="1319"/>
      <c r="E60" s="1319"/>
      <c r="F60" s="1319"/>
      <c r="G60" s="1319"/>
      <c r="H60" s="1319"/>
      <c r="I60" s="1319"/>
      <c r="J60" s="1319"/>
      <c r="K60" s="1319"/>
      <c r="L60" s="1319"/>
      <c r="M60" s="1368"/>
      <c r="N60" s="1620"/>
      <c r="O60" s="1620"/>
      <c r="P60" s="1619"/>
      <c r="Q60" s="1613"/>
    </row>
    <row r="61" spans="1:17" ht="15">
      <c r="A61" s="1317"/>
      <c r="B61" s="1324" t="s">
        <v>2072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20"/>
      <c r="O61" s="1620"/>
      <c r="P61" s="1619"/>
      <c r="Q61" s="1613"/>
    </row>
    <row r="62" spans="1:17" ht="15">
      <c r="A62" s="1317"/>
      <c r="B62" s="1326"/>
      <c r="C62" s="1116">
        <v>0</v>
      </c>
      <c r="D62" s="1116">
        <v>2</v>
      </c>
      <c r="E62" s="1116"/>
      <c r="F62" s="1116"/>
      <c r="G62" s="1116"/>
      <c r="H62" s="1116"/>
      <c r="I62" s="1116"/>
      <c r="J62" s="1116"/>
      <c r="K62" s="1374"/>
      <c r="L62" s="1375"/>
      <c r="M62" s="1376"/>
      <c r="N62" s="1618"/>
      <c r="O62" s="1618"/>
      <c r="P62" s="1619"/>
      <c r="Q62" s="1613"/>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20"/>
      <c r="O63" s="1620"/>
      <c r="P63" s="1619"/>
      <c r="Q63" s="1613"/>
    </row>
    <row r="64" spans="1:17" s="1071" customFormat="1" ht="15">
      <c r="A64" s="1327"/>
      <c r="B64" s="1320">
        <f>B12</f>
        <v>111</v>
      </c>
      <c r="C64" s="1328"/>
      <c r="D64" s="1328"/>
      <c r="E64" s="1328"/>
      <c r="F64" s="1328"/>
      <c r="G64" s="1328"/>
      <c r="H64" s="1329"/>
      <c r="I64" s="1329"/>
      <c r="J64" s="1329"/>
      <c r="K64" s="1329"/>
      <c r="L64" s="1377"/>
      <c r="M64" s="1378"/>
      <c r="N64" s="1621"/>
      <c r="O64" s="1621"/>
      <c r="P64" s="1622"/>
      <c r="Q64" s="1623"/>
    </row>
    <row r="65" spans="1:17" s="1071" customFormat="1" ht="15">
      <c r="A65" s="1327"/>
      <c r="B65" s="1322"/>
      <c r="C65" s="1330"/>
      <c r="D65" s="1319"/>
      <c r="E65" s="1319"/>
      <c r="F65" s="1319"/>
      <c r="G65" s="1319"/>
      <c r="H65" s="1319"/>
      <c r="I65" s="1319"/>
      <c r="J65" s="1319"/>
      <c r="K65" s="1319"/>
      <c r="L65" s="1319"/>
      <c r="M65" s="1368"/>
      <c r="N65" s="1620"/>
      <c r="O65" s="1620"/>
      <c r="P65" s="1622"/>
      <c r="Q65" s="1623"/>
    </row>
    <row r="66" spans="1:17" s="1071" customFormat="1" ht="15">
      <c r="A66" s="1327"/>
      <c r="B66" s="1320">
        <f>B13</f>
        <v>111</v>
      </c>
      <c r="C66" s="1328"/>
      <c r="D66" s="1328"/>
      <c r="E66" s="1328"/>
      <c r="F66" s="1328"/>
      <c r="G66" s="1328"/>
      <c r="H66" s="1329"/>
      <c r="I66" s="1329"/>
      <c r="J66" s="1329"/>
      <c r="K66" s="1329"/>
      <c r="L66" s="1377"/>
      <c r="M66" s="1378"/>
      <c r="N66" s="1621"/>
      <c r="O66" s="1621"/>
      <c r="P66" s="1628"/>
      <c r="Q66" s="1632"/>
    </row>
    <row r="67" spans="1:17" s="1071" customFormat="1" ht="15">
      <c r="A67" s="1327"/>
      <c r="B67" s="1322"/>
      <c r="C67" s="1330"/>
      <c r="D67" s="1319"/>
      <c r="E67" s="1319"/>
      <c r="F67" s="1319"/>
      <c r="G67" s="1330"/>
      <c r="H67" s="1331"/>
      <c r="I67" s="1331"/>
      <c r="J67" s="1331"/>
      <c r="K67" s="1331"/>
      <c r="L67" s="1331"/>
      <c r="M67" s="1381"/>
      <c r="N67" s="1621"/>
      <c r="O67" s="1621"/>
      <c r="P67" s="1622"/>
      <c r="Q67" s="1623"/>
    </row>
    <row r="68" spans="1:17" s="1071" customFormat="1" ht="15">
      <c r="A68" s="1327"/>
      <c r="B68" s="1324">
        <f>B14</f>
        <v>111</v>
      </c>
      <c r="C68" s="1312"/>
      <c r="D68" s="1312"/>
      <c r="E68" s="1312"/>
      <c r="F68" s="1312"/>
      <c r="G68" s="1312"/>
      <c r="H68" s="1332"/>
      <c r="I68" s="1332"/>
      <c r="J68" s="1332"/>
      <c r="K68" s="1332"/>
      <c r="L68" s="1382"/>
      <c r="M68" s="1383"/>
      <c r="N68" s="1621"/>
      <c r="O68" s="1621"/>
      <c r="P68" s="1629"/>
      <c r="Q68" s="1623"/>
    </row>
    <row r="69" spans="1:17" s="1071" customFormat="1" ht="15">
      <c r="A69" s="1333"/>
      <c r="B69" s="1334"/>
      <c r="C69" s="1335"/>
      <c r="D69" s="1335"/>
      <c r="E69" s="1335"/>
      <c r="F69" s="1335"/>
      <c r="G69" s="1335"/>
      <c r="H69" s="1336"/>
      <c r="I69" s="1336"/>
      <c r="J69" s="1336"/>
      <c r="K69" s="1336"/>
      <c r="L69" s="1336"/>
      <c r="M69" s="1385"/>
      <c r="N69" s="1621"/>
      <c r="O69" s="1621"/>
      <c r="P69" s="1622"/>
      <c r="Q69" s="1623"/>
    </row>
    <row r="70" spans="1:17">
      <c r="A70" s="1315" t="s">
        <v>2073</v>
      </c>
      <c r="B70" s="1316" t="s">
        <v>2159</v>
      </c>
      <c r="C70" s="1337" t="s">
        <v>2106</v>
      </c>
      <c r="D70" s="1337" t="s">
        <v>2107</v>
      </c>
      <c r="E70" s="1337" t="s">
        <v>2108</v>
      </c>
      <c r="F70" s="1337" t="s">
        <v>2109</v>
      </c>
      <c r="G70" s="1337" t="s">
        <v>2110</v>
      </c>
      <c r="H70" s="1338"/>
      <c r="I70" s="1338"/>
      <c r="J70" s="1338"/>
      <c r="K70" s="1386"/>
      <c r="L70" s="1387"/>
      <c r="M70" s="1388"/>
      <c r="N70" s="1618"/>
      <c r="O70" s="1618"/>
      <c r="P70" s="1630"/>
      <c r="Q70" s="1613"/>
    </row>
    <row r="71" spans="1:17" ht="15">
      <c r="A71" s="1317"/>
      <c r="B71" s="1322"/>
      <c r="C71" s="1323">
        <v>100</v>
      </c>
      <c r="D71" s="1323">
        <f>C71-$K15</f>
        <v>97</v>
      </c>
      <c r="E71" s="1323">
        <f>D71-$K15</f>
        <v>94</v>
      </c>
      <c r="F71" s="1323">
        <f>E71-$K15</f>
        <v>91</v>
      </c>
      <c r="G71" s="1323">
        <f>F71-$K15</f>
        <v>88</v>
      </c>
      <c r="H71" s="1323"/>
      <c r="I71" s="1323"/>
      <c r="J71" s="1323"/>
      <c r="K71" s="1323"/>
      <c r="L71" s="1323"/>
      <c r="M71" s="1373"/>
      <c r="N71" s="1620"/>
      <c r="O71" s="1620"/>
      <c r="P71" s="1619"/>
      <c r="Q71" s="1613"/>
    </row>
    <row r="72" spans="1:17" ht="15">
      <c r="A72" s="1317"/>
      <c r="B72" s="1320" t="s">
        <v>2076</v>
      </c>
      <c r="C72" s="1339" t="s">
        <v>2106</v>
      </c>
      <c r="D72" s="1339" t="s">
        <v>2107</v>
      </c>
      <c r="E72" s="1339" t="s">
        <v>2108</v>
      </c>
      <c r="F72" s="1339" t="s">
        <v>2109</v>
      </c>
      <c r="G72" s="1339" t="s">
        <v>2110</v>
      </c>
      <c r="H72" s="1321"/>
      <c r="I72" s="1321"/>
      <c r="J72" s="1321"/>
      <c r="K72" s="1370"/>
      <c r="L72" s="1371"/>
      <c r="M72" s="1372"/>
      <c r="N72" s="1618"/>
      <c r="O72" s="1618"/>
      <c r="P72" s="1619"/>
      <c r="Q72" s="1613"/>
    </row>
    <row r="73" spans="1:17" ht="15">
      <c r="A73" s="1317"/>
      <c r="B73" s="1322"/>
      <c r="C73" s="1323">
        <v>100</v>
      </c>
      <c r="D73" s="1323">
        <f>C73-$K17</f>
        <v>97</v>
      </c>
      <c r="E73" s="1323">
        <f>D73-$K17</f>
        <v>94</v>
      </c>
      <c r="F73" s="1323">
        <f>E73-$K17</f>
        <v>91</v>
      </c>
      <c r="G73" s="1323">
        <f>F73-$K17</f>
        <v>88</v>
      </c>
      <c r="H73" s="1323"/>
      <c r="I73" s="1323"/>
      <c r="J73" s="1323"/>
      <c r="K73" s="1323"/>
      <c r="L73" s="1323"/>
      <c r="M73" s="1373"/>
      <c r="N73" s="1620"/>
      <c r="O73" s="1620"/>
      <c r="P73" s="1619"/>
      <c r="Q73" s="1613"/>
    </row>
    <row r="74" spans="1:17" ht="15">
      <c r="A74" s="1317"/>
      <c r="B74" s="1320" t="s">
        <v>2077</v>
      </c>
      <c r="C74" s="1339" t="s">
        <v>2106</v>
      </c>
      <c r="D74" s="1339" t="s">
        <v>2107</v>
      </c>
      <c r="E74" s="1339" t="s">
        <v>2108</v>
      </c>
      <c r="F74" s="1339" t="s">
        <v>2109</v>
      </c>
      <c r="G74" s="1339" t="s">
        <v>2110</v>
      </c>
      <c r="H74" s="1321"/>
      <c r="I74" s="1321"/>
      <c r="J74" s="1321"/>
      <c r="K74" s="1370"/>
      <c r="L74" s="1371"/>
      <c r="M74" s="1372"/>
      <c r="N74" s="1618"/>
      <c r="O74" s="1618"/>
      <c r="P74" s="1619"/>
      <c r="Q74" s="1613"/>
    </row>
    <row r="75" spans="1:17" ht="15">
      <c r="A75" s="1317"/>
      <c r="B75" s="1322"/>
      <c r="C75" s="1323">
        <v>100</v>
      </c>
      <c r="D75" s="1323">
        <f>C75-$K19</f>
        <v>98</v>
      </c>
      <c r="E75" s="1323">
        <f>D75-$K19</f>
        <v>96</v>
      </c>
      <c r="F75" s="1323">
        <f>E75-$K19</f>
        <v>94</v>
      </c>
      <c r="G75" s="1323">
        <f>F75-$K19</f>
        <v>92</v>
      </c>
      <c r="H75" s="1323"/>
      <c r="I75" s="1323"/>
      <c r="J75" s="1323"/>
      <c r="K75" s="1323"/>
      <c r="L75" s="1323"/>
      <c r="M75" s="1373"/>
      <c r="N75" s="1620"/>
      <c r="O75" s="1620"/>
      <c r="P75" s="1619"/>
      <c r="Q75" s="1613"/>
    </row>
    <row r="76" spans="1:17" ht="15">
      <c r="A76" s="1317"/>
      <c r="B76" s="1324" t="s">
        <v>2078</v>
      </c>
      <c r="C76" s="1344" t="s">
        <v>2111</v>
      </c>
      <c r="D76" s="1344" t="s">
        <v>2112</v>
      </c>
      <c r="E76" s="1344" t="s">
        <v>2113</v>
      </c>
      <c r="F76" s="1344" t="s">
        <v>2114</v>
      </c>
      <c r="G76" s="1344" t="s">
        <v>2115</v>
      </c>
      <c r="H76" s="1321"/>
      <c r="I76" s="1321"/>
      <c r="J76" s="1321"/>
      <c r="K76" s="1321"/>
      <c r="L76" s="1321"/>
      <c r="M76" s="1517"/>
      <c r="N76" s="1620"/>
      <c r="O76" s="1620"/>
      <c r="P76" s="1619"/>
      <c r="Q76" s="1613"/>
    </row>
    <row r="77" spans="1:17" ht="15">
      <c r="A77" s="1317"/>
      <c r="B77" s="1324"/>
      <c r="C77" s="1323">
        <v>100</v>
      </c>
      <c r="D77" s="1323">
        <f>C77-$K21</f>
        <v>99</v>
      </c>
      <c r="E77" s="1323">
        <f>D77-$K21</f>
        <v>98</v>
      </c>
      <c r="F77" s="1323">
        <f>E77-$K21</f>
        <v>97</v>
      </c>
      <c r="G77" s="1323">
        <f>F77-$K21</f>
        <v>96</v>
      </c>
      <c r="H77" s="1344"/>
      <c r="I77" s="1344"/>
      <c r="J77" s="1344"/>
      <c r="K77" s="1344"/>
      <c r="L77" s="1344"/>
      <c r="M77" s="1133"/>
      <c r="N77" s="1620"/>
      <c r="O77" s="1620"/>
      <c r="P77" s="1619"/>
      <c r="Q77" s="1613"/>
    </row>
    <row r="78" spans="1:17" ht="15">
      <c r="A78" s="1317"/>
      <c r="B78" s="1320" t="s">
        <v>2150</v>
      </c>
      <c r="C78" s="1339" t="s">
        <v>2106</v>
      </c>
      <c r="D78" s="1339" t="s">
        <v>2107</v>
      </c>
      <c r="E78" s="1339" t="s">
        <v>2108</v>
      </c>
      <c r="F78" s="1339" t="s">
        <v>2109</v>
      </c>
      <c r="G78" s="1339" t="s">
        <v>2110</v>
      </c>
      <c r="H78" s="1321"/>
      <c r="I78" s="1321"/>
      <c r="J78" s="1321"/>
      <c r="K78" s="1370"/>
      <c r="L78" s="1371"/>
      <c r="M78" s="1372"/>
      <c r="N78" s="1618"/>
      <c r="O78" s="1618"/>
      <c r="P78" s="1619"/>
      <c r="Q78" s="1613"/>
    </row>
    <row r="79" spans="1:17" ht="15">
      <c r="A79" s="1317"/>
      <c r="B79" s="1322"/>
      <c r="C79" s="1323">
        <v>100</v>
      </c>
      <c r="D79" s="1323">
        <f>C79-$K23</f>
        <v>98</v>
      </c>
      <c r="E79" s="1323">
        <f>D79-$K23</f>
        <v>96</v>
      </c>
      <c r="F79" s="1323">
        <f>E79-$K23</f>
        <v>94</v>
      </c>
      <c r="G79" s="1323">
        <f>F79-$K23</f>
        <v>92</v>
      </c>
      <c r="H79" s="1323"/>
      <c r="I79" s="1323"/>
      <c r="J79" s="1323"/>
      <c r="K79" s="1323"/>
      <c r="L79" s="1323"/>
      <c r="M79" s="1373"/>
      <c r="N79" s="1620"/>
      <c r="O79" s="1620"/>
      <c r="P79" s="1619"/>
      <c r="Q79" s="1613"/>
    </row>
    <row r="80" spans="1:17" s="1069" customFormat="1" ht="15">
      <c r="A80" s="1340"/>
      <c r="B80" s="1320" t="str">
        <f>B25</f>
        <v>楼层</v>
      </c>
      <c r="C80" s="1624" t="s">
        <v>2162</v>
      </c>
      <c r="D80" s="1624" t="s">
        <v>2167</v>
      </c>
      <c r="E80" s="1328"/>
      <c r="F80" s="1328"/>
      <c r="G80" s="1328"/>
      <c r="H80" s="1328"/>
      <c r="I80" s="1328"/>
      <c r="J80" s="1328"/>
      <c r="K80" s="1328"/>
      <c r="L80" s="1518"/>
      <c r="M80" s="1519"/>
      <c r="N80" s="1616"/>
      <c r="O80" s="1616"/>
      <c r="P80" s="1619"/>
      <c r="Q80" s="1613"/>
    </row>
    <row r="81" spans="1:17" s="1069" customFormat="1" ht="15">
      <c r="A81" s="1340"/>
      <c r="B81" s="1322"/>
      <c r="C81" s="1330">
        <v>100</v>
      </c>
      <c r="D81" s="1319">
        <v>97</v>
      </c>
      <c r="E81" s="1319"/>
      <c r="F81" s="1319"/>
      <c r="G81" s="1319"/>
      <c r="H81" s="1319"/>
      <c r="I81" s="1319"/>
      <c r="J81" s="1319"/>
      <c r="K81" s="1319"/>
      <c r="L81" s="1319"/>
      <c r="M81" s="1368"/>
      <c r="N81" s="1620"/>
      <c r="O81" s="1620"/>
      <c r="P81" s="1619"/>
      <c r="Q81" s="1613"/>
    </row>
    <row r="82" spans="1:17" s="1069" customFormat="1" ht="15">
      <c r="A82" s="1340"/>
      <c r="B82" s="1320">
        <f>B26</f>
        <v>111</v>
      </c>
      <c r="C82" s="1328"/>
      <c r="D82" s="1328"/>
      <c r="E82" s="1328"/>
      <c r="F82" s="1328"/>
      <c r="G82" s="1328"/>
      <c r="H82" s="1328"/>
      <c r="I82" s="1328"/>
      <c r="J82" s="1328"/>
      <c r="K82" s="1328"/>
      <c r="L82" s="1518"/>
      <c r="M82" s="1519"/>
      <c r="N82" s="1616"/>
      <c r="O82" s="1616"/>
      <c r="P82" s="1619"/>
      <c r="Q82" s="1613"/>
    </row>
    <row r="83" spans="1:17" s="1069" customFormat="1" ht="15">
      <c r="A83" s="1340"/>
      <c r="B83" s="1322"/>
      <c r="C83" s="1330"/>
      <c r="D83" s="1319"/>
      <c r="E83" s="1319"/>
      <c r="F83" s="1319"/>
      <c r="G83" s="1319"/>
      <c r="H83" s="1319"/>
      <c r="I83" s="1319"/>
      <c r="J83" s="1319"/>
      <c r="K83" s="1319"/>
      <c r="L83" s="1319"/>
      <c r="M83" s="1368"/>
      <c r="N83" s="1620"/>
      <c r="O83" s="1620"/>
      <c r="P83" s="1619"/>
      <c r="Q83" s="1613"/>
    </row>
    <row r="84" spans="1:17" s="1071" customFormat="1" ht="15">
      <c r="A84" s="1327"/>
      <c r="B84" s="1320">
        <f>B27</f>
        <v>111</v>
      </c>
      <c r="C84" s="1328"/>
      <c r="D84" s="1328"/>
      <c r="E84" s="1328"/>
      <c r="F84" s="1328"/>
      <c r="G84" s="1328"/>
      <c r="H84" s="1328"/>
      <c r="I84" s="1328"/>
      <c r="J84" s="1328"/>
      <c r="K84" s="1328"/>
      <c r="L84" s="1518"/>
      <c r="M84" s="1519"/>
      <c r="N84" s="1621"/>
      <c r="O84" s="1621"/>
      <c r="P84" s="1622"/>
      <c r="Q84" s="1623"/>
    </row>
    <row r="85" spans="1:17" s="1071" customFormat="1" ht="15">
      <c r="A85" s="1327"/>
      <c r="B85" s="1322"/>
      <c r="C85" s="1330"/>
      <c r="D85" s="1319"/>
      <c r="E85" s="1319"/>
      <c r="F85" s="1319"/>
      <c r="G85" s="1319"/>
      <c r="H85" s="1319"/>
      <c r="I85" s="1319"/>
      <c r="J85" s="1319"/>
      <c r="K85" s="1319"/>
      <c r="L85" s="1319"/>
      <c r="M85" s="1368"/>
      <c r="N85" s="1621"/>
      <c r="O85" s="1621"/>
      <c r="P85" s="1622"/>
      <c r="Q85" s="1623"/>
    </row>
    <row r="86" spans="1:17" ht="15">
      <c r="A86" s="1317"/>
      <c r="B86" s="1324">
        <f>B28</f>
        <v>111</v>
      </c>
      <c r="C86" s="1312"/>
      <c r="D86" s="1312"/>
      <c r="E86" s="1312"/>
      <c r="F86" s="1312"/>
      <c r="G86" s="1346"/>
      <c r="H86" s="1346"/>
      <c r="I86" s="1346"/>
      <c r="J86" s="1346"/>
      <c r="K86" s="1399"/>
      <c r="L86" s="1400"/>
      <c r="M86" s="1401"/>
      <c r="N86" s="1618"/>
      <c r="O86" s="1618"/>
      <c r="P86" s="1619"/>
      <c r="Q86" s="1613"/>
    </row>
    <row r="87" spans="1:17" ht="15">
      <c r="A87" s="1625"/>
      <c r="B87" s="1334"/>
      <c r="C87" s="1335"/>
      <c r="D87" s="1335"/>
      <c r="E87" s="1335"/>
      <c r="F87" s="1335"/>
      <c r="G87" s="1347"/>
      <c r="H87" s="1347"/>
      <c r="I87" s="1347"/>
      <c r="J87" s="1347"/>
      <c r="K87" s="1347"/>
      <c r="L87" s="1347"/>
      <c r="M87" s="1402"/>
      <c r="N87" s="1620"/>
      <c r="O87" s="1620"/>
      <c r="P87" s="1619"/>
      <c r="Q87" s="1613"/>
    </row>
    <row r="88" spans="1:17">
      <c r="A88" s="1315" t="s">
        <v>2082</v>
      </c>
      <c r="B88" s="1316" t="s">
        <v>2083</v>
      </c>
      <c r="C88" s="1626" t="s">
        <v>2164</v>
      </c>
      <c r="D88" s="1626" t="s">
        <v>2163</v>
      </c>
      <c r="E88" s="1626" t="s">
        <v>824</v>
      </c>
      <c r="F88" s="1258"/>
      <c r="G88" s="1258"/>
      <c r="H88" s="1258"/>
      <c r="I88" s="1258"/>
      <c r="J88" s="1258"/>
      <c r="K88" s="1363"/>
      <c r="L88" s="1364"/>
      <c r="M88" s="1365"/>
      <c r="N88" s="1618"/>
      <c r="O88" s="1618"/>
      <c r="P88" s="1619"/>
      <c r="Q88" s="1613"/>
    </row>
    <row r="89" spans="1:17" ht="15">
      <c r="A89" s="1317"/>
      <c r="B89" s="1322"/>
      <c r="C89" s="1323">
        <v>100</v>
      </c>
      <c r="D89" s="1323">
        <f t="shared" ref="D89:M89" si="19">C89-$K29</f>
        <v>97</v>
      </c>
      <c r="E89" s="1323">
        <f t="shared" si="19"/>
        <v>94</v>
      </c>
      <c r="F89" s="1323">
        <f t="shared" si="19"/>
        <v>91</v>
      </c>
      <c r="G89" s="1323">
        <f t="shared" si="19"/>
        <v>88</v>
      </c>
      <c r="H89" s="1323">
        <f t="shared" si="19"/>
        <v>85</v>
      </c>
      <c r="I89" s="1323">
        <f t="shared" si="19"/>
        <v>82</v>
      </c>
      <c r="J89" s="1323">
        <f t="shared" si="19"/>
        <v>79</v>
      </c>
      <c r="K89" s="1323">
        <f t="shared" si="19"/>
        <v>76</v>
      </c>
      <c r="L89" s="1323">
        <f t="shared" si="19"/>
        <v>73</v>
      </c>
      <c r="M89" s="1373">
        <f t="shared" si="19"/>
        <v>70</v>
      </c>
      <c r="N89" s="1620"/>
      <c r="O89" s="1620"/>
      <c r="P89" s="1619"/>
      <c r="Q89" s="1613"/>
    </row>
    <row r="90" spans="1:17" ht="28.5">
      <c r="A90" s="1317"/>
      <c r="B90" s="1320" t="s">
        <v>2085</v>
      </c>
      <c r="C90" s="1339" t="str">
        <f>C91&amp;"(含)"&amp;"-"&amp;D91</f>
        <v>0(含)-1500</v>
      </c>
      <c r="D90" s="1339" t="str">
        <f t="shared" ref="D90:L90" si="20">D91&amp;"(含)"&amp;"-"&amp;E91</f>
        <v>1500(含)-3000</v>
      </c>
      <c r="E90" s="1339" t="str">
        <f t="shared" si="20"/>
        <v>3000(含)-4500</v>
      </c>
      <c r="F90" s="1339" t="str">
        <f t="shared" si="20"/>
        <v>4500(含)-6000</v>
      </c>
      <c r="G90" s="1339" t="str">
        <f t="shared" si="20"/>
        <v>6000(含)-7500</v>
      </c>
      <c r="H90" s="1339" t="str">
        <f t="shared" si="20"/>
        <v>7500(含)-</v>
      </c>
      <c r="I90" s="1339" t="str">
        <f t="shared" si="20"/>
        <v>(含)-</v>
      </c>
      <c r="J90" s="1339" t="str">
        <f t="shared" si="20"/>
        <v>(含)-</v>
      </c>
      <c r="K90" s="1339" t="str">
        <f t="shared" si="20"/>
        <v>(含)-</v>
      </c>
      <c r="L90" s="1339" t="str">
        <f t="shared" si="20"/>
        <v>(含)-</v>
      </c>
      <c r="M90" s="1391" t="str">
        <f>M91&amp;"(含)"&amp;"-"&amp;P91</f>
        <v>(含)-</v>
      </c>
      <c r="N90" s="1616"/>
      <c r="O90" s="1616"/>
      <c r="P90" s="1619"/>
      <c r="Q90" s="1613"/>
    </row>
    <row r="91" spans="1:17" s="1071" customFormat="1">
      <c r="A91" s="1348"/>
      <c r="B91" s="1349"/>
      <c r="C91" s="1304">
        <v>0</v>
      </c>
      <c r="D91" s="1304">
        <v>1500</v>
      </c>
      <c r="E91" s="1304">
        <v>3000</v>
      </c>
      <c r="F91" s="1304">
        <v>4500</v>
      </c>
      <c r="G91" s="1304">
        <v>6000</v>
      </c>
      <c r="H91" s="1304">
        <v>7500</v>
      </c>
      <c r="I91" s="1304"/>
      <c r="J91" s="1403"/>
      <c r="K91" s="1403"/>
      <c r="L91" s="1404"/>
      <c r="M91" s="1405"/>
      <c r="N91" s="1621"/>
      <c r="O91" s="1621"/>
      <c r="P91" s="1622"/>
      <c r="Q91" s="1623"/>
    </row>
    <row r="92" spans="1:17" s="1071" customFormat="1" ht="15">
      <c r="A92" s="1327"/>
      <c r="B92" s="1322"/>
      <c r="C92" s="1330">
        <v>100</v>
      </c>
      <c r="D92" s="1319">
        <v>99</v>
      </c>
      <c r="E92" s="1319">
        <v>98</v>
      </c>
      <c r="F92" s="1319">
        <v>97</v>
      </c>
      <c r="G92" s="1319">
        <v>96</v>
      </c>
      <c r="H92" s="1319">
        <v>95</v>
      </c>
      <c r="I92" s="1319"/>
      <c r="J92" s="1319"/>
      <c r="K92" s="1319"/>
      <c r="L92" s="1319"/>
      <c r="M92" s="1368"/>
      <c r="N92" s="1620"/>
      <c r="O92" s="1620"/>
      <c r="P92" s="1622"/>
      <c r="Q92" s="1623"/>
    </row>
    <row r="93" spans="1:17">
      <c r="A93" s="1351"/>
      <c r="B93" s="1320" t="s">
        <v>2086</v>
      </c>
      <c r="C93" s="1627" t="s">
        <v>1828</v>
      </c>
      <c r="D93" s="1328"/>
      <c r="E93" s="1345"/>
      <c r="F93" s="1345"/>
      <c r="G93" s="1345"/>
      <c r="H93" s="1345"/>
      <c r="I93" s="1345"/>
      <c r="J93" s="1345"/>
      <c r="K93" s="1396"/>
      <c r="L93" s="1397"/>
      <c r="M93" s="1398"/>
      <c r="N93" s="1618"/>
      <c r="O93" s="1618"/>
      <c r="P93" s="1619"/>
      <c r="Q93" s="1613"/>
    </row>
    <row r="94" spans="1:17" ht="15">
      <c r="A94" s="1317"/>
      <c r="B94" s="1322"/>
      <c r="C94" s="1323">
        <v>100</v>
      </c>
      <c r="D94" s="1323">
        <f t="shared" ref="D94:M94" si="21">C94-$K31</f>
        <v>99</v>
      </c>
      <c r="E94" s="1323">
        <f t="shared" si="21"/>
        <v>98</v>
      </c>
      <c r="F94" s="1323">
        <f t="shared" si="21"/>
        <v>97</v>
      </c>
      <c r="G94" s="1323">
        <f t="shared" si="21"/>
        <v>96</v>
      </c>
      <c r="H94" s="1323">
        <f t="shared" si="21"/>
        <v>95</v>
      </c>
      <c r="I94" s="1323">
        <f t="shared" si="21"/>
        <v>94</v>
      </c>
      <c r="J94" s="1323">
        <f t="shared" si="21"/>
        <v>93</v>
      </c>
      <c r="K94" s="1323">
        <f t="shared" si="21"/>
        <v>92</v>
      </c>
      <c r="L94" s="1323">
        <f t="shared" si="21"/>
        <v>91</v>
      </c>
      <c r="M94" s="1373">
        <f t="shared" si="21"/>
        <v>90</v>
      </c>
      <c r="N94" s="1620"/>
      <c r="O94" s="1620"/>
      <c r="P94" s="1619"/>
      <c r="Q94" s="1613"/>
    </row>
    <row r="95" spans="1:17">
      <c r="A95" s="1351"/>
      <c r="B95" s="1320" t="s">
        <v>2088</v>
      </c>
      <c r="C95" s="1624" t="s">
        <v>2165</v>
      </c>
      <c r="D95" s="1624" t="s">
        <v>2168</v>
      </c>
      <c r="E95" s="1624" t="s">
        <v>2169</v>
      </c>
      <c r="F95" s="1345"/>
      <c r="G95" s="1345"/>
      <c r="H95" s="1345"/>
      <c r="I95" s="1345"/>
      <c r="J95" s="1345"/>
      <c r="K95" s="1396"/>
      <c r="L95" s="1397"/>
      <c r="M95" s="1398"/>
      <c r="N95" s="1618"/>
      <c r="O95" s="1618"/>
      <c r="P95" s="1619"/>
      <c r="Q95" s="1613"/>
    </row>
    <row r="96" spans="1:17" ht="15">
      <c r="A96" s="1317"/>
      <c r="B96" s="1322"/>
      <c r="C96" s="1323">
        <v>100</v>
      </c>
      <c r="D96" s="1323">
        <f t="shared" ref="D96:M96" si="22">C96-$K32</f>
        <v>98</v>
      </c>
      <c r="E96" s="1323">
        <f t="shared" si="22"/>
        <v>96</v>
      </c>
      <c r="F96" s="1323">
        <f t="shared" si="22"/>
        <v>94</v>
      </c>
      <c r="G96" s="1323">
        <f t="shared" si="22"/>
        <v>92</v>
      </c>
      <c r="H96" s="1323">
        <f t="shared" si="22"/>
        <v>90</v>
      </c>
      <c r="I96" s="1323">
        <f t="shared" si="22"/>
        <v>88</v>
      </c>
      <c r="J96" s="1323">
        <f t="shared" si="22"/>
        <v>86</v>
      </c>
      <c r="K96" s="1323">
        <f t="shared" si="22"/>
        <v>84</v>
      </c>
      <c r="L96" s="1323">
        <f t="shared" si="22"/>
        <v>82</v>
      </c>
      <c r="M96" s="1373">
        <f t="shared" si="22"/>
        <v>80</v>
      </c>
      <c r="N96" s="1620"/>
      <c r="O96" s="1620"/>
      <c r="P96" s="1619"/>
      <c r="Q96" s="1613"/>
    </row>
    <row r="97" spans="1:17">
      <c r="A97" s="1351"/>
      <c r="B97" s="1320" t="s">
        <v>1202</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8"/>
      <c r="O97" s="1618"/>
      <c r="P97" s="1619"/>
      <c r="Q97" s="1613"/>
    </row>
    <row r="98" spans="1:17">
      <c r="A98" s="1351"/>
      <c r="B98" s="1324"/>
      <c r="C98" s="842">
        <v>0.5</v>
      </c>
      <c r="D98" s="842">
        <v>0.6</v>
      </c>
      <c r="E98" s="842">
        <v>0.7</v>
      </c>
      <c r="F98" s="842">
        <v>0.8</v>
      </c>
      <c r="G98" s="842">
        <v>0.9</v>
      </c>
      <c r="H98" s="842">
        <v>1.0001</v>
      </c>
      <c r="I98" s="1579"/>
      <c r="J98" s="1579"/>
      <c r="K98" s="1580"/>
      <c r="L98" s="1581"/>
      <c r="M98" s="1582"/>
      <c r="N98" s="1618"/>
      <c r="O98" s="1618"/>
      <c r="P98" s="1619"/>
      <c r="Q98" s="1613"/>
    </row>
    <row r="99" spans="1:17" ht="15">
      <c r="A99" s="1317"/>
      <c r="B99" s="1322"/>
      <c r="C99" s="1341">
        <v>100</v>
      </c>
      <c r="D99" s="1323">
        <f>C99+$K33</f>
        <v>102</v>
      </c>
      <c r="E99" s="1323">
        <f t="shared" ref="E99:M99" si="23">D99+$K33</f>
        <v>104</v>
      </c>
      <c r="F99" s="1323">
        <f t="shared" si="23"/>
        <v>106</v>
      </c>
      <c r="G99" s="1323">
        <f t="shared" si="23"/>
        <v>108</v>
      </c>
      <c r="H99" s="1323">
        <f t="shared" si="23"/>
        <v>110</v>
      </c>
      <c r="I99" s="1323">
        <f t="shared" si="23"/>
        <v>112</v>
      </c>
      <c r="J99" s="1323">
        <f t="shared" si="23"/>
        <v>114</v>
      </c>
      <c r="K99" s="1323">
        <f t="shared" si="23"/>
        <v>116</v>
      </c>
      <c r="L99" s="1323">
        <f t="shared" si="23"/>
        <v>118</v>
      </c>
      <c r="M99" s="1323">
        <f t="shared" si="23"/>
        <v>120</v>
      </c>
      <c r="N99" s="1620"/>
      <c r="O99" s="1620"/>
      <c r="P99" s="1619"/>
      <c r="Q99" s="1613"/>
    </row>
    <row r="100" spans="1:17" s="1071" customFormat="1">
      <c r="A100" s="1348"/>
      <c r="B100" s="1320" t="s">
        <v>2089</v>
      </c>
      <c r="C100" s="1328"/>
      <c r="D100" s="1328"/>
      <c r="E100" s="1328"/>
      <c r="F100" s="1328"/>
      <c r="G100" s="1328"/>
      <c r="H100" s="1345"/>
      <c r="I100" s="1345"/>
      <c r="J100" s="1345"/>
      <c r="K100" s="1396"/>
      <c r="L100" s="1397"/>
      <c r="M100" s="1398"/>
      <c r="N100" s="1621"/>
      <c r="O100" s="1621"/>
      <c r="P100" s="1622"/>
      <c r="Q100" s="1623"/>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21"/>
      <c r="O101" s="1621"/>
      <c r="P101" s="1622"/>
      <c r="Q101" s="1623"/>
    </row>
    <row r="102" spans="1:17">
      <c r="A102" s="1351"/>
      <c r="B102" s="1320" t="s">
        <v>2090</v>
      </c>
      <c r="C102" s="1328"/>
      <c r="D102" s="1328"/>
      <c r="E102" s="1328"/>
      <c r="F102" s="1328"/>
      <c r="G102" s="1328"/>
      <c r="H102" s="1345"/>
      <c r="I102" s="1345"/>
      <c r="J102" s="1345"/>
      <c r="K102" s="1396"/>
      <c r="L102" s="1397"/>
      <c r="M102" s="1398"/>
      <c r="N102" s="1618"/>
      <c r="O102" s="1618"/>
      <c r="P102" s="1619"/>
      <c r="Q102" s="1613"/>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20"/>
      <c r="O103" s="1620"/>
      <c r="P103" s="1619"/>
      <c r="Q103" s="1613"/>
    </row>
    <row r="104" spans="1:17">
      <c r="A104" s="1351"/>
      <c r="B104" s="1320" t="s">
        <v>2093</v>
      </c>
      <c r="C104" s="1624" t="s">
        <v>2165</v>
      </c>
      <c r="D104" s="1624" t="s">
        <v>2168</v>
      </c>
      <c r="E104" s="1624" t="s">
        <v>2169</v>
      </c>
      <c r="F104" s="1328"/>
      <c r="G104" s="1328"/>
      <c r="H104" s="1345"/>
      <c r="I104" s="1345"/>
      <c r="J104" s="1345"/>
      <c r="K104" s="1396"/>
      <c r="L104" s="1397"/>
      <c r="M104" s="1398"/>
      <c r="N104" s="1618"/>
      <c r="O104" s="1618"/>
      <c r="P104" s="1619"/>
      <c r="Q104" s="1613"/>
    </row>
    <row r="105" spans="1:17" ht="15">
      <c r="A105" s="1317"/>
      <c r="B105" s="1322"/>
      <c r="C105" s="1323">
        <v>100</v>
      </c>
      <c r="D105" s="1323">
        <f>C105-$K36</f>
        <v>98</v>
      </c>
      <c r="E105" s="1323">
        <f>D105-$K36</f>
        <v>96</v>
      </c>
      <c r="F105" s="1323">
        <f>E105-$K36</f>
        <v>94</v>
      </c>
      <c r="G105" s="1323">
        <f>F105-$K36</f>
        <v>92</v>
      </c>
      <c r="H105" s="1323"/>
      <c r="I105" s="1323"/>
      <c r="J105" s="1323"/>
      <c r="K105" s="1323"/>
      <c r="L105" s="1323"/>
      <c r="M105" s="1373"/>
      <c r="N105" s="1620"/>
      <c r="O105" s="1620"/>
      <c r="P105" s="1619"/>
      <c r="Q105" s="1613"/>
    </row>
    <row r="106" spans="1:17">
      <c r="A106" s="1351"/>
      <c r="B106" s="1515" t="s">
        <v>2170</v>
      </c>
      <c r="C106" s="1339" t="s">
        <v>2106</v>
      </c>
      <c r="D106" s="1339" t="s">
        <v>2107</v>
      </c>
      <c r="E106" s="1339" t="s">
        <v>2108</v>
      </c>
      <c r="F106" s="1339" t="s">
        <v>2109</v>
      </c>
      <c r="G106" s="1339" t="s">
        <v>2110</v>
      </c>
      <c r="H106" s="1321"/>
      <c r="I106" s="1321"/>
      <c r="J106" s="1321"/>
      <c r="K106" s="1370"/>
      <c r="L106" s="1371"/>
      <c r="M106" s="1372"/>
      <c r="N106" s="1620"/>
      <c r="O106" s="1620"/>
      <c r="P106" s="1631"/>
      <c r="Q106" s="1633"/>
    </row>
    <row r="107" spans="1:17" ht="15">
      <c r="A107" s="1317"/>
      <c r="B107" s="1322"/>
      <c r="C107" s="1341">
        <v>100</v>
      </c>
      <c r="D107" s="1323">
        <f t="shared" ref="D107:M107" si="26">C107-$K37</f>
        <v>98</v>
      </c>
      <c r="E107" s="1323">
        <f t="shared" si="26"/>
        <v>96</v>
      </c>
      <c r="F107" s="1323">
        <f t="shared" si="26"/>
        <v>94</v>
      </c>
      <c r="G107" s="1323">
        <f t="shared" si="26"/>
        <v>92</v>
      </c>
      <c r="H107" s="1323">
        <f t="shared" si="26"/>
        <v>90</v>
      </c>
      <c r="I107" s="1323">
        <f t="shared" si="26"/>
        <v>88</v>
      </c>
      <c r="J107" s="1323">
        <f t="shared" si="26"/>
        <v>86</v>
      </c>
      <c r="K107" s="1323">
        <f t="shared" si="26"/>
        <v>84</v>
      </c>
      <c r="L107" s="1323">
        <f t="shared" si="26"/>
        <v>82</v>
      </c>
      <c r="M107" s="1323">
        <f t="shared" si="26"/>
        <v>80</v>
      </c>
      <c r="N107" s="1620"/>
      <c r="O107" s="1620"/>
      <c r="P107" s="1619"/>
      <c r="Q107" s="1613"/>
    </row>
    <row r="108" spans="1:17" s="1071" customFormat="1">
      <c r="A108" s="1348"/>
      <c r="B108" s="1320">
        <f>B38</f>
        <v>0</v>
      </c>
      <c r="C108" s="1328"/>
      <c r="D108" s="1328"/>
      <c r="E108" s="1328"/>
      <c r="F108" s="1328"/>
      <c r="G108" s="1328"/>
      <c r="H108" s="1329"/>
      <c r="I108" s="1329"/>
      <c r="J108" s="1329"/>
      <c r="K108" s="1329"/>
      <c r="L108" s="1377"/>
      <c r="M108" s="1378"/>
      <c r="N108" s="1621"/>
      <c r="O108" s="1621"/>
      <c r="P108" s="1622"/>
      <c r="Q108" s="1623"/>
    </row>
    <row r="109" spans="1:17" s="1071" customFormat="1" ht="15">
      <c r="A109" s="1327"/>
      <c r="B109" s="1318"/>
      <c r="C109" s="1330"/>
      <c r="D109" s="1319"/>
      <c r="E109" s="1319"/>
      <c r="F109" s="1319"/>
      <c r="G109" s="1330"/>
      <c r="H109" s="1331"/>
      <c r="I109" s="1331"/>
      <c r="J109" s="1331"/>
      <c r="K109" s="1331"/>
      <c r="L109" s="1331"/>
      <c r="M109" s="1381"/>
      <c r="N109" s="1621"/>
      <c r="O109" s="1621"/>
      <c r="P109" s="1622"/>
      <c r="Q109" s="1623"/>
    </row>
    <row r="110" spans="1:17">
      <c r="A110" s="1351"/>
      <c r="B110" s="1320">
        <f>B39</f>
        <v>111</v>
      </c>
      <c r="C110" s="1328"/>
      <c r="D110" s="1328"/>
      <c r="E110" s="1328"/>
      <c r="F110" s="1328"/>
      <c r="G110" s="1328"/>
      <c r="H110" s="1329"/>
      <c r="I110" s="1329"/>
      <c r="J110" s="1329"/>
      <c r="K110" s="1329"/>
      <c r="L110" s="1377"/>
      <c r="M110" s="1378"/>
      <c r="N110" s="1618"/>
      <c r="O110" s="1618"/>
      <c r="P110" s="1619"/>
      <c r="Q110" s="1613"/>
    </row>
    <row r="111" spans="1:17" ht="15">
      <c r="A111" s="1317"/>
      <c r="B111" s="1322"/>
      <c r="C111" s="1330"/>
      <c r="D111" s="1319"/>
      <c r="E111" s="1319"/>
      <c r="F111" s="1319"/>
      <c r="G111" s="1330"/>
      <c r="H111" s="1331"/>
      <c r="I111" s="1331"/>
      <c r="J111" s="1331"/>
      <c r="K111" s="1331"/>
      <c r="L111" s="1331"/>
      <c r="M111" s="1381"/>
      <c r="N111" s="1620"/>
      <c r="O111" s="1620"/>
      <c r="P111" s="1619"/>
      <c r="Q111" s="1613"/>
    </row>
    <row r="112" spans="1:17">
      <c r="A112" s="1351"/>
      <c r="B112" s="1324">
        <f>B40</f>
        <v>111</v>
      </c>
      <c r="C112" s="1312"/>
      <c r="D112" s="1312"/>
      <c r="E112" s="1312"/>
      <c r="F112" s="1312"/>
      <c r="G112" s="1346"/>
      <c r="H112" s="1346"/>
      <c r="I112" s="1346"/>
      <c r="J112" s="1346"/>
      <c r="K112" s="1312"/>
      <c r="L112" s="1358"/>
      <c r="M112" s="1401"/>
      <c r="N112" s="1618"/>
      <c r="O112" s="1618"/>
      <c r="P112" s="1619"/>
      <c r="Q112" s="1613"/>
    </row>
    <row r="113" spans="1:17" ht="15">
      <c r="A113" s="1625"/>
      <c r="B113" s="1334"/>
      <c r="C113" s="1335"/>
      <c r="D113" s="1335"/>
      <c r="E113" s="1335"/>
      <c r="F113" s="1335"/>
      <c r="G113" s="1347"/>
      <c r="H113" s="1347"/>
      <c r="I113" s="1347"/>
      <c r="J113" s="1347"/>
      <c r="K113" s="1347"/>
      <c r="L113" s="1347"/>
      <c r="M113" s="1402"/>
      <c r="N113" s="1620"/>
      <c r="O113" s="1620"/>
      <c r="P113" s="1619"/>
      <c r="Q113" s="16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2171</v>
      </c>
      <c r="B1" s="1449" t="s">
        <v>1115</v>
      </c>
      <c r="C1" s="1450" t="s">
        <v>2046</v>
      </c>
      <c r="D1" s="1451"/>
      <c r="E1" s="1452"/>
      <c r="F1" s="1453"/>
      <c r="G1" s="1528" t="s">
        <v>2047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1561</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1562</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1563</v>
      </c>
      <c r="B3" s="1086" t="e">
        <f>IF(AND(C2="——",B37="元/平方米"),C39,ROUND(B2*10000/D3,0))</f>
        <v>#DIV/0!</v>
      </c>
      <c r="C3" s="1461" t="s">
        <v>2048</v>
      </c>
      <c r="D3" s="1462">
        <f>SUMIF('数据-汇总表'!$C19:$C33,D1,'数据-汇总表'!$E19:$E33)</f>
        <v>0</v>
      </c>
      <c r="E3" s="1461" t="s">
        <v>2172</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1" t="s">
        <v>2052</v>
      </c>
      <c r="AC4" s="3810" t="s">
        <v>2053</v>
      </c>
    </row>
    <row r="5" spans="1:29" ht="15">
      <c r="A5" s="1090"/>
      <c r="B5" s="1091"/>
      <c r="C5" s="3877" t="s">
        <v>2056</v>
      </c>
      <c r="D5" s="3853"/>
      <c r="E5" s="3878" t="s">
        <v>2057</v>
      </c>
      <c r="F5" s="3855"/>
      <c r="G5" s="3877" t="s">
        <v>2058</v>
      </c>
      <c r="H5" s="3853"/>
      <c r="I5" s="3877" t="s">
        <v>2059</v>
      </c>
      <c r="J5" s="3853"/>
      <c r="K5" s="1235"/>
      <c r="L5" s="1236"/>
      <c r="M5" s="1237"/>
      <c r="N5" s="1237"/>
      <c r="O5" s="1237"/>
      <c r="P5" s="3816"/>
      <c r="Q5" s="3817"/>
      <c r="R5" s="3822"/>
      <c r="S5" s="3823"/>
      <c r="T5" s="3822"/>
      <c r="U5" s="3823"/>
      <c r="V5" s="3813"/>
      <c r="W5" s="3813"/>
      <c r="X5" s="1279"/>
      <c r="Y5" s="3822"/>
      <c r="Z5" s="3823"/>
      <c r="AA5" s="3811"/>
      <c r="AB5" s="3811"/>
      <c r="AC5" s="3811"/>
    </row>
    <row r="6" spans="1:29" ht="15">
      <c r="A6" s="1092"/>
      <c r="B6" s="1093"/>
      <c r="C6" s="3843" t="s">
        <v>2060</v>
      </c>
      <c r="D6" s="3844"/>
      <c r="E6" s="3845" t="s">
        <v>2060</v>
      </c>
      <c r="F6" s="3846"/>
      <c r="G6" s="3843" t="s">
        <v>2060</v>
      </c>
      <c r="H6" s="3844"/>
      <c r="I6" s="3843" t="s">
        <v>2060</v>
      </c>
      <c r="J6" s="3844"/>
      <c r="K6" s="1235" t="s">
        <v>2061</v>
      </c>
      <c r="L6" s="1236"/>
      <c r="M6" s="1237"/>
      <c r="N6" s="1237"/>
      <c r="O6" s="1237"/>
      <c r="P6" s="3818"/>
      <c r="Q6" s="3819"/>
      <c r="R6" s="3822"/>
      <c r="S6" s="3823"/>
      <c r="T6" s="3824"/>
      <c r="U6" s="3825"/>
      <c r="V6" s="3813"/>
      <c r="W6" s="3813"/>
      <c r="X6" s="1279"/>
      <c r="Y6" s="3824"/>
      <c r="Z6" s="3825"/>
      <c r="AA6" s="3812"/>
      <c r="AB6" s="3812"/>
      <c r="AC6" s="3812"/>
    </row>
    <row r="7" spans="1:29" s="1069" customFormat="1" ht="15">
      <c r="A7" s="1094" t="s">
        <v>2062</v>
      </c>
      <c r="B7" s="1095"/>
      <c r="C7" s="1096">
        <f>'数据-取费表'!B2</f>
        <v>45300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831" t="s">
        <v>2063</v>
      </c>
      <c r="Q7" s="3847"/>
      <c r="R7" s="1280" t="s">
        <v>2064</v>
      </c>
      <c r="S7" s="1281">
        <f t="shared" ref="S7:S14" si="0">F7</f>
        <v>0</v>
      </c>
      <c r="T7" s="1280" t="s">
        <v>2064</v>
      </c>
      <c r="U7" s="1281">
        <f t="shared" ref="U7:U14" si="1">H7</f>
        <v>0</v>
      </c>
      <c r="V7" s="1280" t="s">
        <v>2064</v>
      </c>
      <c r="W7" s="1281">
        <f t="shared" ref="W7:W14" si="2">J7</f>
        <v>0</v>
      </c>
      <c r="X7" s="1282"/>
      <c r="Y7" s="3831" t="s">
        <v>2063</v>
      </c>
      <c r="Z7" s="3832"/>
      <c r="AA7" s="1294" t="e">
        <f>D7/F7</f>
        <v>#DIV/0!</v>
      </c>
      <c r="AB7" s="1294" t="e">
        <f>D7/H7</f>
        <v>#DIV/0!</v>
      </c>
      <c r="AC7" s="1294" t="e">
        <f>D7/J7</f>
        <v>#DIV/0!</v>
      </c>
    </row>
    <row r="8" spans="1:29" s="1069" customFormat="1" ht="15">
      <c r="A8" s="1094" t="s">
        <v>2065</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831" t="s">
        <v>2066</v>
      </c>
      <c r="Q8" s="3832"/>
      <c r="R8" s="1280" t="s">
        <v>2064</v>
      </c>
      <c r="S8" s="1281">
        <f t="shared" si="0"/>
        <v>100</v>
      </c>
      <c r="T8" s="1280" t="s">
        <v>2064</v>
      </c>
      <c r="U8" s="1281">
        <f t="shared" si="1"/>
        <v>100</v>
      </c>
      <c r="V8" s="1280" t="s">
        <v>2064</v>
      </c>
      <c r="W8" s="1281">
        <f t="shared" si="2"/>
        <v>100</v>
      </c>
      <c r="X8" s="1282"/>
      <c r="Y8" s="3831" t="s">
        <v>2066</v>
      </c>
      <c r="Z8" s="3832"/>
      <c r="AA8" s="1294">
        <f t="shared" ref="AA8:AA36" si="3">D8/F8</f>
        <v>1</v>
      </c>
      <c r="AB8" s="1294">
        <f t="shared" ref="AB8:AB36" si="4">D8/H8</f>
        <v>1</v>
      </c>
      <c r="AC8" s="1294">
        <f t="shared" ref="AC8:AC36" si="5">D8/J8</f>
        <v>1</v>
      </c>
    </row>
    <row r="9" spans="1:29" s="1069" customFormat="1">
      <c r="A9" s="1530" t="s">
        <v>2067</v>
      </c>
      <c r="B9" s="1531" t="s">
        <v>2068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826" t="s">
        <v>2069</v>
      </c>
      <c r="Q9" s="1284" t="str">
        <f t="shared" ref="Q9:Q14" si="6">B9</f>
        <v>用途</v>
      </c>
      <c r="R9" s="1280" t="s">
        <v>2064</v>
      </c>
      <c r="S9" s="1281">
        <f t="shared" si="0"/>
        <v>100</v>
      </c>
      <c r="T9" s="1280" t="s">
        <v>2064</v>
      </c>
      <c r="U9" s="1281">
        <f t="shared" si="1"/>
        <v>100</v>
      </c>
      <c r="V9" s="1280" t="s">
        <v>2064</v>
      </c>
      <c r="W9" s="1281">
        <f t="shared" si="2"/>
        <v>100</v>
      </c>
      <c r="X9" s="1282"/>
      <c r="Y9" s="3690" t="s">
        <v>2070</v>
      </c>
      <c r="Z9" s="1295" t="str">
        <f t="shared" ref="Z9:Z14" si="7">Q9</f>
        <v>用途</v>
      </c>
      <c r="AA9" s="1294">
        <f t="shared" si="3"/>
        <v>1</v>
      </c>
      <c r="AB9" s="1294">
        <f t="shared" si="4"/>
        <v>1</v>
      </c>
      <c r="AC9" s="1294">
        <f t="shared" si="5"/>
        <v>1</v>
      </c>
    </row>
    <row r="10" spans="1:29" s="1070" customFormat="1" ht="27">
      <c r="A10" s="1533"/>
      <c r="B10" s="1534" t="s">
        <v>2071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826"/>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826"/>
      <c r="Q11" s="1284">
        <f t="shared" si="6"/>
        <v>111</v>
      </c>
      <c r="R11" s="1280" t="s">
        <v>2064</v>
      </c>
      <c r="S11" s="1281">
        <f t="shared" si="0"/>
        <v>100</v>
      </c>
      <c r="T11" s="1280" t="s">
        <v>2064</v>
      </c>
      <c r="U11" s="1281">
        <f t="shared" si="1"/>
        <v>100</v>
      </c>
      <c r="V11" s="1280" t="s">
        <v>2064</v>
      </c>
      <c r="W11" s="1281">
        <f t="shared" si="2"/>
        <v>100</v>
      </c>
      <c r="X11" s="1282"/>
      <c r="Y11" s="369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826"/>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826"/>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85.5">
      <c r="A14" s="1088" t="s">
        <v>2073</v>
      </c>
      <c r="B14" s="1125" t="s">
        <v>2076</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839" t="s">
        <v>2075</v>
      </c>
      <c r="Q14" s="664" t="str">
        <f t="shared" si="6"/>
        <v>交通便捷度</v>
      </c>
      <c r="R14" s="1285" t="s">
        <v>2064</v>
      </c>
      <c r="S14" s="1286">
        <f t="shared" si="0"/>
        <v>100</v>
      </c>
      <c r="T14" s="1285" t="s">
        <v>2064</v>
      </c>
      <c r="U14" s="1286">
        <f t="shared" si="1"/>
        <v>100</v>
      </c>
      <c r="V14" s="1285" t="s">
        <v>2064</v>
      </c>
      <c r="W14" s="1286">
        <f t="shared" si="2"/>
        <v>100</v>
      </c>
      <c r="X14" s="1279"/>
      <c r="Y14" s="3839" t="s">
        <v>2075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840"/>
      <c r="Q15" s="664"/>
      <c r="R15" s="1285"/>
      <c r="S15" s="1286"/>
      <c r="T15" s="1285"/>
      <c r="U15" s="1286"/>
      <c r="V15" s="1285"/>
      <c r="W15" s="1286"/>
      <c r="X15" s="1279"/>
      <c r="Y15" s="3840"/>
      <c r="Z15" s="1269"/>
      <c r="AA15" s="1296">
        <v>1</v>
      </c>
      <c r="AB15" s="1296">
        <v>1</v>
      </c>
      <c r="AC15" s="1296">
        <v>1</v>
      </c>
    </row>
    <row r="16" spans="1:29" ht="42.75">
      <c r="A16" s="1090"/>
      <c r="B16" s="1134" t="s">
        <v>2077</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840"/>
      <c r="Q16" s="664" t="str">
        <f>B16</f>
        <v>公共配套设施</v>
      </c>
      <c r="R16" s="1285" t="s">
        <v>2064</v>
      </c>
      <c r="S16" s="1286">
        <f>F16</f>
        <v>100</v>
      </c>
      <c r="T16" s="1285" t="s">
        <v>2064</v>
      </c>
      <c r="U16" s="1286">
        <f>H16</f>
        <v>100</v>
      </c>
      <c r="V16" s="1285" t="s">
        <v>2064</v>
      </c>
      <c r="W16" s="1286">
        <f>J16</f>
        <v>100</v>
      </c>
      <c r="X16" s="1279"/>
      <c r="Y16" s="384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840"/>
      <c r="Q17" s="664"/>
      <c r="R17" s="1285"/>
      <c r="S17" s="1286"/>
      <c r="T17" s="1285"/>
      <c r="U17" s="1286"/>
      <c r="V17" s="1285"/>
      <c r="W17" s="1286"/>
      <c r="X17" s="1279"/>
      <c r="Y17" s="3840"/>
      <c r="Z17" s="1269"/>
      <c r="AA17" s="1296">
        <v>1</v>
      </c>
      <c r="AB17" s="1296">
        <v>1</v>
      </c>
      <c r="AC17" s="1296">
        <v>1</v>
      </c>
    </row>
    <row r="18" spans="1:29" ht="28.5">
      <c r="A18" s="1090"/>
      <c r="B18" s="1141" t="s">
        <v>2078</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840"/>
      <c r="Q18" s="664" t="str">
        <f>B18</f>
        <v>基础设施水平</v>
      </c>
      <c r="R18" s="1285" t="s">
        <v>2064</v>
      </c>
      <c r="S18" s="1286">
        <f>F18</f>
        <v>100</v>
      </c>
      <c r="T18" s="1285" t="s">
        <v>2064</v>
      </c>
      <c r="U18" s="1286">
        <f>H18</f>
        <v>100</v>
      </c>
      <c r="V18" s="1285" t="s">
        <v>2064</v>
      </c>
      <c r="W18" s="1286">
        <f>J18</f>
        <v>100</v>
      </c>
      <c r="X18" s="1279"/>
      <c r="Y18" s="384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840"/>
      <c r="Q19" s="664"/>
      <c r="R19" s="1285"/>
      <c r="S19" s="1286"/>
      <c r="T19" s="1285"/>
      <c r="U19" s="1286"/>
      <c r="V19" s="1285"/>
      <c r="W19" s="1286"/>
      <c r="X19" s="1279"/>
      <c r="Y19" s="3840"/>
      <c r="Z19" s="1269"/>
      <c r="AA19" s="1296">
        <v>1</v>
      </c>
      <c r="AB19" s="1296">
        <v>1</v>
      </c>
      <c r="AC19" s="1296">
        <v>1</v>
      </c>
    </row>
    <row r="20" spans="1:29" ht="57">
      <c r="A20" s="1090"/>
      <c r="B20" s="1134" t="s">
        <v>2079</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840"/>
      <c r="Q20" s="664" t="str">
        <f>B20</f>
        <v>自然及人文环境</v>
      </c>
      <c r="R20" s="1285" t="s">
        <v>2064</v>
      </c>
      <c r="S20" s="1286">
        <f>F20</f>
        <v>100</v>
      </c>
      <c r="T20" s="1285" t="s">
        <v>2064</v>
      </c>
      <c r="U20" s="1286">
        <f>H20</f>
        <v>100</v>
      </c>
      <c r="V20" s="1285" t="s">
        <v>2064</v>
      </c>
      <c r="W20" s="1286">
        <f>J20</f>
        <v>100</v>
      </c>
      <c r="X20" s="1279"/>
      <c r="Y20" s="384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840"/>
      <c r="Q21" s="664"/>
      <c r="R21" s="1285"/>
      <c r="S21" s="1286"/>
      <c r="T21" s="1285"/>
      <c r="U21" s="1286"/>
      <c r="V21" s="1285"/>
      <c r="W21" s="1286"/>
      <c r="X21" s="1279"/>
      <c r="Y21" s="3840"/>
      <c r="Z21" s="1269"/>
      <c r="AA21" s="1296">
        <v>1</v>
      </c>
      <c r="AB21" s="1296">
        <v>1</v>
      </c>
      <c r="AC21" s="1296">
        <v>1</v>
      </c>
    </row>
    <row r="22" spans="1:29" ht="15">
      <c r="A22" s="1090"/>
      <c r="B22" s="1134" t="s">
        <v>2141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840"/>
      <c r="Q22" s="664" t="str">
        <f>B22</f>
        <v>楼层</v>
      </c>
      <c r="R22" s="1285" t="s">
        <v>2064</v>
      </c>
      <c r="S22" s="1286">
        <f>F22</f>
        <v>100</v>
      </c>
      <c r="T22" s="1285" t="s">
        <v>2064</v>
      </c>
      <c r="U22" s="1286">
        <f>H22</f>
        <v>100</v>
      </c>
      <c r="V22" s="1285" t="s">
        <v>2064</v>
      </c>
      <c r="W22" s="1286">
        <f>J22</f>
        <v>100</v>
      </c>
      <c r="X22" s="1279"/>
      <c r="Y22" s="384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840"/>
      <c r="Q23" s="664">
        <f>B23</f>
        <v>111</v>
      </c>
      <c r="R23" s="1285" t="s">
        <v>2064</v>
      </c>
      <c r="S23" s="1286">
        <f>F23</f>
        <v>100</v>
      </c>
      <c r="T23" s="1285" t="s">
        <v>2064</v>
      </c>
      <c r="U23" s="1286">
        <f>H23</f>
        <v>100</v>
      </c>
      <c r="V23" s="1285" t="s">
        <v>2064</v>
      </c>
      <c r="W23" s="1286">
        <f>J23</f>
        <v>100</v>
      </c>
      <c r="X23" s="1279"/>
      <c r="Y23" s="384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840"/>
      <c r="Q24" s="664">
        <f t="shared" ref="Q24:Q36" si="11">B24</f>
        <v>111</v>
      </c>
      <c r="R24" s="1285" t="s">
        <v>2064</v>
      </c>
      <c r="S24" s="1286">
        <f>F24</f>
        <v>100</v>
      </c>
      <c r="T24" s="1285" t="s">
        <v>2064</v>
      </c>
      <c r="U24" s="1286">
        <f>H24</f>
        <v>100</v>
      </c>
      <c r="V24" s="1285" t="s">
        <v>2064</v>
      </c>
      <c r="W24" s="1286">
        <f>J24</f>
        <v>100</v>
      </c>
      <c r="X24" s="1279"/>
      <c r="Y24" s="384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840"/>
      <c r="Q25" s="1284">
        <f t="shared" si="11"/>
        <v>111</v>
      </c>
      <c r="R25" s="1280" t="s">
        <v>2064</v>
      </c>
      <c r="S25" s="1281">
        <f>F25</f>
        <v>100</v>
      </c>
      <c r="T25" s="1280" t="s">
        <v>2064</v>
      </c>
      <c r="U25" s="1281">
        <f>H25</f>
        <v>100</v>
      </c>
      <c r="V25" s="1280" t="s">
        <v>2064</v>
      </c>
      <c r="W25" s="1281">
        <f>J25</f>
        <v>100</v>
      </c>
      <c r="X25" s="1282"/>
      <c r="Y25" s="3840"/>
      <c r="Z25" s="1295">
        <f>Q25</f>
        <v>111</v>
      </c>
      <c r="AA25" s="1296">
        <f t="shared" si="3"/>
        <v>1</v>
      </c>
      <c r="AB25" s="1296">
        <f t="shared" si="4"/>
        <v>1</v>
      </c>
      <c r="AC25" s="1296">
        <f t="shared" si="5"/>
        <v>1</v>
      </c>
    </row>
    <row r="26" spans="1:29" ht="15">
      <c r="A26" s="1546" t="s">
        <v>2082</v>
      </c>
      <c r="B26" s="1547" t="s">
        <v>2173</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94" t="s">
        <v>2084</v>
      </c>
      <c r="Q26" s="664" t="str">
        <f t="shared" si="11"/>
        <v>配套类型</v>
      </c>
      <c r="R26" s="1285" t="s">
        <v>2064</v>
      </c>
      <c r="S26" s="1286">
        <f t="shared" ref="S26:S36" si="12">F26</f>
        <v>0</v>
      </c>
      <c r="T26" s="1285" t="s">
        <v>2064</v>
      </c>
      <c r="U26" s="1286">
        <f t="shared" ref="U26:U36" si="13">H26</f>
        <v>0</v>
      </c>
      <c r="V26" s="1285" t="s">
        <v>2064</v>
      </c>
      <c r="W26" s="1286">
        <f t="shared" ref="W26:W36" si="14">J26</f>
        <v>0</v>
      </c>
      <c r="X26" s="1279"/>
      <c r="Y26" s="3841" t="s">
        <v>2084</v>
      </c>
      <c r="Z26" s="1269" t="str">
        <f t="shared" ref="Z26:Z36" si="15">Q26</f>
        <v>配套类型</v>
      </c>
      <c r="AA26" s="1296" t="e">
        <f t="shared" si="3"/>
        <v>#DIV/0!</v>
      </c>
      <c r="AB26" s="1296" t="e">
        <f t="shared" si="4"/>
        <v>#DIV/0!</v>
      </c>
      <c r="AC26" s="1296" t="e">
        <f t="shared" si="5"/>
        <v>#DIV/0!</v>
      </c>
    </row>
    <row r="27" spans="1:29" s="1071" customFormat="1" ht="15">
      <c r="A27" s="1549"/>
      <c r="B27" s="1147" t="s">
        <v>2174</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841"/>
      <c r="Q27" s="1513" t="str">
        <f t="shared" si="11"/>
        <v>项目停车位配比</v>
      </c>
      <c r="R27" s="1287" t="s">
        <v>2064</v>
      </c>
      <c r="S27" s="1288">
        <f t="shared" si="12"/>
        <v>100</v>
      </c>
      <c r="T27" s="1287" t="s">
        <v>2064</v>
      </c>
      <c r="U27" s="1288">
        <f t="shared" si="13"/>
        <v>100</v>
      </c>
      <c r="V27" s="1287" t="s">
        <v>2064</v>
      </c>
      <c r="W27" s="1288">
        <f t="shared" si="14"/>
        <v>100</v>
      </c>
      <c r="X27" s="1289"/>
      <c r="Y27" s="3841"/>
      <c r="Z27" s="1297" t="str">
        <f t="shared" si="15"/>
        <v>项目停车位配比</v>
      </c>
      <c r="AA27" s="1296">
        <f t="shared" si="3"/>
        <v>1</v>
      </c>
      <c r="AB27" s="1296">
        <f t="shared" si="4"/>
        <v>1</v>
      </c>
      <c r="AC27" s="1296">
        <f t="shared" si="5"/>
        <v>1</v>
      </c>
    </row>
    <row r="28" spans="1:29" ht="15">
      <c r="A28" s="1551"/>
      <c r="B28" s="1147" t="s">
        <v>2088</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841"/>
      <c r="Q28" s="664" t="str">
        <f t="shared" si="11"/>
        <v>公共部分装修</v>
      </c>
      <c r="R28" s="1285" t="s">
        <v>2064</v>
      </c>
      <c r="S28" s="1286">
        <f t="shared" si="12"/>
        <v>100</v>
      </c>
      <c r="T28" s="1285" t="s">
        <v>2064</v>
      </c>
      <c r="U28" s="1286">
        <f t="shared" si="13"/>
        <v>100</v>
      </c>
      <c r="V28" s="1285" t="s">
        <v>2064</v>
      </c>
      <c r="W28" s="1286">
        <f t="shared" si="14"/>
        <v>100</v>
      </c>
      <c r="X28" s="1279"/>
      <c r="Y28" s="3841"/>
      <c r="Z28" s="1269" t="str">
        <f t="shared" si="15"/>
        <v>公共部分装修</v>
      </c>
      <c r="AA28" s="1296">
        <f t="shared" si="3"/>
        <v>1</v>
      </c>
      <c r="AB28" s="1296">
        <f t="shared" si="4"/>
        <v>1</v>
      </c>
      <c r="AC28" s="1296">
        <f t="shared" si="5"/>
        <v>1</v>
      </c>
    </row>
    <row r="29" spans="1:29" ht="15">
      <c r="A29" s="1551"/>
      <c r="B29" s="1147" t="s">
        <v>2175</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841"/>
      <c r="Q29" s="664" t="str">
        <f t="shared" si="11"/>
        <v>成新率</v>
      </c>
      <c r="R29" s="1285" t="s">
        <v>2064</v>
      </c>
      <c r="S29" s="1286" t="e">
        <f t="shared" si="12"/>
        <v>#N/A</v>
      </c>
      <c r="T29" s="1285" t="s">
        <v>2064</v>
      </c>
      <c r="U29" s="1286" t="e">
        <f t="shared" si="13"/>
        <v>#N/A</v>
      </c>
      <c r="V29" s="1285" t="s">
        <v>2064</v>
      </c>
      <c r="W29" s="1286" t="e">
        <f t="shared" si="14"/>
        <v>#N/A</v>
      </c>
      <c r="X29" s="1279"/>
      <c r="Y29" s="3841"/>
      <c r="Z29" s="1269" t="str">
        <f t="shared" si="15"/>
        <v>成新率</v>
      </c>
      <c r="AA29" s="1296" t="e">
        <f t="shared" si="3"/>
        <v>#N/A</v>
      </c>
      <c r="AB29" s="1296" t="e">
        <f t="shared" si="4"/>
        <v>#N/A</v>
      </c>
      <c r="AC29" s="1296" t="e">
        <f t="shared" si="5"/>
        <v>#N/A</v>
      </c>
    </row>
    <row r="30" spans="1:29" ht="15">
      <c r="A30" s="1551"/>
      <c r="B30" s="1147" t="s">
        <v>2176</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841"/>
      <c r="Q30" s="664" t="str">
        <f t="shared" si="11"/>
        <v>物业等级</v>
      </c>
      <c r="R30" s="1285" t="s">
        <v>2064</v>
      </c>
      <c r="S30" s="1286">
        <f t="shared" si="12"/>
        <v>100</v>
      </c>
      <c r="T30" s="1285" t="s">
        <v>2064</v>
      </c>
      <c r="U30" s="1286">
        <f t="shared" si="13"/>
        <v>100</v>
      </c>
      <c r="V30" s="1285" t="s">
        <v>2064</v>
      </c>
      <c r="W30" s="1286">
        <f t="shared" si="14"/>
        <v>100</v>
      </c>
      <c r="X30" s="1279"/>
      <c r="Y30" s="3841"/>
      <c r="Z30" s="1269" t="str">
        <f t="shared" si="15"/>
        <v>物业等级</v>
      </c>
      <c r="AA30" s="1296">
        <f t="shared" si="3"/>
        <v>1</v>
      </c>
      <c r="AB30" s="1296">
        <f t="shared" si="4"/>
        <v>1</v>
      </c>
      <c r="AC30" s="1296">
        <f t="shared" si="5"/>
        <v>1</v>
      </c>
    </row>
    <row r="31" spans="1:29" s="1069" customFormat="1" ht="15">
      <c r="A31" s="1552"/>
      <c r="B31" s="1147" t="s">
        <v>2177</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841"/>
      <c r="Q31" s="1284" t="str">
        <f t="shared" si="11"/>
        <v>停车位面积</v>
      </c>
      <c r="R31" s="1280" t="s">
        <v>2064</v>
      </c>
      <c r="S31" s="1281" t="e">
        <f t="shared" si="12"/>
        <v>#N/A</v>
      </c>
      <c r="T31" s="1280" t="s">
        <v>2064</v>
      </c>
      <c r="U31" s="1281" t="e">
        <f t="shared" si="13"/>
        <v>#N/A</v>
      </c>
      <c r="V31" s="1280" t="s">
        <v>2064</v>
      </c>
      <c r="W31" s="1281" t="e">
        <f t="shared" si="14"/>
        <v>#N/A</v>
      </c>
      <c r="X31" s="1282"/>
      <c r="Y31" s="3841"/>
      <c r="Z31" s="1295" t="str">
        <f t="shared" si="15"/>
        <v>停车位面积</v>
      </c>
      <c r="AA31" s="1294" t="e">
        <f t="shared" si="3"/>
        <v>#N/A</v>
      </c>
      <c r="AB31" s="1294" t="e">
        <f t="shared" si="4"/>
        <v>#N/A</v>
      </c>
      <c r="AC31" s="1294" t="e">
        <f t="shared" si="5"/>
        <v>#N/A</v>
      </c>
    </row>
    <row r="32" spans="1:29" ht="15">
      <c r="A32" s="1551"/>
      <c r="B32" s="1147" t="s">
        <v>2178</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841" t="s">
        <v>2084</v>
      </c>
      <c r="Q32" s="664" t="str">
        <f t="shared" si="11"/>
        <v>车位类型</v>
      </c>
      <c r="R32" s="1285" t="s">
        <v>2064</v>
      </c>
      <c r="S32" s="1286">
        <f t="shared" si="12"/>
        <v>100</v>
      </c>
      <c r="T32" s="1285" t="s">
        <v>2064</v>
      </c>
      <c r="U32" s="1286">
        <f t="shared" si="13"/>
        <v>100</v>
      </c>
      <c r="V32" s="1285" t="s">
        <v>2064</v>
      </c>
      <c r="W32" s="1286">
        <f t="shared" si="14"/>
        <v>100</v>
      </c>
      <c r="X32" s="1279"/>
      <c r="Y32" s="3841" t="s">
        <v>2084</v>
      </c>
      <c r="Z32" s="1269" t="str">
        <f t="shared" si="15"/>
        <v>车位类型</v>
      </c>
      <c r="AA32" s="1296">
        <f t="shared" si="3"/>
        <v>1</v>
      </c>
      <c r="AB32" s="1296">
        <f t="shared" si="4"/>
        <v>1</v>
      </c>
      <c r="AC32" s="1296">
        <f t="shared" si="5"/>
        <v>1</v>
      </c>
    </row>
    <row r="33" spans="1:29" ht="15">
      <c r="A33" s="1551"/>
      <c r="B33" s="1147" t="s">
        <v>2179</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841"/>
      <c r="Q33" s="664" t="str">
        <f t="shared" si="11"/>
        <v>是否直接入户</v>
      </c>
      <c r="R33" s="1285" t="s">
        <v>2064</v>
      </c>
      <c r="S33" s="1286">
        <f t="shared" si="12"/>
        <v>100</v>
      </c>
      <c r="T33" s="1285" t="s">
        <v>2064</v>
      </c>
      <c r="U33" s="1286">
        <f t="shared" si="13"/>
        <v>100</v>
      </c>
      <c r="V33" s="1285" t="s">
        <v>2064</v>
      </c>
      <c r="W33" s="1286">
        <f t="shared" si="14"/>
        <v>100</v>
      </c>
      <c r="X33" s="1279"/>
      <c r="Y33" s="384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841"/>
      <c r="Q34" s="664">
        <f t="shared" si="11"/>
        <v>111</v>
      </c>
      <c r="R34" s="1285" t="s">
        <v>2064</v>
      </c>
      <c r="S34" s="1286">
        <f t="shared" si="12"/>
        <v>100</v>
      </c>
      <c r="T34" s="1285" t="s">
        <v>2064</v>
      </c>
      <c r="U34" s="1286">
        <f t="shared" si="13"/>
        <v>100</v>
      </c>
      <c r="V34" s="1285" t="s">
        <v>2064</v>
      </c>
      <c r="W34" s="1286">
        <f t="shared" si="14"/>
        <v>100</v>
      </c>
      <c r="X34" s="1279"/>
      <c r="Y34" s="384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841"/>
      <c r="Q35" s="1513">
        <f t="shared" si="11"/>
        <v>111</v>
      </c>
      <c r="R35" s="1287" t="s">
        <v>2064</v>
      </c>
      <c r="S35" s="1288">
        <f t="shared" si="12"/>
        <v>100</v>
      </c>
      <c r="T35" s="1287" t="s">
        <v>2064</v>
      </c>
      <c r="U35" s="1288">
        <f t="shared" si="13"/>
        <v>100</v>
      </c>
      <c r="V35" s="1287" t="s">
        <v>2064</v>
      </c>
      <c r="W35" s="1288">
        <f t="shared" si="14"/>
        <v>100</v>
      </c>
      <c r="X35" s="1289"/>
      <c r="Y35" s="384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841"/>
      <c r="Q36" s="664">
        <f t="shared" si="11"/>
        <v>111</v>
      </c>
      <c r="R36" s="1285" t="s">
        <v>2064</v>
      </c>
      <c r="S36" s="1286">
        <f t="shared" si="12"/>
        <v>100</v>
      </c>
      <c r="T36" s="1285" t="s">
        <v>2064</v>
      </c>
      <c r="U36" s="1286">
        <f t="shared" si="13"/>
        <v>100</v>
      </c>
      <c r="V36" s="1285" t="s">
        <v>2064</v>
      </c>
      <c r="W36" s="1286">
        <f t="shared" si="14"/>
        <v>100</v>
      </c>
      <c r="X36" s="1279"/>
      <c r="Y36" s="3841"/>
      <c r="Z36" s="1269">
        <f t="shared" si="15"/>
        <v>111</v>
      </c>
      <c r="AA36" s="1296">
        <f t="shared" si="3"/>
        <v>1</v>
      </c>
      <c r="AB36" s="1296">
        <f t="shared" si="4"/>
        <v>1</v>
      </c>
      <c r="AC36" s="1296">
        <f t="shared" si="5"/>
        <v>1</v>
      </c>
    </row>
    <row r="37" spans="1:29" ht="15">
      <c r="A37" s="1168" t="s">
        <v>2180</v>
      </c>
      <c r="B37" s="1554" t="s">
        <v>2181</v>
      </c>
      <c r="C37" s="1489" t="s">
        <v>124</v>
      </c>
      <c r="D37" s="1490"/>
      <c r="E37" s="1491"/>
      <c r="F37" s="1492"/>
      <c r="G37" s="1493"/>
      <c r="H37" s="1494"/>
      <c r="I37" s="1491"/>
      <c r="J37" s="1494"/>
      <c r="K37" s="1563"/>
      <c r="L37" s="1261"/>
      <c r="M37" s="1185"/>
      <c r="N37" s="1237"/>
      <c r="O37" s="1185"/>
      <c r="P37" s="3826" t="str">
        <f>A37</f>
        <v>成交单价</v>
      </c>
      <c r="Q37" s="3826"/>
      <c r="R37" s="3827">
        <f>E37</f>
        <v>0</v>
      </c>
      <c r="S37" s="3827"/>
      <c r="T37" s="3827">
        <f>G37</f>
        <v>0</v>
      </c>
      <c r="U37" s="3827"/>
      <c r="V37" s="3827">
        <f>I37</f>
        <v>0</v>
      </c>
      <c r="W37" s="3827"/>
      <c r="X37" s="1225"/>
      <c r="Y37" s="1298"/>
      <c r="Z37" s="1225"/>
      <c r="AA37" s="1225"/>
      <c r="AB37" s="1225"/>
      <c r="AC37" s="1225"/>
    </row>
    <row r="38" spans="1:29" ht="15">
      <c r="A38" s="1176" t="s">
        <v>2096</v>
      </c>
      <c r="B38" s="1495" t="str">
        <f>B37</f>
        <v>元/平方米</v>
      </c>
      <c r="C38" s="1496" t="e">
        <f>R39</f>
        <v>#DIV/0!</v>
      </c>
      <c r="D38" s="1179" t="s">
        <v>2097</v>
      </c>
      <c r="E38" s="1497" t="e">
        <f>R38</f>
        <v>#DIV/0!</v>
      </c>
      <c r="F38" s="1180"/>
      <c r="G38" s="1496" t="e">
        <f>T38</f>
        <v>#DIV/0!</v>
      </c>
      <c r="H38" s="1180"/>
      <c r="I38" s="1497" t="e">
        <f>V38</f>
        <v>#DIV/0!</v>
      </c>
      <c r="J38" s="1180"/>
      <c r="K38" s="1262">
        <f>F38+H38+J38</f>
        <v>0</v>
      </c>
      <c r="L38" s="1261"/>
      <c r="M38" s="1185"/>
      <c r="N38" s="1185"/>
      <c r="O38" s="1185"/>
      <c r="P38" s="3826" t="str">
        <f>A38</f>
        <v>比较价值（元/平方米）</v>
      </c>
      <c r="Q38" s="3826"/>
      <c r="R38" s="3827" t="e">
        <f>IF(F1="售价",ROUND(PRODUCT(R37,AA7:AA36),0),ROUND(PRODUCT(R37,AA7:AA36),1))</f>
        <v>#DIV/0!</v>
      </c>
      <c r="S38" s="3827"/>
      <c r="T38" s="3827" t="e">
        <f>IF(F1="售价",ROUND(PRODUCT(T37,AB7:AB36),0),ROUND(PRODUCT(T37,AB7:AB36),1))</f>
        <v>#DIV/0!</v>
      </c>
      <c r="U38" s="3827"/>
      <c r="V38" s="3827" t="e">
        <f>IF(F1="售价",ROUND(PRODUCT(V37,AC7:AC36),0),ROUND(PRODUCT(V37,AC7:AC36),1))</f>
        <v>#DIV/0!</v>
      </c>
      <c r="W38" s="3827"/>
      <c r="X38" s="1225"/>
      <c r="Y38" s="1225"/>
      <c r="Z38" s="1225"/>
      <c r="AA38" s="1225"/>
      <c r="AB38" s="1225"/>
      <c r="AC38" s="1225"/>
    </row>
    <row r="39" spans="1:29" ht="15">
      <c r="A39" s="1182" t="s">
        <v>2182</v>
      </c>
      <c r="B39" s="1183"/>
      <c r="C39" s="1498" t="e">
        <f>R39</f>
        <v>#DIV/0!</v>
      </c>
      <c r="D39" s="1498"/>
      <c r="E39" s="1498"/>
      <c r="F39" s="1498"/>
      <c r="G39" s="1498"/>
      <c r="H39" s="1498"/>
      <c r="I39" s="1498"/>
      <c r="J39" s="1498"/>
      <c r="K39" s="1564"/>
      <c r="L39" s="1261"/>
      <c r="M39" s="1185"/>
      <c r="N39" s="1185"/>
      <c r="O39" s="1185"/>
      <c r="P39" s="3828" t="str">
        <f>A39</f>
        <v>估价对象XX用房的比较价值（楼面单价，元/平方米）</v>
      </c>
      <c r="Q39" s="3829"/>
      <c r="R39" s="3896" t="e">
        <f>IF(F1="售价",ROUND(IF(D38="简单平均",AVERAGE(R38:W38),R38*F38+T38*H38+V38*J38),0),ROUND(IF(D38="简单平均",AVERAGE(R38:V38),R38*F38+T38*H38+V38*J38),1))</f>
        <v>#DIV/0!</v>
      </c>
      <c r="S39" s="3896"/>
      <c r="T39" s="3896"/>
      <c r="U39" s="3896"/>
      <c r="V39" s="3896"/>
      <c r="W39" s="3896"/>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2099</v>
      </c>
      <c r="D42" s="709"/>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2100</v>
      </c>
      <c r="D43" s="708"/>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2101</v>
      </c>
      <c r="D44" s="708"/>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2102</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2062</v>
      </c>
      <c r="B48" s="1501"/>
      <c r="C48" s="1502" t="str">
        <f>YEAR(C7)&amp;"-"&amp;MONTH(C7)</f>
        <v>2024-1</v>
      </c>
      <c r="D48" s="1503">
        <f>EDATE(C48,-1)</f>
        <v>45261</v>
      </c>
      <c r="E48" s="1503">
        <f t="shared" ref="E48:O48" si="16">EDATE(D48,-1)</f>
        <v>45231</v>
      </c>
      <c r="F48" s="1503">
        <f t="shared" si="16"/>
        <v>45200</v>
      </c>
      <c r="G48" s="1503">
        <f t="shared" si="16"/>
        <v>45170</v>
      </c>
      <c r="H48" s="1503">
        <f t="shared" si="16"/>
        <v>45139</v>
      </c>
      <c r="I48" s="1503">
        <f t="shared" si="16"/>
        <v>45108</v>
      </c>
      <c r="J48" s="1503">
        <f t="shared" si="16"/>
        <v>45078</v>
      </c>
      <c r="K48" s="1503">
        <f t="shared" si="16"/>
        <v>45047</v>
      </c>
      <c r="L48" s="1503">
        <f t="shared" si="16"/>
        <v>45017</v>
      </c>
      <c r="M48" s="1503">
        <f t="shared" si="16"/>
        <v>44986</v>
      </c>
      <c r="N48" s="1503">
        <f t="shared" si="16"/>
        <v>44958</v>
      </c>
      <c r="O48" s="1503">
        <f t="shared" si="16"/>
        <v>44927</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2103</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2065</v>
      </c>
      <c r="B51" s="1310"/>
      <c r="C51" s="1311" t="s">
        <v>2104</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2105</v>
      </c>
      <c r="B53" s="1316" t="s">
        <v>2068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2071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2073</v>
      </c>
      <c r="B63" s="1316" t="s">
        <v>2076</v>
      </c>
      <c r="C63" s="1337" t="s">
        <v>2106</v>
      </c>
      <c r="D63" s="1337" t="s">
        <v>2107</v>
      </c>
      <c r="E63" s="1337" t="s">
        <v>2108</v>
      </c>
      <c r="F63" s="1337" t="s">
        <v>2109</v>
      </c>
      <c r="G63" s="1337" t="s">
        <v>2110</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2077</v>
      </c>
      <c r="C65" s="1339" t="s">
        <v>2106</v>
      </c>
      <c r="D65" s="1339" t="s">
        <v>2107</v>
      </c>
      <c r="E65" s="1339" t="s">
        <v>2108</v>
      </c>
      <c r="F65" s="1339" t="s">
        <v>2109</v>
      </c>
      <c r="G65" s="1339" t="s">
        <v>2110</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2078</v>
      </c>
      <c r="C67" s="1344" t="s">
        <v>2111</v>
      </c>
      <c r="D67" s="1344" t="s">
        <v>2112</v>
      </c>
      <c r="E67" s="1344" t="s">
        <v>2113</v>
      </c>
      <c r="F67" s="1344" t="s">
        <v>2114</v>
      </c>
      <c r="G67" s="1344" t="s">
        <v>2115</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2079</v>
      </c>
      <c r="C69" s="1339" t="s">
        <v>2106</v>
      </c>
      <c r="D69" s="1339" t="s">
        <v>2107</v>
      </c>
      <c r="E69" s="1339" t="s">
        <v>2108</v>
      </c>
      <c r="F69" s="1339" t="s">
        <v>2109</v>
      </c>
      <c r="G69" s="1339" t="s">
        <v>2110</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2141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2082</v>
      </c>
      <c r="B79" s="1316" t="s">
        <v>2183</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2174</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2088</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2175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2">
        <v>0.5</v>
      </c>
      <c r="D86" s="842">
        <v>0.6</v>
      </c>
      <c r="E86" s="842">
        <v>0.7</v>
      </c>
      <c r="F86" s="842">
        <v>0.8</v>
      </c>
      <c r="G86" s="842">
        <v>0.9</v>
      </c>
      <c r="H86" s="842">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2176</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2177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2178</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2179</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2171</v>
      </c>
      <c r="B1" s="1449" t="s">
        <v>2184</v>
      </c>
      <c r="C1" s="1450" t="s">
        <v>2046</v>
      </c>
      <c r="D1" s="1451"/>
      <c r="E1" s="1452"/>
      <c r="F1" s="1453"/>
      <c r="G1" s="1454" t="s">
        <v>2047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1561</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1562</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1563</v>
      </c>
      <c r="B3" s="1086" t="e">
        <f>IF(C2="——",C37,ROUND(B2*10000/D3,0))</f>
        <v>#DIV/0!</v>
      </c>
      <c r="C3" s="1461" t="s">
        <v>2048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1" t="s">
        <v>2052</v>
      </c>
      <c r="AC4" s="3810" t="s">
        <v>2053</v>
      </c>
    </row>
    <row r="5" spans="1:29" ht="15">
      <c r="A5" s="1090"/>
      <c r="B5" s="1091"/>
      <c r="C5" s="3877" t="s">
        <v>2056</v>
      </c>
      <c r="D5" s="3853"/>
      <c r="E5" s="3878" t="s">
        <v>2057</v>
      </c>
      <c r="F5" s="3855"/>
      <c r="G5" s="3877" t="s">
        <v>2058</v>
      </c>
      <c r="H5" s="3853"/>
      <c r="I5" s="3877" t="s">
        <v>2059</v>
      </c>
      <c r="J5" s="3853"/>
      <c r="K5" s="1235"/>
      <c r="L5" s="1236"/>
      <c r="M5" s="1237"/>
      <c r="N5" s="1237"/>
      <c r="O5" s="1237"/>
      <c r="P5" s="3816"/>
      <c r="Q5" s="3817"/>
      <c r="R5" s="3822"/>
      <c r="S5" s="3823"/>
      <c r="T5" s="3822"/>
      <c r="U5" s="3823"/>
      <c r="V5" s="3813"/>
      <c r="W5" s="3813"/>
      <c r="X5" s="1279"/>
      <c r="Y5" s="3822"/>
      <c r="Z5" s="3823"/>
      <c r="AA5" s="3811"/>
      <c r="AB5" s="3811"/>
      <c r="AC5" s="3811"/>
    </row>
    <row r="6" spans="1:29" ht="15">
      <c r="A6" s="1092"/>
      <c r="B6" s="1093"/>
      <c r="C6" s="3843" t="s">
        <v>2060</v>
      </c>
      <c r="D6" s="3844"/>
      <c r="E6" s="3845" t="s">
        <v>2060</v>
      </c>
      <c r="F6" s="3846"/>
      <c r="G6" s="3843" t="s">
        <v>2060</v>
      </c>
      <c r="H6" s="3844"/>
      <c r="I6" s="3843" t="s">
        <v>2060</v>
      </c>
      <c r="J6" s="3844"/>
      <c r="K6" s="1235" t="s">
        <v>2061</v>
      </c>
      <c r="L6" s="1236"/>
      <c r="M6" s="1237"/>
      <c r="N6" s="1237"/>
      <c r="O6" s="1237"/>
      <c r="P6" s="3818"/>
      <c r="Q6" s="3819"/>
      <c r="R6" s="3822"/>
      <c r="S6" s="3823"/>
      <c r="T6" s="3824"/>
      <c r="U6" s="3825"/>
      <c r="V6" s="3813"/>
      <c r="W6" s="3813"/>
      <c r="X6" s="1279"/>
      <c r="Y6" s="3824"/>
      <c r="Z6" s="3825"/>
      <c r="AA6" s="3812"/>
      <c r="AB6" s="3812"/>
      <c r="AC6" s="3812"/>
    </row>
    <row r="7" spans="1:29" s="1069" customFormat="1" ht="15">
      <c r="A7" s="1094" t="s">
        <v>2062</v>
      </c>
      <c r="B7" s="1095"/>
      <c r="C7" s="1096">
        <f>'数据-取费表'!B2</f>
        <v>45300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831" t="s">
        <v>2063</v>
      </c>
      <c r="Q7" s="3847"/>
      <c r="R7" s="1280" t="s">
        <v>2064</v>
      </c>
      <c r="S7" s="1281">
        <f t="shared" ref="S7:S14" si="0">F7</f>
        <v>0</v>
      </c>
      <c r="T7" s="1280" t="s">
        <v>2064</v>
      </c>
      <c r="U7" s="1281">
        <f t="shared" ref="U7:U14" si="1">H7</f>
        <v>0</v>
      </c>
      <c r="V7" s="1280" t="s">
        <v>2064</v>
      </c>
      <c r="W7" s="1281">
        <f t="shared" ref="W7:W14" si="2">J7</f>
        <v>0</v>
      </c>
      <c r="X7" s="1282"/>
      <c r="Y7" s="3831" t="s">
        <v>2063</v>
      </c>
      <c r="Z7" s="3832"/>
      <c r="AA7" s="1294" t="e">
        <f>D7/F7</f>
        <v>#DIV/0!</v>
      </c>
      <c r="AB7" s="1294" t="e">
        <f>D7/H7</f>
        <v>#DIV/0!</v>
      </c>
      <c r="AC7" s="1294" t="e">
        <f>D7/J7</f>
        <v>#DIV/0!</v>
      </c>
    </row>
    <row r="8" spans="1:29" s="1069" customFormat="1" ht="15">
      <c r="A8" s="1094" t="s">
        <v>2065</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831" t="s">
        <v>2066</v>
      </c>
      <c r="Q8" s="3832"/>
      <c r="R8" s="1280" t="s">
        <v>2064</v>
      </c>
      <c r="S8" s="1281">
        <f t="shared" si="0"/>
        <v>100</v>
      </c>
      <c r="T8" s="1280" t="s">
        <v>2064</v>
      </c>
      <c r="U8" s="1281">
        <f t="shared" si="1"/>
        <v>100</v>
      </c>
      <c r="V8" s="1280" t="s">
        <v>2064</v>
      </c>
      <c r="W8" s="1281">
        <f t="shared" si="2"/>
        <v>100</v>
      </c>
      <c r="X8" s="1282"/>
      <c r="Y8" s="3831" t="s">
        <v>2066</v>
      </c>
      <c r="Z8" s="3832"/>
      <c r="AA8" s="1294">
        <f t="shared" ref="AA8:AA34" si="3">D8/F8</f>
        <v>1</v>
      </c>
      <c r="AB8" s="1294">
        <f t="shared" ref="AB8:AB34" si="4">D8/H8</f>
        <v>1</v>
      </c>
      <c r="AC8" s="1294">
        <f t="shared" ref="AC8:AC34" si="5">D8/J8</f>
        <v>1</v>
      </c>
    </row>
    <row r="9" spans="1:29" s="1069" customFormat="1">
      <c r="A9" s="1102" t="s">
        <v>2067</v>
      </c>
      <c r="B9" s="1103" t="s">
        <v>2068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826" t="s">
        <v>2069</v>
      </c>
      <c r="Q9" s="1284" t="str">
        <f t="shared" ref="Q9:Q14" si="6">B9</f>
        <v>用途</v>
      </c>
      <c r="R9" s="1280" t="s">
        <v>2064</v>
      </c>
      <c r="S9" s="1281">
        <f t="shared" si="0"/>
        <v>100</v>
      </c>
      <c r="T9" s="1280" t="s">
        <v>2064</v>
      </c>
      <c r="U9" s="1281">
        <f t="shared" si="1"/>
        <v>100</v>
      </c>
      <c r="V9" s="1280" t="s">
        <v>2064</v>
      </c>
      <c r="W9" s="1281">
        <f t="shared" si="2"/>
        <v>100</v>
      </c>
      <c r="X9" s="1282"/>
      <c r="Y9" s="3690" t="s">
        <v>2070</v>
      </c>
      <c r="Z9" s="1295" t="str">
        <f t="shared" ref="Z9:Z14" si="7">Q9</f>
        <v>用途</v>
      </c>
      <c r="AA9" s="1294">
        <f t="shared" si="3"/>
        <v>1</v>
      </c>
      <c r="AB9" s="1294">
        <f t="shared" si="4"/>
        <v>1</v>
      </c>
      <c r="AC9" s="1294">
        <f t="shared" si="5"/>
        <v>1</v>
      </c>
    </row>
    <row r="10" spans="1:29" s="1070" customFormat="1" ht="27">
      <c r="A10" s="1106"/>
      <c r="B10" s="1107" t="s">
        <v>2071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826"/>
      <c r="Q10" s="1284" t="str">
        <f t="shared" si="6"/>
        <v>土地使用年限（年）</v>
      </c>
      <c r="R10" s="1280" t="s">
        <v>2064</v>
      </c>
      <c r="S10" s="1281">
        <f t="shared" si="0"/>
        <v>100</v>
      </c>
      <c r="T10" s="1280" t="s">
        <v>2064</v>
      </c>
      <c r="U10" s="1281">
        <f t="shared" si="1"/>
        <v>100</v>
      </c>
      <c r="V10" s="1280" t="s">
        <v>2064</v>
      </c>
      <c r="W10" s="1281">
        <f t="shared" si="2"/>
        <v>100</v>
      </c>
      <c r="X10" s="1282"/>
      <c r="Y10" s="369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826"/>
      <c r="Q11" s="1284">
        <f t="shared" si="6"/>
        <v>111</v>
      </c>
      <c r="R11" s="1280" t="s">
        <v>2064</v>
      </c>
      <c r="S11" s="1281">
        <f t="shared" si="0"/>
        <v>100</v>
      </c>
      <c r="T11" s="1280" t="s">
        <v>2064</v>
      </c>
      <c r="U11" s="1281">
        <f t="shared" si="1"/>
        <v>100</v>
      </c>
      <c r="V11" s="1280" t="s">
        <v>2064</v>
      </c>
      <c r="W11" s="1281">
        <f t="shared" si="2"/>
        <v>100</v>
      </c>
      <c r="X11" s="1282"/>
      <c r="Y11" s="369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826"/>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826"/>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85.5">
      <c r="A14" s="1124" t="s">
        <v>2073</v>
      </c>
      <c r="B14" s="1417" t="s">
        <v>2076</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839" t="s">
        <v>2075</v>
      </c>
      <c r="Q14" s="664" t="str">
        <f t="shared" si="6"/>
        <v>交通便捷度</v>
      </c>
      <c r="R14" s="1285" t="s">
        <v>2064</v>
      </c>
      <c r="S14" s="1286">
        <f t="shared" si="0"/>
        <v>100</v>
      </c>
      <c r="T14" s="1285" t="s">
        <v>2064</v>
      </c>
      <c r="U14" s="1286">
        <f t="shared" si="1"/>
        <v>100</v>
      </c>
      <c r="V14" s="1285" t="s">
        <v>2064</v>
      </c>
      <c r="W14" s="1286">
        <f t="shared" si="2"/>
        <v>100</v>
      </c>
      <c r="X14" s="1279"/>
      <c r="Y14" s="3839" t="s">
        <v>2075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840"/>
      <c r="Q15" s="664"/>
      <c r="R15" s="1285"/>
      <c r="S15" s="1286"/>
      <c r="T15" s="1285"/>
      <c r="U15" s="1286"/>
      <c r="V15" s="1285"/>
      <c r="W15" s="1286"/>
      <c r="X15" s="1279"/>
      <c r="Y15" s="3840"/>
      <c r="Z15" s="1269"/>
      <c r="AA15" s="1296">
        <v>1</v>
      </c>
      <c r="AB15" s="1296">
        <v>1</v>
      </c>
      <c r="AC15" s="1296">
        <v>1</v>
      </c>
    </row>
    <row r="16" spans="1:29" ht="42.75">
      <c r="A16" s="1110"/>
      <c r="B16" s="1420" t="s">
        <v>2077</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840"/>
      <c r="Q16" s="664" t="str">
        <f>B16</f>
        <v>公共配套设施</v>
      </c>
      <c r="R16" s="1285" t="s">
        <v>2064</v>
      </c>
      <c r="S16" s="1286">
        <f>F16</f>
        <v>100</v>
      </c>
      <c r="T16" s="1285" t="s">
        <v>2064</v>
      </c>
      <c r="U16" s="1286">
        <f>H16</f>
        <v>100</v>
      </c>
      <c r="V16" s="1285" t="s">
        <v>2064</v>
      </c>
      <c r="W16" s="1286">
        <f>J16</f>
        <v>100</v>
      </c>
      <c r="X16" s="1279"/>
      <c r="Y16" s="384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840"/>
      <c r="Q17" s="664"/>
      <c r="R17" s="1285"/>
      <c r="S17" s="1286"/>
      <c r="T17" s="1285"/>
      <c r="U17" s="1286"/>
      <c r="V17" s="1285"/>
      <c r="W17" s="1286"/>
      <c r="X17" s="1279"/>
      <c r="Y17" s="3840"/>
      <c r="Z17" s="1269"/>
      <c r="AA17" s="1296">
        <v>1</v>
      </c>
      <c r="AB17" s="1296">
        <v>1</v>
      </c>
      <c r="AC17" s="1296">
        <v>1</v>
      </c>
    </row>
    <row r="18" spans="1:29" ht="28.5">
      <c r="A18" s="1110"/>
      <c r="B18" s="1424" t="s">
        <v>2078</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840"/>
      <c r="Q18" s="664" t="str">
        <f>B18</f>
        <v>基础设施水平</v>
      </c>
      <c r="R18" s="1285" t="s">
        <v>2064</v>
      </c>
      <c r="S18" s="1286">
        <f>F18</f>
        <v>100</v>
      </c>
      <c r="T18" s="1285" t="s">
        <v>2064</v>
      </c>
      <c r="U18" s="1286">
        <f>H18</f>
        <v>100</v>
      </c>
      <c r="V18" s="1285" t="s">
        <v>2064</v>
      </c>
      <c r="W18" s="1286">
        <f>J18</f>
        <v>100</v>
      </c>
      <c r="X18" s="1279"/>
      <c r="Y18" s="384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840"/>
      <c r="Q19" s="664"/>
      <c r="R19" s="1285"/>
      <c r="S19" s="1286"/>
      <c r="T19" s="1285"/>
      <c r="U19" s="1286"/>
      <c r="V19" s="1285"/>
      <c r="W19" s="1286"/>
      <c r="X19" s="1279"/>
      <c r="Y19" s="3840"/>
      <c r="Z19" s="1269"/>
      <c r="AA19" s="1296">
        <v>1</v>
      </c>
      <c r="AB19" s="1296">
        <v>1</v>
      </c>
      <c r="AC19" s="1296">
        <v>1</v>
      </c>
    </row>
    <row r="20" spans="1:29" ht="57">
      <c r="A20" s="1110"/>
      <c r="B20" s="1420" t="s">
        <v>2079</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840"/>
      <c r="Q20" s="664" t="str">
        <f>B20</f>
        <v>自然及人文环境</v>
      </c>
      <c r="R20" s="1285" t="s">
        <v>2064</v>
      </c>
      <c r="S20" s="1286">
        <f>F20</f>
        <v>100</v>
      </c>
      <c r="T20" s="1285" t="s">
        <v>2064</v>
      </c>
      <c r="U20" s="1286">
        <f>H20</f>
        <v>100</v>
      </c>
      <c r="V20" s="1285" t="s">
        <v>2064</v>
      </c>
      <c r="W20" s="1286">
        <f>J20</f>
        <v>100</v>
      </c>
      <c r="X20" s="1279"/>
      <c r="Y20" s="384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840"/>
      <c r="Q21" s="664"/>
      <c r="R21" s="1285"/>
      <c r="S21" s="1286"/>
      <c r="T21" s="1285"/>
      <c r="U21" s="1286"/>
      <c r="V21" s="1285"/>
      <c r="W21" s="1286"/>
      <c r="X21" s="1279"/>
      <c r="Y21" s="3840"/>
      <c r="Z21" s="1269"/>
      <c r="AA21" s="1296">
        <v>1</v>
      </c>
      <c r="AB21" s="1296">
        <v>1</v>
      </c>
      <c r="AC21" s="1296">
        <v>1</v>
      </c>
    </row>
    <row r="22" spans="1:29" ht="15">
      <c r="A22" s="1110"/>
      <c r="B22" s="1420" t="s">
        <v>2141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840"/>
      <c r="Q22" s="664" t="str">
        <f>B22</f>
        <v>楼层</v>
      </c>
      <c r="R22" s="1285" t="s">
        <v>2064</v>
      </c>
      <c r="S22" s="1286">
        <f>F22</f>
        <v>100</v>
      </c>
      <c r="T22" s="1285" t="s">
        <v>2064</v>
      </c>
      <c r="U22" s="1286">
        <f>H22</f>
        <v>100</v>
      </c>
      <c r="V22" s="1285" t="s">
        <v>2064</v>
      </c>
      <c r="W22" s="1286">
        <f>J22</f>
        <v>100</v>
      </c>
      <c r="X22" s="1279"/>
      <c r="Y22" s="384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840"/>
      <c r="Q23" s="664">
        <f>B23</f>
        <v>111</v>
      </c>
      <c r="R23" s="1285" t="s">
        <v>2064</v>
      </c>
      <c r="S23" s="1286">
        <f>F23</f>
        <v>100</v>
      </c>
      <c r="T23" s="1285" t="s">
        <v>2064</v>
      </c>
      <c r="U23" s="1286">
        <f>H23</f>
        <v>100</v>
      </c>
      <c r="V23" s="1285" t="s">
        <v>2064</v>
      </c>
      <c r="W23" s="1286">
        <f>J23</f>
        <v>100</v>
      </c>
      <c r="X23" s="1279"/>
      <c r="Y23" s="384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840"/>
      <c r="Q24" s="664">
        <f t="shared" ref="Q24:Q34" si="11">B24</f>
        <v>111</v>
      </c>
      <c r="R24" s="1285" t="s">
        <v>2064</v>
      </c>
      <c r="S24" s="1286">
        <f>F24</f>
        <v>100</v>
      </c>
      <c r="T24" s="1285" t="s">
        <v>2064</v>
      </c>
      <c r="U24" s="1286">
        <f>H24</f>
        <v>100</v>
      </c>
      <c r="V24" s="1285" t="s">
        <v>2064</v>
      </c>
      <c r="W24" s="1286">
        <f>J24</f>
        <v>100</v>
      </c>
      <c r="X24" s="1279"/>
      <c r="Y24" s="384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840"/>
      <c r="Q25" s="1284">
        <f t="shared" si="11"/>
        <v>111</v>
      </c>
      <c r="R25" s="1280" t="s">
        <v>2064</v>
      </c>
      <c r="S25" s="1281">
        <f>F25</f>
        <v>100</v>
      </c>
      <c r="T25" s="1280" t="s">
        <v>2064</v>
      </c>
      <c r="U25" s="1281">
        <f>H25</f>
        <v>100</v>
      </c>
      <c r="V25" s="1280" t="s">
        <v>2064</v>
      </c>
      <c r="W25" s="1281">
        <f>J25</f>
        <v>100</v>
      </c>
      <c r="X25" s="1282"/>
      <c r="Y25" s="3840"/>
      <c r="Z25" s="1295">
        <f>Q25</f>
        <v>111</v>
      </c>
      <c r="AA25" s="1296">
        <f t="shared" si="3"/>
        <v>1</v>
      </c>
      <c r="AB25" s="1296">
        <f t="shared" si="4"/>
        <v>1</v>
      </c>
      <c r="AC25" s="1296">
        <f t="shared" si="5"/>
        <v>1</v>
      </c>
    </row>
    <row r="26" spans="1:29" ht="15">
      <c r="A26" s="1478" t="s">
        <v>2082</v>
      </c>
      <c r="B26" s="1103" t="s">
        <v>2088</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94" t="s">
        <v>2084</v>
      </c>
      <c r="Q26" s="664" t="str">
        <f t="shared" si="11"/>
        <v>公共部分装修</v>
      </c>
      <c r="R26" s="1285" t="s">
        <v>2064</v>
      </c>
      <c r="S26" s="1286">
        <f t="shared" ref="S26:S34" si="12">F26</f>
        <v>100</v>
      </c>
      <c r="T26" s="1285" t="s">
        <v>2064</v>
      </c>
      <c r="U26" s="1286">
        <f t="shared" ref="U26:U34" si="13">H26</f>
        <v>100</v>
      </c>
      <c r="V26" s="1285" t="s">
        <v>2064</v>
      </c>
      <c r="W26" s="1286">
        <f t="shared" ref="W26:W34" si="14">J26</f>
        <v>100</v>
      </c>
      <c r="X26" s="1279"/>
      <c r="Y26" s="3841" t="s">
        <v>2084</v>
      </c>
      <c r="Z26" s="1269" t="str">
        <f t="shared" ref="Z26:Z34" si="15">Q26</f>
        <v>公共部分装修</v>
      </c>
      <c r="AA26" s="1296">
        <f t="shared" si="3"/>
        <v>1</v>
      </c>
      <c r="AB26" s="1296">
        <f t="shared" si="4"/>
        <v>1</v>
      </c>
      <c r="AC26" s="1296">
        <f t="shared" si="5"/>
        <v>1</v>
      </c>
    </row>
    <row r="27" spans="1:29" s="1071" customFormat="1" ht="15">
      <c r="A27" s="1166"/>
      <c r="B27" s="1107" t="s">
        <v>2175</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841"/>
      <c r="Q27" s="1513" t="str">
        <f t="shared" si="11"/>
        <v>成新率</v>
      </c>
      <c r="R27" s="1287" t="s">
        <v>2064</v>
      </c>
      <c r="S27" s="1288" t="e">
        <f t="shared" si="12"/>
        <v>#N/A</v>
      </c>
      <c r="T27" s="1287" t="s">
        <v>2064</v>
      </c>
      <c r="U27" s="1288" t="e">
        <f t="shared" si="13"/>
        <v>#N/A</v>
      </c>
      <c r="V27" s="1287" t="s">
        <v>2064</v>
      </c>
      <c r="W27" s="1288" t="e">
        <f t="shared" si="14"/>
        <v>#N/A</v>
      </c>
      <c r="X27" s="1289"/>
      <c r="Y27" s="3841"/>
      <c r="Z27" s="1297" t="str">
        <f t="shared" si="15"/>
        <v>成新率</v>
      </c>
      <c r="AA27" s="1296" t="e">
        <f t="shared" si="3"/>
        <v>#N/A</v>
      </c>
      <c r="AB27" s="1296" t="e">
        <f t="shared" si="4"/>
        <v>#N/A</v>
      </c>
      <c r="AC27" s="1296" t="e">
        <f t="shared" si="5"/>
        <v>#N/A</v>
      </c>
    </row>
    <row r="28" spans="1:29" ht="15">
      <c r="A28" s="1161"/>
      <c r="B28" s="1107" t="s">
        <v>2176</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841"/>
      <c r="Q28" s="664" t="str">
        <f t="shared" si="11"/>
        <v>物业等级</v>
      </c>
      <c r="R28" s="1285" t="s">
        <v>2064</v>
      </c>
      <c r="S28" s="1286">
        <f t="shared" si="12"/>
        <v>100</v>
      </c>
      <c r="T28" s="1285" t="s">
        <v>2064</v>
      </c>
      <c r="U28" s="1286">
        <f t="shared" si="13"/>
        <v>100</v>
      </c>
      <c r="V28" s="1285" t="s">
        <v>2064</v>
      </c>
      <c r="W28" s="1286">
        <f t="shared" si="14"/>
        <v>100</v>
      </c>
      <c r="X28" s="1279"/>
      <c r="Y28" s="3841"/>
      <c r="Z28" s="1269" t="str">
        <f t="shared" si="15"/>
        <v>物业等级</v>
      </c>
      <c r="AA28" s="1296">
        <f t="shared" si="3"/>
        <v>1</v>
      </c>
      <c r="AB28" s="1296">
        <f t="shared" si="4"/>
        <v>1</v>
      </c>
      <c r="AC28" s="1296">
        <f t="shared" si="5"/>
        <v>1</v>
      </c>
    </row>
    <row r="29" spans="1:29" ht="15">
      <c r="A29" s="1161"/>
      <c r="B29" s="1107" t="s">
        <v>2185</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841"/>
      <c r="Q29" s="664" t="str">
        <f t="shared" si="11"/>
        <v>有无电梯</v>
      </c>
      <c r="R29" s="1285" t="s">
        <v>2064</v>
      </c>
      <c r="S29" s="1286">
        <f t="shared" si="12"/>
        <v>100</v>
      </c>
      <c r="T29" s="1285" t="s">
        <v>2064</v>
      </c>
      <c r="U29" s="1286">
        <f t="shared" si="13"/>
        <v>100</v>
      </c>
      <c r="V29" s="1285" t="s">
        <v>2064</v>
      </c>
      <c r="W29" s="1286">
        <f t="shared" si="14"/>
        <v>100</v>
      </c>
      <c r="X29" s="1279"/>
      <c r="Y29" s="3841"/>
      <c r="Z29" s="1269" t="str">
        <f t="shared" si="15"/>
        <v>有无电梯</v>
      </c>
      <c r="AA29" s="1296">
        <f t="shared" si="3"/>
        <v>1</v>
      </c>
      <c r="AB29" s="1296">
        <f t="shared" si="4"/>
        <v>1</v>
      </c>
      <c r="AC29" s="1296">
        <f t="shared" si="5"/>
        <v>1</v>
      </c>
    </row>
    <row r="30" spans="1:29" ht="15">
      <c r="A30" s="1161"/>
      <c r="B30" s="1107" t="s">
        <v>1163</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841"/>
      <c r="Q30" s="664" t="str">
        <f t="shared" si="11"/>
        <v>建筑面积</v>
      </c>
      <c r="R30" s="1285" t="s">
        <v>2064</v>
      </c>
      <c r="S30" s="1286" t="e">
        <f t="shared" si="12"/>
        <v>#N/A</v>
      </c>
      <c r="T30" s="1285" t="s">
        <v>2064</v>
      </c>
      <c r="U30" s="1286" t="e">
        <f t="shared" si="13"/>
        <v>#N/A</v>
      </c>
      <c r="V30" s="1285" t="s">
        <v>2064</v>
      </c>
      <c r="W30" s="1286" t="e">
        <f t="shared" si="14"/>
        <v>#N/A</v>
      </c>
      <c r="X30" s="1279"/>
      <c r="Y30" s="3841"/>
      <c r="Z30" s="1269" t="str">
        <f t="shared" si="15"/>
        <v>建筑面积</v>
      </c>
      <c r="AA30" s="1296" t="e">
        <f t="shared" si="3"/>
        <v>#N/A</v>
      </c>
      <c r="AB30" s="1296" t="e">
        <f t="shared" si="4"/>
        <v>#N/A</v>
      </c>
      <c r="AC30" s="1296" t="e">
        <f t="shared" si="5"/>
        <v>#N/A</v>
      </c>
    </row>
    <row r="31" spans="1:29" s="1069" customFormat="1" ht="15">
      <c r="A31" s="1163"/>
      <c r="B31" s="1107" t="s">
        <v>2186</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841"/>
      <c r="Q31" s="1284" t="str">
        <f t="shared" si="11"/>
        <v>是否封闭</v>
      </c>
      <c r="R31" s="1280" t="s">
        <v>2064</v>
      </c>
      <c r="S31" s="1281">
        <f t="shared" si="12"/>
        <v>100</v>
      </c>
      <c r="T31" s="1280" t="s">
        <v>2064</v>
      </c>
      <c r="U31" s="1281">
        <f t="shared" si="13"/>
        <v>100</v>
      </c>
      <c r="V31" s="1280" t="s">
        <v>2064</v>
      </c>
      <c r="W31" s="1281">
        <f t="shared" si="14"/>
        <v>100</v>
      </c>
      <c r="X31" s="1282"/>
      <c r="Y31" s="384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841" t="s">
        <v>2084</v>
      </c>
      <c r="Q32" s="664">
        <f t="shared" si="11"/>
        <v>111</v>
      </c>
      <c r="R32" s="1285" t="s">
        <v>2064</v>
      </c>
      <c r="S32" s="1286">
        <f t="shared" si="12"/>
        <v>100</v>
      </c>
      <c r="T32" s="1285" t="s">
        <v>2064</v>
      </c>
      <c r="U32" s="1286">
        <f t="shared" si="13"/>
        <v>100</v>
      </c>
      <c r="V32" s="1285" t="s">
        <v>2064</v>
      </c>
      <c r="W32" s="1286">
        <f t="shared" si="14"/>
        <v>100</v>
      </c>
      <c r="X32" s="1279"/>
      <c r="Y32" s="3841" t="s">
        <v>2084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841"/>
      <c r="Q33" s="664">
        <f t="shared" si="11"/>
        <v>111</v>
      </c>
      <c r="R33" s="1285" t="s">
        <v>2064</v>
      </c>
      <c r="S33" s="1286">
        <f t="shared" si="12"/>
        <v>100</v>
      </c>
      <c r="T33" s="1285" t="s">
        <v>2064</v>
      </c>
      <c r="U33" s="1286">
        <f t="shared" si="13"/>
        <v>100</v>
      </c>
      <c r="V33" s="1285" t="s">
        <v>2064</v>
      </c>
      <c r="W33" s="1286">
        <f t="shared" si="14"/>
        <v>100</v>
      </c>
      <c r="X33" s="1279"/>
      <c r="Y33" s="384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841"/>
      <c r="Q34" s="664">
        <f t="shared" si="11"/>
        <v>111</v>
      </c>
      <c r="R34" s="1285" t="s">
        <v>2064</v>
      </c>
      <c r="S34" s="1286">
        <f t="shared" si="12"/>
        <v>100</v>
      </c>
      <c r="T34" s="1285" t="s">
        <v>2064</v>
      </c>
      <c r="U34" s="1286">
        <f t="shared" si="13"/>
        <v>100</v>
      </c>
      <c r="V34" s="1285" t="s">
        <v>2064</v>
      </c>
      <c r="W34" s="1286">
        <f t="shared" si="14"/>
        <v>100</v>
      </c>
      <c r="X34" s="1279"/>
      <c r="Y34" s="3841"/>
      <c r="Z34" s="1269">
        <f t="shared" si="15"/>
        <v>111</v>
      </c>
      <c r="AA34" s="1296">
        <f t="shared" si="3"/>
        <v>1</v>
      </c>
      <c r="AB34" s="1296">
        <f t="shared" si="4"/>
        <v>1</v>
      </c>
      <c r="AC34" s="1296">
        <f t="shared" si="5"/>
        <v>1</v>
      </c>
    </row>
    <row r="35" spans="1:30" ht="15">
      <c r="A35" s="1168" t="s">
        <v>2095</v>
      </c>
      <c r="B35" s="1488"/>
      <c r="C35" s="1489" t="s">
        <v>124</v>
      </c>
      <c r="D35" s="1490"/>
      <c r="E35" s="1491"/>
      <c r="F35" s="1492"/>
      <c r="G35" s="1493"/>
      <c r="H35" s="1494"/>
      <c r="I35" s="1491"/>
      <c r="J35" s="1494"/>
      <c r="K35" s="1260"/>
      <c r="L35" s="1261"/>
      <c r="M35" s="1185"/>
      <c r="N35" s="1237"/>
      <c r="O35" s="1185"/>
      <c r="P35" s="3826" t="str">
        <f>A35</f>
        <v>成交单价（元/平方米）</v>
      </c>
      <c r="Q35" s="3826"/>
      <c r="R35" s="3827">
        <f>E35</f>
        <v>0</v>
      </c>
      <c r="S35" s="3827"/>
      <c r="T35" s="3827">
        <f>G35</f>
        <v>0</v>
      </c>
      <c r="U35" s="3827"/>
      <c r="V35" s="3827">
        <f>I35</f>
        <v>0</v>
      </c>
      <c r="W35" s="3827"/>
      <c r="X35" s="1225"/>
      <c r="Y35" s="1298"/>
      <c r="Z35" s="1225"/>
      <c r="AA35" s="1225"/>
      <c r="AB35" s="1225"/>
      <c r="AC35" s="1225"/>
    </row>
    <row r="36" spans="1:30" ht="15">
      <c r="A36" s="1176" t="s">
        <v>2096</v>
      </c>
      <c r="B36" s="1495"/>
      <c r="C36" s="1496" t="e">
        <f>R37</f>
        <v>#DIV/0!</v>
      </c>
      <c r="D36" s="1179" t="s">
        <v>2097</v>
      </c>
      <c r="E36" s="1497" t="e">
        <f>R36</f>
        <v>#DIV/0!</v>
      </c>
      <c r="F36" s="1180"/>
      <c r="G36" s="1496" t="e">
        <f>T36</f>
        <v>#DIV/0!</v>
      </c>
      <c r="H36" s="1180"/>
      <c r="I36" s="1497" t="e">
        <f>V36</f>
        <v>#DIV/0!</v>
      </c>
      <c r="J36" s="1180"/>
      <c r="K36" s="1262">
        <f>F36+H36+J36</f>
        <v>0</v>
      </c>
      <c r="L36" s="1261"/>
      <c r="M36" s="1185"/>
      <c r="N36" s="1237"/>
      <c r="O36" s="1185"/>
      <c r="P36" s="3826" t="str">
        <f>A36</f>
        <v>比较价值（元/平方米）</v>
      </c>
      <c r="Q36" s="3826"/>
      <c r="R36" s="3827" t="e">
        <f>IF(F1="售价",ROUND(PRODUCT(R35,AA7:AA34),0),ROUND(PRODUCT(R35,AA7:AA34),1))</f>
        <v>#DIV/0!</v>
      </c>
      <c r="S36" s="3827"/>
      <c r="T36" s="3827" t="e">
        <f>IF(F1="售价",ROUND(PRODUCT(T35,AB7:AB34),0),ROUND(PRODUCT(T35,AB7:AB34),1))</f>
        <v>#DIV/0!</v>
      </c>
      <c r="U36" s="3827"/>
      <c r="V36" s="3827" t="e">
        <f>IF(F1="售价",ROUND(PRODUCT(V35,AC7:AC34),0),ROUND(PRODUCT(V35,AC7:AC34),1))</f>
        <v>#DIV/0!</v>
      </c>
      <c r="W36" s="3827"/>
      <c r="X36" s="1225"/>
      <c r="Y36" s="1225"/>
      <c r="Z36" s="1225"/>
      <c r="AA36" s="1225"/>
      <c r="AB36" s="1225"/>
      <c r="AC36" s="1225"/>
    </row>
    <row r="37" spans="1:30" ht="15">
      <c r="A37" s="1182" t="s">
        <v>2098</v>
      </c>
      <c r="B37" s="1183"/>
      <c r="C37" s="1498" t="e">
        <f>R37</f>
        <v>#DIV/0!</v>
      </c>
      <c r="D37" s="1498"/>
      <c r="E37" s="1498"/>
      <c r="F37" s="1498"/>
      <c r="G37" s="1498"/>
      <c r="H37" s="1498"/>
      <c r="I37" s="1498"/>
      <c r="J37" s="1498"/>
      <c r="K37" s="1263"/>
      <c r="L37" s="1261"/>
      <c r="M37" s="1185"/>
      <c r="N37" s="1185"/>
      <c r="O37" s="1185"/>
      <c r="P37" s="3828" t="str">
        <f>A37</f>
        <v>估价对象XX用房的比较价值（楼面单价，元/平方米）</v>
      </c>
      <c r="Q37" s="3829"/>
      <c r="R37" s="3896" t="e">
        <f>IF(F1="售价",ROUND(IF(D36="简单平均",AVERAGE(R36:W36),R36*F36+T36*H36+V36*J36),0),ROUND(IF(D36="简单平均",AVERAGE(R36:V36),R36*F36+T36*H36+V36*J36),1))</f>
        <v>#DIV/0!</v>
      </c>
      <c r="S37" s="3896"/>
      <c r="T37" s="3896"/>
      <c r="U37" s="3896"/>
      <c r="V37" s="3896"/>
      <c r="W37" s="3896"/>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2099</v>
      </c>
      <c r="D40" s="709"/>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2100</v>
      </c>
      <c r="D41" s="708"/>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2101</v>
      </c>
      <c r="D42" s="708"/>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2102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2062</v>
      </c>
      <c r="B46" s="1501"/>
      <c r="C46" s="1502" t="str">
        <f>YEAR(C7)&amp;"-"&amp;MONTH(C7)</f>
        <v>2024-1</v>
      </c>
      <c r="D46" s="1503">
        <f>EDATE(C46,-1)</f>
        <v>45261</v>
      </c>
      <c r="E46" s="1503">
        <f t="shared" ref="E46:O46" si="16">EDATE(D46,-1)</f>
        <v>45231</v>
      </c>
      <c r="F46" s="1503">
        <f t="shared" si="16"/>
        <v>45200</v>
      </c>
      <c r="G46" s="1503">
        <f t="shared" si="16"/>
        <v>45170</v>
      </c>
      <c r="H46" s="1503">
        <f t="shared" si="16"/>
        <v>45139</v>
      </c>
      <c r="I46" s="1503">
        <f t="shared" si="16"/>
        <v>45108</v>
      </c>
      <c r="J46" s="1503">
        <f t="shared" si="16"/>
        <v>45078</v>
      </c>
      <c r="K46" s="1503">
        <f t="shared" si="16"/>
        <v>45047</v>
      </c>
      <c r="L46" s="1503">
        <f t="shared" si="16"/>
        <v>45017</v>
      </c>
      <c r="M46" s="1503">
        <f t="shared" si="16"/>
        <v>44986</v>
      </c>
      <c r="N46" s="1503">
        <f t="shared" si="16"/>
        <v>44958</v>
      </c>
      <c r="O46" s="1503">
        <f t="shared" si="16"/>
        <v>44927</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2103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2065</v>
      </c>
      <c r="B49" s="1310"/>
      <c r="C49" s="1311" t="s">
        <v>2104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2105</v>
      </c>
      <c r="B51" s="1316" t="s">
        <v>2068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2071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2073</v>
      </c>
      <c r="B61" s="1316" t="s">
        <v>2076</v>
      </c>
      <c r="C61" s="1337" t="s">
        <v>2106</v>
      </c>
      <c r="D61" s="1337" t="s">
        <v>2107</v>
      </c>
      <c r="E61" s="1337" t="s">
        <v>2108</v>
      </c>
      <c r="F61" s="1337" t="s">
        <v>2109</v>
      </c>
      <c r="G61" s="1337" t="s">
        <v>2110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2187</v>
      </c>
      <c r="C63" s="1339" t="s">
        <v>2106</v>
      </c>
      <c r="D63" s="1339" t="s">
        <v>2107</v>
      </c>
      <c r="E63" s="1339" t="s">
        <v>2108</v>
      </c>
      <c r="F63" s="1339" t="s">
        <v>2109</v>
      </c>
      <c r="G63" s="1339" t="s">
        <v>2110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2078</v>
      </c>
      <c r="C65" s="1344" t="s">
        <v>2111</v>
      </c>
      <c r="D65" s="1344" t="s">
        <v>2112</v>
      </c>
      <c r="E65" s="1344" t="s">
        <v>2113</v>
      </c>
      <c r="F65" s="1344" t="s">
        <v>2114</v>
      </c>
      <c r="G65" s="1344" t="s">
        <v>2115</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2079</v>
      </c>
      <c r="C67" s="1339" t="s">
        <v>2106</v>
      </c>
      <c r="D67" s="1339" t="s">
        <v>2107</v>
      </c>
      <c r="E67" s="1339" t="s">
        <v>2108</v>
      </c>
      <c r="F67" s="1339" t="s">
        <v>2109</v>
      </c>
      <c r="G67" s="1339" t="s">
        <v>2110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2141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2082</v>
      </c>
      <c r="B77" s="1316" t="s">
        <v>2088</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2175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2">
        <v>0.5</v>
      </c>
      <c r="D80" s="842">
        <v>0.6</v>
      </c>
      <c r="E80" s="842">
        <v>0.7</v>
      </c>
      <c r="F80" s="842">
        <v>0.8</v>
      </c>
      <c r="G80" s="842">
        <v>0.9</v>
      </c>
      <c r="H80" s="842">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2176</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2185</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1163</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2186</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1" customWidth="1"/>
    <col min="2" max="2" width="37.25" style="3471" customWidth="1"/>
    <col min="3" max="3" width="11.375" style="3471" customWidth="1"/>
    <col min="4" max="4" width="31.75" style="3471" customWidth="1"/>
    <col min="5" max="5" width="0.5" style="3471" customWidth="1"/>
    <col min="6" max="7" width="13" style="3471" customWidth="1"/>
    <col min="8" max="16384" width="9" style="3471"/>
  </cols>
  <sheetData>
    <row r="1" spans="1:5" ht="18.75">
      <c r="A1" s="3472" t="s">
        <v>94</v>
      </c>
      <c r="B1" s="3473"/>
      <c r="C1" s="3473"/>
      <c r="D1" s="3473"/>
      <c r="E1" s="3473"/>
    </row>
    <row r="2" spans="1:5" ht="78" customHeight="1">
      <c r="A2" s="35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9"/>
      <c r="C2" s="3589"/>
      <c r="D2" s="3589"/>
      <c r="E2" s="3589"/>
    </row>
    <row r="3" spans="1:5" ht="18">
      <c r="A3" s="3590" t="str">
        <f>IF(项目基本情况!B9="房地产市场价值","估价结果一览表（市场价值不需“结果表-1”）","估价结果一览表")</f>
        <v>估价结果一览表</v>
      </c>
      <c r="B3" s="3590"/>
      <c r="C3" s="3590"/>
      <c r="D3" s="3590"/>
      <c r="E3" s="3590"/>
    </row>
    <row r="4" spans="1:5" ht="18.75">
      <c r="A4" s="3474"/>
      <c r="B4" s="3591" t="s">
        <v>95</v>
      </c>
      <c r="C4" s="3591"/>
      <c r="D4" s="3591"/>
      <c r="E4" s="3474"/>
    </row>
    <row r="5" spans="1:5" ht="15.75">
      <c r="A5" s="3473"/>
      <c r="B5" s="3583" t="s">
        <v>96</v>
      </c>
      <c r="C5" s="3475" t="s">
        <v>97</v>
      </c>
      <c r="D5" s="3476">
        <f ca="1">结果表!H101</f>
        <v>6665</v>
      </c>
      <c r="E5" s="3473"/>
    </row>
    <row r="6" spans="1:5" ht="15.75">
      <c r="A6" s="3473"/>
      <c r="B6" s="3583"/>
      <c r="C6" s="3475" t="s">
        <v>98</v>
      </c>
      <c r="D6" s="3476" t="str">
        <f ca="1">NUMBERSTRING(INT(D5*10000),2)&amp;"元整"</f>
        <v>陆仟陆佰陆拾伍万元整</v>
      </c>
      <c r="E6" s="3473"/>
    </row>
    <row r="7" spans="1:5" ht="15.75">
      <c r="A7" s="3473"/>
      <c r="B7" s="3584"/>
      <c r="C7" s="3477" t="s">
        <v>99</v>
      </c>
      <c r="D7" s="3478">
        <f ca="1">结果表!H102</f>
        <v>13946</v>
      </c>
      <c r="E7" s="3473"/>
    </row>
    <row r="8" spans="1:5" ht="15.75">
      <c r="A8" s="3473"/>
      <c r="B8" s="3585" t="str">
        <f>结果表!E103</f>
        <v>2.估价师知悉的法定优先受偿款</v>
      </c>
      <c r="C8" s="3479" t="s">
        <v>100</v>
      </c>
      <c r="D8" s="3478">
        <f>结果表!H103</f>
        <v>0</v>
      </c>
      <c r="E8" s="3473"/>
    </row>
    <row r="9" spans="1:5" ht="15.75">
      <c r="A9" s="3473"/>
      <c r="B9" s="3587"/>
      <c r="C9" s="3475" t="s">
        <v>98</v>
      </c>
      <c r="D9" s="3476" t="str">
        <f>NUMBERSTRING(INT(D8*10000),2)&amp;"元整"</f>
        <v>零元整</v>
      </c>
      <c r="E9" s="3473"/>
    </row>
    <row r="10" spans="1:5" ht="15">
      <c r="A10" s="3473"/>
      <c r="B10" s="3480" t="s">
        <v>101</v>
      </c>
      <c r="C10" s="3481" t="s">
        <v>102</v>
      </c>
      <c r="D10" s="3482">
        <f>结果表!H104</f>
        <v>0</v>
      </c>
      <c r="E10" s="3473"/>
    </row>
    <row r="11" spans="1:5" ht="15">
      <c r="A11" s="3473"/>
      <c r="B11" s="3480" t="s">
        <v>103</v>
      </c>
      <c r="C11" s="3481" t="s">
        <v>102</v>
      </c>
      <c r="D11" s="3482">
        <f>结果表!H105</f>
        <v>0</v>
      </c>
      <c r="E11" s="3473"/>
    </row>
    <row r="12" spans="1:5" ht="15">
      <c r="A12" s="3473"/>
      <c r="B12" s="3480" t="s">
        <v>104</v>
      </c>
      <c r="C12" s="3481" t="s">
        <v>102</v>
      </c>
      <c r="D12" s="3482">
        <f>结果表!H106</f>
        <v>0</v>
      </c>
      <c r="E12" s="3473"/>
    </row>
    <row r="13" spans="1:5" ht="15.75">
      <c r="A13" s="3473"/>
      <c r="B13" s="3582" t="str">
        <f>结果表!E107</f>
        <v>3.房地产抵押价值</v>
      </c>
      <c r="C13" s="3483" t="s">
        <v>97</v>
      </c>
      <c r="D13" s="3484">
        <f ca="1">结果表!H107</f>
        <v>6665</v>
      </c>
      <c r="E13" s="3473"/>
    </row>
    <row r="14" spans="1:5" ht="15.75">
      <c r="A14" s="3473"/>
      <c r="B14" s="3583"/>
      <c r="C14" s="3475" t="s">
        <v>98</v>
      </c>
      <c r="D14" s="3476" t="str">
        <f ca="1">NUMBERSTRING(INT(D13*10000),2)&amp;"元整"</f>
        <v>陆仟陆佰陆拾伍万元整</v>
      </c>
      <c r="E14" s="3473"/>
    </row>
    <row r="15" spans="1:5" ht="15">
      <c r="A15" s="3473"/>
      <c r="B15" s="3584"/>
      <c r="C15" s="3477" t="s">
        <v>99</v>
      </c>
      <c r="D15" s="3485">
        <f ca="1">结果表!H108</f>
        <v>13946</v>
      </c>
      <c r="E15" s="3473"/>
    </row>
    <row r="16" spans="1:5" ht="15">
      <c r="A16" s="3473"/>
      <c r="B16" s="3585" t="str">
        <f>结果表!E109</f>
        <v>——</v>
      </c>
      <c r="C16" s="3483" t="s">
        <v>97</v>
      </c>
      <c r="D16" s="3486" t="str">
        <f>结果表!H109</f>
        <v>——</v>
      </c>
      <c r="E16" s="3473"/>
    </row>
    <row r="17" spans="1:5" ht="15.75">
      <c r="A17" s="3473"/>
      <c r="B17" s="3586"/>
      <c r="C17" s="3475" t="s">
        <v>98</v>
      </c>
      <c r="D17" s="3476" t="e">
        <f>NUMBERSTRING(INT(D16*10000),2)&amp;"元整"</f>
        <v>#VALUE!</v>
      </c>
      <c r="E17" s="3473"/>
    </row>
    <row r="18" spans="1:5" ht="15">
      <c r="A18" s="3473"/>
      <c r="B18" s="3587"/>
      <c r="C18" s="3477" t="s">
        <v>99</v>
      </c>
      <c r="D18" s="3485" t="str">
        <f>结果表!H110</f>
        <v>——</v>
      </c>
      <c r="E18" s="3473"/>
    </row>
    <row r="19" spans="1:5" ht="15.75">
      <c r="A19" s="3473"/>
      <c r="B19" s="3582" t="str">
        <f>结果表!E111</f>
        <v>4.抵押净值</v>
      </c>
      <c r="C19" s="3483" t="s">
        <v>97</v>
      </c>
      <c r="D19" s="3478">
        <f ca="1">结果表!H111</f>
        <v>6464</v>
      </c>
      <c r="E19" s="3473"/>
    </row>
    <row r="20" spans="1:5" ht="15.75">
      <c r="A20" s="3473"/>
      <c r="B20" s="3583"/>
      <c r="C20" s="3475" t="s">
        <v>98</v>
      </c>
      <c r="D20" s="3476" t="str">
        <f ca="1">NUMBERSTRING(INT(D19*10000),2)&amp;"元整"</f>
        <v>陆仟肆佰陆拾肆万元整</v>
      </c>
      <c r="E20" s="3473"/>
    </row>
    <row r="21" spans="1:5" ht="15">
      <c r="A21" s="3473"/>
      <c r="B21" s="3588"/>
      <c r="C21" s="3487" t="s">
        <v>99</v>
      </c>
      <c r="D21" s="3488">
        <f ca="1">结果表!H112</f>
        <v>1660416</v>
      </c>
      <c r="E21" s="3473"/>
    </row>
    <row r="22" spans="1:5">
      <c r="A22" s="3473"/>
      <c r="B22" s="3489" t="s">
        <v>105</v>
      </c>
      <c r="C22" s="3473"/>
      <c r="D22" s="3473"/>
      <c r="E22" s="3473"/>
    </row>
    <row r="23" spans="1:5">
      <c r="A23" s="3473"/>
      <c r="B23" s="3473"/>
      <c r="C23" s="3473"/>
      <c r="D23" s="3473"/>
      <c r="E23" s="3473"/>
    </row>
    <row r="24" spans="1:5" ht="18.7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2188</v>
      </c>
      <c r="B1" s="1079"/>
      <c r="C1" s="1080" t="s">
        <v>2189</v>
      </c>
      <c r="D1" s="1081"/>
      <c r="E1" s="1081"/>
      <c r="F1" s="1082" t="s">
        <v>2047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1561</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1563</v>
      </c>
      <c r="B3" s="1086" t="e">
        <f>ROUND(IF(D3="",B2*10000/'数据-汇总表'!E3,B2*10000/D3),0)</f>
        <v>#DIV/0!</v>
      </c>
      <c r="C3" s="381" t="s">
        <v>2048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1" t="s">
        <v>2052</v>
      </c>
      <c r="AC4" s="3810" t="s">
        <v>2053</v>
      </c>
    </row>
    <row r="5" spans="1:30" ht="15">
      <c r="A5" s="1090"/>
      <c r="B5" s="1091"/>
      <c r="C5" s="3877" t="s">
        <v>2056</v>
      </c>
      <c r="D5" s="3853"/>
      <c r="E5" s="3878" t="s">
        <v>2057</v>
      </c>
      <c r="F5" s="3855"/>
      <c r="G5" s="3877" t="s">
        <v>2058</v>
      </c>
      <c r="H5" s="3853"/>
      <c r="I5" s="3877" t="s">
        <v>2059</v>
      </c>
      <c r="J5" s="3853"/>
      <c r="K5" s="1235"/>
      <c r="L5" s="1236"/>
      <c r="M5" s="1237"/>
      <c r="N5" s="1237"/>
      <c r="O5" s="1237"/>
      <c r="P5" s="3816"/>
      <c r="Q5" s="3817"/>
      <c r="R5" s="3822"/>
      <c r="S5" s="3823"/>
      <c r="T5" s="3822"/>
      <c r="U5" s="3823"/>
      <c r="V5" s="3813"/>
      <c r="W5" s="3813"/>
      <c r="X5" s="1279"/>
      <c r="Y5" s="3822"/>
      <c r="Z5" s="3823"/>
      <c r="AA5" s="3811"/>
      <c r="AB5" s="3811"/>
      <c r="AC5" s="3811"/>
    </row>
    <row r="6" spans="1:30" ht="15">
      <c r="A6" s="1092"/>
      <c r="B6" s="1093"/>
      <c r="C6" s="3843" t="s">
        <v>2060</v>
      </c>
      <c r="D6" s="3844"/>
      <c r="E6" s="3845" t="s">
        <v>2060</v>
      </c>
      <c r="F6" s="3846"/>
      <c r="G6" s="3843" t="s">
        <v>2060</v>
      </c>
      <c r="H6" s="3844"/>
      <c r="I6" s="3843" t="s">
        <v>2060</v>
      </c>
      <c r="J6" s="3844"/>
      <c r="K6" s="1235" t="s">
        <v>2061</v>
      </c>
      <c r="L6" s="1236"/>
      <c r="M6" s="1237"/>
      <c r="N6" s="1237"/>
      <c r="O6" s="1237"/>
      <c r="P6" s="3818"/>
      <c r="Q6" s="3819"/>
      <c r="R6" s="3822"/>
      <c r="S6" s="3823"/>
      <c r="T6" s="3824"/>
      <c r="U6" s="3825"/>
      <c r="V6" s="3813"/>
      <c r="W6" s="3813"/>
      <c r="X6" s="1279"/>
      <c r="Y6" s="3824"/>
      <c r="Z6" s="3825"/>
      <c r="AA6" s="3812"/>
      <c r="AB6" s="3812"/>
      <c r="AC6" s="3812"/>
    </row>
    <row r="7" spans="1:30" s="1069" customFormat="1" ht="15">
      <c r="A7" s="1094" t="s">
        <v>2062</v>
      </c>
      <c r="B7" s="1095"/>
      <c r="C7" s="1096">
        <f>'数据-取费表'!B2</f>
        <v>45300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831" t="s">
        <v>2063</v>
      </c>
      <c r="Q7" s="3847"/>
      <c r="R7" s="1280" t="s">
        <v>2064</v>
      </c>
      <c r="S7" s="1281">
        <f t="shared" ref="S7:S15" si="0">F7</f>
        <v>0</v>
      </c>
      <c r="T7" s="1280" t="s">
        <v>2064</v>
      </c>
      <c r="U7" s="1281">
        <f t="shared" ref="U7:U15" si="1">H7</f>
        <v>0</v>
      </c>
      <c r="V7" s="1280" t="s">
        <v>2064</v>
      </c>
      <c r="W7" s="1281">
        <f t="shared" ref="W7:W15" si="2">J7</f>
        <v>0</v>
      </c>
      <c r="X7" s="1282"/>
      <c r="Y7" s="3831" t="s">
        <v>2063</v>
      </c>
      <c r="Z7" s="3832"/>
      <c r="AA7" s="1294" t="e">
        <f>D7/F7</f>
        <v>#DIV/0!</v>
      </c>
      <c r="AB7" s="1294" t="e">
        <f>D7/H7</f>
        <v>#DIV/0!</v>
      </c>
      <c r="AC7" s="1294" t="e">
        <f>D7/J7</f>
        <v>#DIV/0!</v>
      </c>
    </row>
    <row r="8" spans="1:30" s="1069" customFormat="1" ht="15">
      <c r="A8" s="1094" t="s">
        <v>2065</v>
      </c>
      <c r="B8" s="1095"/>
      <c r="C8" s="1101" t="s">
        <v>2104</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831" t="s">
        <v>2066</v>
      </c>
      <c r="Q8" s="3832"/>
      <c r="R8" s="1280" t="s">
        <v>2064</v>
      </c>
      <c r="S8" s="1281">
        <f t="shared" si="0"/>
        <v>0</v>
      </c>
      <c r="T8" s="1280" t="s">
        <v>2064</v>
      </c>
      <c r="U8" s="1281">
        <f t="shared" si="1"/>
        <v>0</v>
      </c>
      <c r="V8" s="1280" t="s">
        <v>2064</v>
      </c>
      <c r="W8" s="1281">
        <f t="shared" si="2"/>
        <v>0</v>
      </c>
      <c r="X8" s="1282"/>
      <c r="Y8" s="3831" t="s">
        <v>2066</v>
      </c>
      <c r="Z8" s="3832"/>
      <c r="AA8" s="1294" t="e">
        <f t="shared" ref="AA8:AA45" si="3">D8/F8</f>
        <v>#DIV/0!</v>
      </c>
      <c r="AB8" s="1294" t="e">
        <f t="shared" ref="AB8:AB45" si="4">D8/H8</f>
        <v>#DIV/0!</v>
      </c>
      <c r="AC8" s="1294" t="e">
        <f t="shared" ref="AC8:AC45" si="5">D8/J8</f>
        <v>#DIV/0!</v>
      </c>
    </row>
    <row r="9" spans="1:30" s="1069" customFormat="1">
      <c r="A9" s="1102" t="s">
        <v>2067</v>
      </c>
      <c r="B9" s="1103" t="s">
        <v>2068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826"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294">
        <f t="shared" si="5"/>
        <v>1</v>
      </c>
    </row>
    <row r="10" spans="1:30" s="1070" customFormat="1" ht="27">
      <c r="A10" s="1106"/>
      <c r="B10" s="1107" t="s">
        <v>2071</v>
      </c>
      <c r="C10" s="1108"/>
      <c r="D10" s="1109">
        <v>100</v>
      </c>
      <c r="E10" s="1415"/>
      <c r="F10" s="1109">
        <f>ROUND(100/'数据-取费表'!G16,0)</f>
        <v>121</v>
      </c>
      <c r="G10" s="1416"/>
      <c r="H10" s="1109">
        <f>ROUND(100/'数据-取费表'!G16,0)</f>
        <v>121</v>
      </c>
      <c r="I10" s="1416"/>
      <c r="J10" s="1109">
        <f>ROUND(100/'数据-取费表'!G16,0)</f>
        <v>121</v>
      </c>
      <c r="K10" s="1242"/>
      <c r="L10" s="1243"/>
      <c r="M10" s="1244"/>
      <c r="N10" s="1244"/>
      <c r="O10" s="1245"/>
      <c r="P10" s="3826"/>
      <c r="Q10" s="1284" t="str">
        <f t="shared" si="6"/>
        <v>土地使用年限（年）</v>
      </c>
      <c r="R10" s="1280" t="s">
        <v>2064</v>
      </c>
      <c r="S10" s="1281">
        <f t="shared" si="0"/>
        <v>121</v>
      </c>
      <c r="T10" s="1280" t="s">
        <v>2064</v>
      </c>
      <c r="U10" s="1281">
        <f t="shared" si="1"/>
        <v>121</v>
      </c>
      <c r="V10" s="1280" t="s">
        <v>2064</v>
      </c>
      <c r="W10" s="1281">
        <f t="shared" si="2"/>
        <v>121</v>
      </c>
      <c r="X10" s="1282"/>
      <c r="Y10" s="3690"/>
      <c r="Z10" s="1295" t="str">
        <f t="shared" si="7"/>
        <v>土地使用年限（年）</v>
      </c>
      <c r="AA10" s="1294">
        <f t="shared" si="3"/>
        <v>0.82644628099173556</v>
      </c>
      <c r="AB10" s="1294">
        <f t="shared" si="4"/>
        <v>0.82644628099173556</v>
      </c>
      <c r="AC10" s="1294">
        <f t="shared" si="5"/>
        <v>0.82644628099173556</v>
      </c>
    </row>
    <row r="11" spans="1:30" ht="15">
      <c r="A11" s="1110"/>
      <c r="B11" s="1107" t="s">
        <v>2072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826"/>
      <c r="Q11" s="1284" t="str">
        <f t="shared" si="6"/>
        <v>容积率</v>
      </c>
      <c r="R11" s="1280" t="s">
        <v>2064</v>
      </c>
      <c r="S11" s="1281" t="e">
        <f t="shared" si="0"/>
        <v>#N/A</v>
      </c>
      <c r="T11" s="1280" t="s">
        <v>2064</v>
      </c>
      <c r="U11" s="1281" t="e">
        <f t="shared" si="1"/>
        <v>#N/A</v>
      </c>
      <c r="V11" s="1280" t="s">
        <v>2064</v>
      </c>
      <c r="W11" s="1281" t="e">
        <f t="shared" si="2"/>
        <v>#N/A</v>
      </c>
      <c r="X11" s="1282"/>
      <c r="Y11" s="3690"/>
      <c r="Z11" s="1295" t="str">
        <f t="shared" si="7"/>
        <v>容积率</v>
      </c>
      <c r="AA11" s="1294" t="e">
        <f t="shared" si="3"/>
        <v>#N/A</v>
      </c>
      <c r="AB11" s="1294" t="e">
        <f t="shared" si="4"/>
        <v>#N/A</v>
      </c>
      <c r="AC11" s="1294" t="e">
        <f t="shared" si="5"/>
        <v>#N/A</v>
      </c>
    </row>
    <row r="12" spans="1:30" s="1069" customFormat="1" ht="15">
      <c r="A12" s="1113"/>
      <c r="B12" s="1114" t="s">
        <v>2190</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826"/>
      <c r="Q12" s="1284" t="str">
        <f t="shared" si="6"/>
        <v>配建</v>
      </c>
      <c r="R12" s="1280" t="s">
        <v>2064</v>
      </c>
      <c r="S12" s="1281">
        <f t="shared" si="0"/>
        <v>100</v>
      </c>
      <c r="T12" s="1280" t="s">
        <v>2064</v>
      </c>
      <c r="U12" s="1281">
        <f t="shared" si="1"/>
        <v>100</v>
      </c>
      <c r="V12" s="1280" t="s">
        <v>2064</v>
      </c>
      <c r="W12" s="1281">
        <f t="shared" si="2"/>
        <v>100</v>
      </c>
      <c r="X12" s="1282"/>
      <c r="Y12" s="369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826"/>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826"/>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294">
        <f t="shared" si="5"/>
        <v>1</v>
      </c>
    </row>
    <row r="15" spans="1:30" ht="99.75">
      <c r="A15" s="1124" t="s">
        <v>2073</v>
      </c>
      <c r="B15" s="1417" t="s">
        <v>2074</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839" t="s">
        <v>2075</v>
      </c>
      <c r="Q15" s="664" t="str">
        <f t="shared" si="6"/>
        <v>居住社区成熟度</v>
      </c>
      <c r="R15" s="1285" t="s">
        <v>2064</v>
      </c>
      <c r="S15" s="1286">
        <f t="shared" si="0"/>
        <v>100</v>
      </c>
      <c r="T15" s="1285" t="s">
        <v>2064</v>
      </c>
      <c r="U15" s="1286">
        <f t="shared" si="1"/>
        <v>100</v>
      </c>
      <c r="V15" s="1285" t="s">
        <v>2064</v>
      </c>
      <c r="W15" s="1286">
        <f t="shared" si="2"/>
        <v>100</v>
      </c>
      <c r="X15" s="1279"/>
      <c r="Y15" s="3839" t="s">
        <v>2075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840"/>
      <c r="Q16" s="664"/>
      <c r="R16" s="1285"/>
      <c r="S16" s="1286"/>
      <c r="T16" s="1285"/>
      <c r="U16" s="1286"/>
      <c r="V16" s="1285"/>
      <c r="W16" s="1286"/>
      <c r="X16" s="1279"/>
      <c r="Y16" s="3840"/>
      <c r="Z16" s="1269"/>
      <c r="AA16" s="1296">
        <v>1</v>
      </c>
      <c r="AB16" s="1296">
        <v>1</v>
      </c>
      <c r="AC16" s="1296">
        <v>1</v>
      </c>
    </row>
    <row r="17" spans="1:29" ht="71.25">
      <c r="A17" s="1110"/>
      <c r="B17" s="1420" t="s">
        <v>2137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840"/>
      <c r="Q17" s="664" t="str">
        <f>B17</f>
        <v>商业繁华度</v>
      </c>
      <c r="R17" s="1285" t="s">
        <v>2064</v>
      </c>
      <c r="S17" s="1286">
        <f>F17</f>
        <v>100</v>
      </c>
      <c r="T17" s="1285" t="s">
        <v>2064</v>
      </c>
      <c r="U17" s="1286">
        <f>H17</f>
        <v>100</v>
      </c>
      <c r="V17" s="1285" t="s">
        <v>2064</v>
      </c>
      <c r="W17" s="1286">
        <f>J17</f>
        <v>100</v>
      </c>
      <c r="X17" s="1279"/>
      <c r="Y17" s="384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840"/>
      <c r="Q18" s="664"/>
      <c r="R18" s="1285"/>
      <c r="S18" s="1286"/>
      <c r="T18" s="1285"/>
      <c r="U18" s="1286"/>
      <c r="V18" s="1285"/>
      <c r="W18" s="1286"/>
      <c r="X18" s="1279"/>
      <c r="Y18" s="3840"/>
      <c r="Z18" s="1269"/>
      <c r="AA18" s="1296">
        <v>1</v>
      </c>
      <c r="AB18" s="1296">
        <v>1</v>
      </c>
      <c r="AC18" s="1296">
        <v>1</v>
      </c>
    </row>
    <row r="19" spans="1:29" ht="71.25">
      <c r="A19" s="1110"/>
      <c r="B19" s="1420" t="s">
        <v>2149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840"/>
      <c r="Q19" s="664" t="str">
        <f>B19</f>
        <v>办公集聚程度</v>
      </c>
      <c r="R19" s="1285" t="s">
        <v>2064</v>
      </c>
      <c r="S19" s="1286">
        <f>F19</f>
        <v>100</v>
      </c>
      <c r="T19" s="1285" t="s">
        <v>2064</v>
      </c>
      <c r="U19" s="1286">
        <f>H19</f>
        <v>100</v>
      </c>
      <c r="V19" s="1285" t="s">
        <v>2064</v>
      </c>
      <c r="W19" s="1286">
        <f>J19</f>
        <v>100</v>
      </c>
      <c r="X19" s="1279"/>
      <c r="Y19" s="384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840"/>
      <c r="Q20" s="664"/>
      <c r="R20" s="1285"/>
      <c r="S20" s="1286"/>
      <c r="T20" s="1285"/>
      <c r="U20" s="1286"/>
      <c r="V20" s="1285"/>
      <c r="W20" s="1286"/>
      <c r="X20" s="1279"/>
      <c r="Y20" s="3840"/>
      <c r="Z20" s="1269"/>
      <c r="AA20" s="1296">
        <v>1</v>
      </c>
      <c r="AB20" s="1296">
        <v>1</v>
      </c>
      <c r="AC20" s="1296">
        <v>1</v>
      </c>
    </row>
    <row r="21" spans="1:29" ht="85.5">
      <c r="A21" s="1110"/>
      <c r="B21" s="1420" t="s">
        <v>2076</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840"/>
      <c r="Q21" s="664" t="str">
        <f>B21</f>
        <v>交通便捷度</v>
      </c>
      <c r="R21" s="1285" t="s">
        <v>2064</v>
      </c>
      <c r="S21" s="1286">
        <f>F21</f>
        <v>100</v>
      </c>
      <c r="T21" s="1285" t="s">
        <v>2064</v>
      </c>
      <c r="U21" s="1286">
        <f>H21</f>
        <v>100</v>
      </c>
      <c r="V21" s="1285" t="s">
        <v>2064</v>
      </c>
      <c r="W21" s="1286">
        <f>J21</f>
        <v>100</v>
      </c>
      <c r="X21" s="1279"/>
      <c r="Y21" s="384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840"/>
      <c r="Q22" s="664"/>
      <c r="R22" s="1285"/>
      <c r="S22" s="1286"/>
      <c r="T22" s="1285"/>
      <c r="U22" s="1286"/>
      <c r="V22" s="1285"/>
      <c r="W22" s="1286"/>
      <c r="X22" s="1279"/>
      <c r="Y22" s="3840"/>
      <c r="Z22" s="1269"/>
      <c r="AA22" s="1296">
        <v>1</v>
      </c>
      <c r="AB22" s="1296">
        <v>1</v>
      </c>
      <c r="AC22" s="1296">
        <v>1</v>
      </c>
    </row>
    <row r="23" spans="1:29" ht="15">
      <c r="A23" s="1090"/>
      <c r="B23" s="1420" t="s">
        <v>2191</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840"/>
      <c r="Q23" s="664" t="str">
        <f t="shared" ref="Q23:Q38" si="8">B23</f>
        <v>区域土地利用方向</v>
      </c>
      <c r="R23" s="1285" t="s">
        <v>2064</v>
      </c>
      <c r="S23" s="1286">
        <f>F23</f>
        <v>100</v>
      </c>
      <c r="T23" s="1285" t="s">
        <v>2064</v>
      </c>
      <c r="U23" s="1286">
        <f>H23</f>
        <v>100</v>
      </c>
      <c r="V23" s="1285" t="s">
        <v>2064</v>
      </c>
      <c r="W23" s="1286">
        <f>J23</f>
        <v>100</v>
      </c>
      <c r="X23" s="1279"/>
      <c r="Y23" s="384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840"/>
      <c r="Q24" s="664"/>
      <c r="R24" s="1285"/>
      <c r="S24" s="1286"/>
      <c r="T24" s="1285"/>
      <c r="U24" s="1286"/>
      <c r="V24" s="1285"/>
      <c r="W24" s="1286"/>
      <c r="X24" s="1279"/>
      <c r="Y24" s="3840"/>
      <c r="Z24" s="1269"/>
      <c r="AA24" s="1296"/>
      <c r="AB24" s="1296"/>
      <c r="AC24" s="1296"/>
    </row>
    <row r="25" spans="1:29" ht="57">
      <c r="A25" s="1090"/>
      <c r="B25" s="1424" t="s">
        <v>2192</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840"/>
      <c r="Q25" s="664" t="str">
        <f t="shared" si="8"/>
        <v>自然及人文环境状况</v>
      </c>
      <c r="R25" s="1285" t="s">
        <v>2064</v>
      </c>
      <c r="S25" s="1286">
        <f>F25</f>
        <v>100</v>
      </c>
      <c r="T25" s="1285" t="s">
        <v>2064</v>
      </c>
      <c r="U25" s="1286">
        <f>H25</f>
        <v>100</v>
      </c>
      <c r="V25" s="1285" t="s">
        <v>2064</v>
      </c>
      <c r="W25" s="1286">
        <f>J25</f>
        <v>100</v>
      </c>
      <c r="X25" s="1279"/>
      <c r="Y25" s="384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840"/>
      <c r="Q26" s="664"/>
      <c r="R26" s="1285"/>
      <c r="S26" s="1286"/>
      <c r="T26" s="1285"/>
      <c r="U26" s="1286"/>
      <c r="V26" s="1285"/>
      <c r="W26" s="1286"/>
      <c r="X26" s="1279"/>
      <c r="Y26" s="3840"/>
      <c r="Z26" s="1269"/>
      <c r="AA26" s="1296">
        <v>1</v>
      </c>
      <c r="AB26" s="1296">
        <v>1</v>
      </c>
      <c r="AC26" s="1296">
        <v>1</v>
      </c>
    </row>
    <row r="27" spans="1:29" s="1069" customFormat="1" ht="42.75">
      <c r="A27" s="1140"/>
      <c r="B27" s="1424" t="s">
        <v>2077</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840"/>
      <c r="Q27" s="1284" t="str">
        <f t="shared" si="8"/>
        <v>公共配套设施</v>
      </c>
      <c r="R27" s="1280" t="s">
        <v>2064</v>
      </c>
      <c r="S27" s="1281">
        <f>F27</f>
        <v>100</v>
      </c>
      <c r="T27" s="1280" t="s">
        <v>2064</v>
      </c>
      <c r="U27" s="1281">
        <f>H27</f>
        <v>100</v>
      </c>
      <c r="V27" s="1280" t="s">
        <v>2064</v>
      </c>
      <c r="W27" s="1281">
        <f>J27</f>
        <v>100</v>
      </c>
      <c r="X27" s="1282"/>
      <c r="Y27" s="384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840"/>
      <c r="Q28" s="1284"/>
      <c r="R28" s="1280"/>
      <c r="S28" s="1281"/>
      <c r="T28" s="1280"/>
      <c r="U28" s="1281"/>
      <c r="V28" s="1280"/>
      <c r="W28" s="1281"/>
      <c r="X28" s="1282"/>
      <c r="Y28" s="3840"/>
      <c r="Z28" s="1295"/>
      <c r="AA28" s="1296">
        <v>1</v>
      </c>
      <c r="AB28" s="1296">
        <v>1</v>
      </c>
      <c r="AC28" s="1296">
        <v>1</v>
      </c>
    </row>
    <row r="29" spans="1:29" s="1069" customFormat="1" ht="28.5">
      <c r="A29" s="1140"/>
      <c r="B29" s="1424" t="s">
        <v>2078</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840"/>
      <c r="Q29" s="1284" t="str">
        <f t="shared" ref="Q29" si="9">B29</f>
        <v>基础设施水平</v>
      </c>
      <c r="R29" s="1280" t="s">
        <v>2064</v>
      </c>
      <c r="S29" s="1281">
        <f>F29</f>
        <v>100</v>
      </c>
      <c r="T29" s="1280" t="s">
        <v>2064</v>
      </c>
      <c r="U29" s="1281">
        <f>H29</f>
        <v>100</v>
      </c>
      <c r="V29" s="1280" t="s">
        <v>2064</v>
      </c>
      <c r="W29" s="1281">
        <f>J29</f>
        <v>100</v>
      </c>
      <c r="X29" s="1282"/>
      <c r="Y29" s="384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840"/>
      <c r="Q30" s="1284"/>
      <c r="R30" s="1280"/>
      <c r="S30" s="1281"/>
      <c r="T30" s="1280"/>
      <c r="U30" s="1281"/>
      <c r="V30" s="1280"/>
      <c r="W30" s="1281"/>
      <c r="X30" s="1282"/>
      <c r="Y30" s="3840"/>
      <c r="Z30" s="1295"/>
      <c r="AA30" s="1296">
        <v>1</v>
      </c>
      <c r="AB30" s="1296">
        <v>1</v>
      </c>
      <c r="AC30" s="1296">
        <v>1</v>
      </c>
    </row>
    <row r="31" spans="1:29" ht="15">
      <c r="A31" s="1110"/>
      <c r="B31" s="1158" t="s">
        <v>2138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840"/>
      <c r="Q31" s="664" t="str">
        <f t="shared" si="8"/>
        <v>临街状况</v>
      </c>
      <c r="R31" s="1285" t="s">
        <v>2064</v>
      </c>
      <c r="S31" s="1286">
        <f t="shared" ref="S31:S45" si="10">F31</f>
        <v>100</v>
      </c>
      <c r="T31" s="1285" t="s">
        <v>2064</v>
      </c>
      <c r="U31" s="1286">
        <f t="shared" ref="U31:U45" si="11">H31</f>
        <v>100</v>
      </c>
      <c r="V31" s="1285" t="s">
        <v>2064</v>
      </c>
      <c r="W31" s="1286">
        <f t="shared" ref="W31:W45" si="12">J31</f>
        <v>100</v>
      </c>
      <c r="X31" s="1279"/>
      <c r="Y31" s="3840"/>
      <c r="Z31" s="1269" t="str">
        <f t="shared" ref="Z31:Z45" si="13">Q31</f>
        <v>临街状况</v>
      </c>
      <c r="AA31" s="1296">
        <f t="shared" si="3"/>
        <v>1</v>
      </c>
      <c r="AB31" s="1296">
        <f t="shared" si="4"/>
        <v>1</v>
      </c>
      <c r="AC31" s="1296">
        <f t="shared" si="5"/>
        <v>1</v>
      </c>
    </row>
    <row r="32" spans="1:29" ht="27">
      <c r="A32" s="1110"/>
      <c r="B32" s="1424" t="s">
        <v>2151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840"/>
      <c r="Q32" s="664" t="str">
        <f t="shared" si="8"/>
        <v>毗邻道路的类型与等级</v>
      </c>
      <c r="R32" s="1285" t="s">
        <v>2064</v>
      </c>
      <c r="S32" s="1286">
        <f t="shared" si="10"/>
        <v>100</v>
      </c>
      <c r="T32" s="1285" t="s">
        <v>2064</v>
      </c>
      <c r="U32" s="1286">
        <f t="shared" si="11"/>
        <v>100</v>
      </c>
      <c r="V32" s="1285" t="s">
        <v>2064</v>
      </c>
      <c r="W32" s="1286">
        <f t="shared" si="12"/>
        <v>100</v>
      </c>
      <c r="X32" s="1279"/>
      <c r="Y32" s="384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840"/>
      <c r="Q33" s="664"/>
      <c r="R33" s="1285"/>
      <c r="S33" s="1286"/>
      <c r="T33" s="1285"/>
      <c r="U33" s="1286"/>
      <c r="V33" s="1285"/>
      <c r="W33" s="1286"/>
      <c r="X33" s="1279"/>
      <c r="Y33" s="3840"/>
      <c r="Z33" s="1269"/>
      <c r="AA33" s="1296">
        <v>1</v>
      </c>
      <c r="AB33" s="1296">
        <v>1</v>
      </c>
      <c r="AC33" s="1296">
        <v>1</v>
      </c>
    </row>
    <row r="34" spans="1:29" ht="15">
      <c r="A34" s="1110"/>
      <c r="B34" s="1107" t="s">
        <v>2193</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840"/>
      <c r="Q34" s="664" t="str">
        <f t="shared" si="8"/>
        <v>土地级别</v>
      </c>
      <c r="R34" s="1285" t="s">
        <v>2064</v>
      </c>
      <c r="S34" s="1286">
        <f t="shared" si="10"/>
        <v>100</v>
      </c>
      <c r="T34" s="1285" t="s">
        <v>2064</v>
      </c>
      <c r="U34" s="1286">
        <f t="shared" si="11"/>
        <v>100</v>
      </c>
      <c r="V34" s="1285" t="s">
        <v>2064</v>
      </c>
      <c r="W34" s="1286">
        <f t="shared" si="12"/>
        <v>100</v>
      </c>
      <c r="X34" s="1279"/>
      <c r="Y34" s="384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840"/>
      <c r="Q35" s="664">
        <f t="shared" si="8"/>
        <v>111</v>
      </c>
      <c r="R35" s="1285" t="s">
        <v>2064</v>
      </c>
      <c r="S35" s="1286">
        <f t="shared" si="10"/>
        <v>100</v>
      </c>
      <c r="T35" s="1285" t="s">
        <v>2064</v>
      </c>
      <c r="U35" s="1286">
        <f t="shared" si="11"/>
        <v>100</v>
      </c>
      <c r="V35" s="1285" t="s">
        <v>2064</v>
      </c>
      <c r="W35" s="1286">
        <f t="shared" si="12"/>
        <v>100</v>
      </c>
      <c r="X35" s="1279"/>
      <c r="Y35" s="384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94" t="s">
        <v>2084</v>
      </c>
      <c r="Q36" s="664">
        <f t="shared" si="8"/>
        <v>111</v>
      </c>
      <c r="R36" s="1285" t="s">
        <v>2064</v>
      </c>
      <c r="S36" s="1286">
        <f t="shared" si="10"/>
        <v>100</v>
      </c>
      <c r="T36" s="1285" t="s">
        <v>2064</v>
      </c>
      <c r="U36" s="1286">
        <f t="shared" si="11"/>
        <v>100</v>
      </c>
      <c r="V36" s="1285" t="s">
        <v>2064</v>
      </c>
      <c r="W36" s="1286">
        <f t="shared" si="12"/>
        <v>100</v>
      </c>
      <c r="X36" s="1279"/>
      <c r="Y36" s="3841" t="s">
        <v>2084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841"/>
      <c r="Q37" s="664">
        <f t="shared" si="8"/>
        <v>111</v>
      </c>
      <c r="R37" s="1287" t="s">
        <v>2064</v>
      </c>
      <c r="S37" s="1288">
        <f t="shared" si="10"/>
        <v>100</v>
      </c>
      <c r="T37" s="1287" t="s">
        <v>2064</v>
      </c>
      <c r="U37" s="1288">
        <f t="shared" si="11"/>
        <v>100</v>
      </c>
      <c r="V37" s="1287" t="s">
        <v>2064</v>
      </c>
      <c r="W37" s="1288">
        <f t="shared" si="12"/>
        <v>100</v>
      </c>
      <c r="X37" s="1289"/>
      <c r="Y37" s="3841"/>
      <c r="Z37" s="1297">
        <f t="shared" si="13"/>
        <v>111</v>
      </c>
      <c r="AA37" s="1296">
        <f t="shared" si="3"/>
        <v>1</v>
      </c>
      <c r="AB37" s="1296">
        <f t="shared" si="4"/>
        <v>1</v>
      </c>
      <c r="AC37" s="1296">
        <f t="shared" si="5"/>
        <v>1</v>
      </c>
    </row>
    <row r="38" spans="1:29" ht="15">
      <c r="A38" s="1161" t="s">
        <v>2082</v>
      </c>
      <c r="B38" s="1158" t="s">
        <v>2194</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841"/>
      <c r="Q38" s="664" t="str">
        <f t="shared" si="8"/>
        <v>宗地面积</v>
      </c>
      <c r="R38" s="1285" t="s">
        <v>2064</v>
      </c>
      <c r="S38" s="1286" t="e">
        <f t="shared" si="10"/>
        <v>#N/A</v>
      </c>
      <c r="T38" s="1285" t="s">
        <v>2064</v>
      </c>
      <c r="U38" s="1286" t="e">
        <f t="shared" si="11"/>
        <v>#N/A</v>
      </c>
      <c r="V38" s="1285" t="s">
        <v>2064</v>
      </c>
      <c r="W38" s="1286" t="e">
        <f t="shared" si="12"/>
        <v>#N/A</v>
      </c>
      <c r="X38" s="1279"/>
      <c r="Y38" s="3841"/>
      <c r="Z38" s="1269" t="str">
        <f t="shared" si="13"/>
        <v>宗地面积</v>
      </c>
      <c r="AA38" s="1296" t="e">
        <f t="shared" si="3"/>
        <v>#N/A</v>
      </c>
      <c r="AB38" s="1296" t="e">
        <f t="shared" si="4"/>
        <v>#N/A</v>
      </c>
      <c r="AC38" s="1296" t="e">
        <f t="shared" si="5"/>
        <v>#N/A</v>
      </c>
    </row>
    <row r="39" spans="1:29" ht="15">
      <c r="A39" s="1161"/>
      <c r="B39" s="1107" t="s">
        <v>2195</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841"/>
      <c r="Q39" s="664" t="str">
        <f t="shared" ref="Q39:Q45" si="14">B39</f>
        <v>宗地形状</v>
      </c>
      <c r="R39" s="1285" t="s">
        <v>2064</v>
      </c>
      <c r="S39" s="1286">
        <f t="shared" si="10"/>
        <v>100</v>
      </c>
      <c r="T39" s="1285" t="s">
        <v>2064</v>
      </c>
      <c r="U39" s="1286">
        <f t="shared" si="11"/>
        <v>100</v>
      </c>
      <c r="V39" s="1285" t="s">
        <v>2064</v>
      </c>
      <c r="W39" s="1286">
        <f t="shared" si="12"/>
        <v>100</v>
      </c>
      <c r="X39" s="1279"/>
      <c r="Y39" s="3841"/>
      <c r="Z39" s="1269" t="str">
        <f t="shared" si="13"/>
        <v>宗地形状</v>
      </c>
      <c r="AA39" s="1296">
        <f t="shared" si="3"/>
        <v>1</v>
      </c>
      <c r="AB39" s="1296">
        <f t="shared" si="4"/>
        <v>1</v>
      </c>
      <c r="AC39" s="1296">
        <f t="shared" si="5"/>
        <v>1</v>
      </c>
    </row>
    <row r="40" spans="1:29" ht="15">
      <c r="A40" s="1161"/>
      <c r="B40" s="1107" t="s">
        <v>2196</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841"/>
      <c r="Q40" s="664" t="str">
        <f t="shared" si="14"/>
        <v>临街宽度及深度</v>
      </c>
      <c r="R40" s="1285" t="s">
        <v>2064</v>
      </c>
      <c r="S40" s="1286">
        <f t="shared" si="10"/>
        <v>100</v>
      </c>
      <c r="T40" s="1285" t="s">
        <v>2064</v>
      </c>
      <c r="U40" s="1286">
        <f t="shared" si="11"/>
        <v>100</v>
      </c>
      <c r="V40" s="1285" t="s">
        <v>2064</v>
      </c>
      <c r="W40" s="1286">
        <f t="shared" si="12"/>
        <v>100</v>
      </c>
      <c r="X40" s="1279"/>
      <c r="Y40" s="3841"/>
      <c r="Z40" s="1269" t="str">
        <f t="shared" si="13"/>
        <v>临街宽度及深度</v>
      </c>
      <c r="AA40" s="1296">
        <f t="shared" si="3"/>
        <v>1</v>
      </c>
      <c r="AB40" s="1296">
        <f t="shared" si="4"/>
        <v>1</v>
      </c>
      <c r="AC40" s="1296">
        <f t="shared" si="5"/>
        <v>1</v>
      </c>
    </row>
    <row r="41" spans="1:29" s="1069" customFormat="1" ht="15">
      <c r="A41" s="1163"/>
      <c r="B41" s="1107" t="s">
        <v>2197</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841"/>
      <c r="Q41" s="664" t="str">
        <f t="shared" si="14"/>
        <v>宗地开发程度</v>
      </c>
      <c r="R41" s="1280" t="s">
        <v>2064</v>
      </c>
      <c r="S41" s="1281">
        <f t="shared" si="10"/>
        <v>100</v>
      </c>
      <c r="T41" s="1280" t="s">
        <v>2064</v>
      </c>
      <c r="U41" s="1281">
        <f t="shared" si="11"/>
        <v>100</v>
      </c>
      <c r="V41" s="1280" t="s">
        <v>2064</v>
      </c>
      <c r="W41" s="1281">
        <f t="shared" si="12"/>
        <v>100</v>
      </c>
      <c r="X41" s="1282"/>
      <c r="Y41" s="3841"/>
      <c r="Z41" s="1295" t="str">
        <f t="shared" si="13"/>
        <v>宗地开发程度</v>
      </c>
      <c r="AA41" s="1294">
        <f t="shared" si="3"/>
        <v>1</v>
      </c>
      <c r="AB41" s="1294">
        <f t="shared" si="4"/>
        <v>1</v>
      </c>
      <c r="AC41" s="1294">
        <f t="shared" si="5"/>
        <v>1</v>
      </c>
    </row>
    <row r="42" spans="1:29" ht="15">
      <c r="A42" s="1161"/>
      <c r="B42" s="1107" t="s">
        <v>2198</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841" t="s">
        <v>2084</v>
      </c>
      <c r="Q42" s="664" t="str">
        <f t="shared" si="14"/>
        <v>工程地质条件</v>
      </c>
      <c r="R42" s="1285" t="s">
        <v>2064</v>
      </c>
      <c r="S42" s="1286">
        <f t="shared" si="10"/>
        <v>100</v>
      </c>
      <c r="T42" s="1285" t="s">
        <v>2064</v>
      </c>
      <c r="U42" s="1286">
        <f t="shared" si="11"/>
        <v>100</v>
      </c>
      <c r="V42" s="1285" t="s">
        <v>2064</v>
      </c>
      <c r="W42" s="1286">
        <f t="shared" si="12"/>
        <v>100</v>
      </c>
      <c r="X42" s="1279"/>
      <c r="Y42" s="3841" t="s">
        <v>2084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841"/>
      <c r="Q43" s="664">
        <f t="shared" si="14"/>
        <v>111</v>
      </c>
      <c r="R43" s="1285" t="s">
        <v>2064</v>
      </c>
      <c r="S43" s="1286">
        <f t="shared" si="10"/>
        <v>100</v>
      </c>
      <c r="T43" s="1285" t="s">
        <v>2064</v>
      </c>
      <c r="U43" s="1286">
        <f t="shared" si="11"/>
        <v>100</v>
      </c>
      <c r="V43" s="1285" t="s">
        <v>2064</v>
      </c>
      <c r="W43" s="1286">
        <f t="shared" si="12"/>
        <v>100</v>
      </c>
      <c r="X43" s="1279"/>
      <c r="Y43" s="384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841"/>
      <c r="Q44" s="664">
        <f t="shared" si="14"/>
        <v>111</v>
      </c>
      <c r="R44" s="1285" t="s">
        <v>2064</v>
      </c>
      <c r="S44" s="1286">
        <f t="shared" si="10"/>
        <v>100</v>
      </c>
      <c r="T44" s="1285" t="s">
        <v>2064</v>
      </c>
      <c r="U44" s="1286">
        <f t="shared" si="11"/>
        <v>100</v>
      </c>
      <c r="V44" s="1285" t="s">
        <v>2064</v>
      </c>
      <c r="W44" s="1286">
        <f t="shared" si="12"/>
        <v>100</v>
      </c>
      <c r="X44" s="1279"/>
      <c r="Y44" s="384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841"/>
      <c r="Q45" s="664">
        <f t="shared" si="14"/>
        <v>111</v>
      </c>
      <c r="R45" s="1287" t="s">
        <v>2064</v>
      </c>
      <c r="S45" s="1288">
        <f t="shared" si="10"/>
        <v>100</v>
      </c>
      <c r="T45" s="1287" t="s">
        <v>2064</v>
      </c>
      <c r="U45" s="1288">
        <f t="shared" si="11"/>
        <v>100</v>
      </c>
      <c r="V45" s="1287" t="s">
        <v>2064</v>
      </c>
      <c r="W45" s="1288">
        <f t="shared" si="12"/>
        <v>100</v>
      </c>
      <c r="X45" s="1289"/>
      <c r="Y45" s="3841"/>
      <c r="Z45" s="1297">
        <f t="shared" si="13"/>
        <v>111</v>
      </c>
      <c r="AA45" s="1296">
        <f t="shared" si="3"/>
        <v>1</v>
      </c>
      <c r="AB45" s="1296">
        <f t="shared" si="4"/>
        <v>1</v>
      </c>
      <c r="AC45" s="1296">
        <f t="shared" si="5"/>
        <v>1</v>
      </c>
    </row>
    <row r="46" spans="1:29" ht="15">
      <c r="A46" s="1168" t="s">
        <v>2180</v>
      </c>
      <c r="B46" s="1169" t="s">
        <v>2199</v>
      </c>
      <c r="C46" s="1170" t="s">
        <v>124</v>
      </c>
      <c r="D46" s="1171"/>
      <c r="E46" s="1172"/>
      <c r="F46" s="1173"/>
      <c r="G46" s="1174"/>
      <c r="H46" s="1175"/>
      <c r="I46" s="1172"/>
      <c r="J46" s="1175"/>
      <c r="K46" s="1260"/>
      <c r="L46" s="1261"/>
      <c r="M46" s="1185"/>
      <c r="N46" s="1237"/>
      <c r="O46" s="1185"/>
      <c r="P46" s="3826" t="str">
        <f>A46</f>
        <v>成交单价</v>
      </c>
      <c r="Q46" s="3826"/>
      <c r="R46" s="3813">
        <f>E46</f>
        <v>0</v>
      </c>
      <c r="S46" s="3813"/>
      <c r="T46" s="3813">
        <f>G46</f>
        <v>0</v>
      </c>
      <c r="U46" s="3813"/>
      <c r="V46" s="3813">
        <f>I46</f>
        <v>0</v>
      </c>
      <c r="W46" s="3813"/>
      <c r="X46" s="1225"/>
      <c r="Y46" s="1298"/>
      <c r="Z46" s="1225"/>
      <c r="AA46" s="1225"/>
      <c r="AB46" s="1225"/>
      <c r="AC46" s="1225"/>
    </row>
    <row r="47" spans="1:29" ht="15">
      <c r="A47" s="1176" t="s">
        <v>2096</v>
      </c>
      <c r="B47" s="1177"/>
      <c r="C47" s="1178" t="e">
        <f>R48</f>
        <v>#DIV/0!</v>
      </c>
      <c r="D47" s="1179" t="s">
        <v>2097</v>
      </c>
      <c r="E47" s="1178" t="e">
        <f>R47</f>
        <v>#DIV/0!</v>
      </c>
      <c r="F47" s="1180"/>
      <c r="G47" s="1181" t="e">
        <f>T47</f>
        <v>#DIV/0!</v>
      </c>
      <c r="H47" s="1180"/>
      <c r="I47" s="1178" t="e">
        <f>V47</f>
        <v>#DIV/0!</v>
      </c>
      <c r="J47" s="1180"/>
      <c r="K47" s="1262">
        <f>F47+H47+J47</f>
        <v>0</v>
      </c>
      <c r="L47" s="1261"/>
      <c r="M47" s="1185"/>
      <c r="N47" s="1185"/>
      <c r="O47" s="1185"/>
      <c r="P47" s="3826" t="str">
        <f>A47</f>
        <v>比较价值（元/平方米）</v>
      </c>
      <c r="Q47" s="3826"/>
      <c r="R47" s="3898" t="e">
        <f>ROUND(PRODUCT(R46,AA7:AA45),0)</f>
        <v>#DIV/0!</v>
      </c>
      <c r="S47" s="3898"/>
      <c r="T47" s="3898" t="e">
        <f>ROUND(PRODUCT(T46,AB7:AB45),0)</f>
        <v>#DIV/0!</v>
      </c>
      <c r="U47" s="3898"/>
      <c r="V47" s="3898" t="e">
        <f>ROUND(PRODUCT(V46,AC7:AC45),0)</f>
        <v>#DIV/0!</v>
      </c>
      <c r="W47" s="3898"/>
      <c r="X47" s="1225"/>
      <c r="Y47" s="1225"/>
      <c r="Z47" s="1225"/>
      <c r="AA47" s="1225"/>
      <c r="AB47" s="1225"/>
      <c r="AC47" s="1225"/>
    </row>
    <row r="48" spans="1:29" ht="15">
      <c r="A48" s="1182" t="s">
        <v>2200</v>
      </c>
      <c r="B48" s="1183"/>
      <c r="C48" s="1184" t="e">
        <f>R48</f>
        <v>#DIV/0!</v>
      </c>
      <c r="D48" s="1184"/>
      <c r="E48" s="1184"/>
      <c r="F48" s="1184"/>
      <c r="G48" s="1184"/>
      <c r="H48" s="1184"/>
      <c r="I48" s="1184"/>
      <c r="J48" s="1184"/>
      <c r="K48" s="1263"/>
      <c r="L48" s="1261"/>
      <c r="M48" s="1185"/>
      <c r="N48" s="1185"/>
      <c r="O48" s="1185"/>
      <c r="P48" s="3828" t="str">
        <f>A48</f>
        <v>估价对象XX用房的比较价值（楼面单价，元/平方米）</v>
      </c>
      <c r="Q48" s="3829"/>
      <c r="R48" s="3899" t="e">
        <f>ROUND(IF(D47="简单平均",AVERAGE(R47:W47),R47*F47+T47*H47+V47*J47),0)</f>
        <v>#DIV/0!</v>
      </c>
      <c r="S48" s="3899"/>
      <c r="T48" s="3899"/>
      <c r="U48" s="3899"/>
      <c r="V48" s="3899"/>
      <c r="W48" s="389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2099</v>
      </c>
      <c r="D51" s="709"/>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2100</v>
      </c>
      <c r="D52" s="708"/>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2101</v>
      </c>
      <c r="D53" s="708"/>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2201</v>
      </c>
      <c r="B55" s="1195" t="s">
        <v>2202</v>
      </c>
      <c r="C55" s="1196" t="s">
        <v>2203</v>
      </c>
      <c r="D55" s="1197" t="s">
        <v>2204</v>
      </c>
      <c r="E55" s="1198" t="s">
        <v>2205</v>
      </c>
      <c r="F55" s="1428" t="s">
        <v>2206</v>
      </c>
      <c r="G55" s="3848" t="s">
        <v>2207</v>
      </c>
      <c r="H55" s="3897"/>
      <c r="I55" s="1432" t="s">
        <v>2208</v>
      </c>
      <c r="J55" s="1433">
        <f>项目基本情况!F35</f>
        <v>0</v>
      </c>
      <c r="K55" s="1270" t="s">
        <v>2209</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2210</v>
      </c>
      <c r="B56" s="1201" t="e">
        <f>C48</f>
        <v>#DIV/0!</v>
      </c>
      <c r="C56" s="1202">
        <v>1</v>
      </c>
      <c r="D56" s="1203">
        <v>1</v>
      </c>
      <c r="E56" s="1202">
        <f>'数据-汇总表'!E8+'数据-汇总表'!E9</f>
        <v>38.93</v>
      </c>
      <c r="F56" s="1429" t="e">
        <f t="shared" ref="F56:F64" si="15">ROUND(B56*E56/10000,0)</f>
        <v>#DIV/0!</v>
      </c>
      <c r="G56" s="3833"/>
      <c r="H56" s="382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2211</v>
      </c>
      <c r="B57" s="395" t="e">
        <f>ROUND($C$48*C57*D57,0)</f>
        <v>#DIV/0!</v>
      </c>
      <c r="C57" s="582">
        <f t="shared" ref="C57:C64" si="16">IF($C$55="北京市系数",I57,J57)</f>
        <v>0.6</v>
      </c>
      <c r="D57" s="1206">
        <v>0.25</v>
      </c>
      <c r="E57" s="1207"/>
      <c r="F57" s="1429" t="e">
        <f t="shared" si="15"/>
        <v>#DIV/0!</v>
      </c>
      <c r="G57" s="1208" t="s">
        <v>2212</v>
      </c>
      <c r="H57" s="1209" t="str">
        <f>项目基本情况!B37</f>
        <v>六级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2213</v>
      </c>
      <c r="B58" s="395" t="e">
        <f t="shared" ref="B58:B64" si="17">ROUND($C$48*C58*D58,0)</f>
        <v>#DIV/0!</v>
      </c>
      <c r="C58" s="582">
        <f t="shared" si="16"/>
        <v>0.3</v>
      </c>
      <c r="D58" s="1206">
        <v>0.25</v>
      </c>
      <c r="E58" s="1207"/>
      <c r="F58" s="1429" t="e">
        <f t="shared" si="15"/>
        <v>#DIV/0!</v>
      </c>
      <c r="G58" s="1210"/>
      <c r="H58" s="1209" t="str">
        <f>项目基本情况!B37</f>
        <v>六级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2214</v>
      </c>
      <c r="B59" s="395" t="e">
        <f t="shared" si="17"/>
        <v>#DIV/0!</v>
      </c>
      <c r="C59" s="582">
        <f t="shared" si="16"/>
        <v>0.25</v>
      </c>
      <c r="D59" s="1206">
        <v>0.25</v>
      </c>
      <c r="E59" s="1207"/>
      <c r="F59" s="1429" t="e">
        <f t="shared" si="15"/>
        <v>#DIV/0!</v>
      </c>
      <c r="G59" s="1210"/>
      <c r="H59" s="1209" t="str">
        <f>项目基本情况!B37</f>
        <v>六级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2215</v>
      </c>
      <c r="B60" s="395" t="e">
        <f t="shared" si="17"/>
        <v>#DIV/0!</v>
      </c>
      <c r="C60" s="582">
        <f t="shared" si="16"/>
        <v>0.25</v>
      </c>
      <c r="D60" s="1206">
        <v>0.25</v>
      </c>
      <c r="E60" s="394">
        <f>'数据-汇总表'!E11</f>
        <v>0</v>
      </c>
      <c r="F60" s="1429" t="e">
        <f t="shared" si="15"/>
        <v>#DIV/0!</v>
      </c>
      <c r="G60" s="1212" t="s">
        <v>2216</v>
      </c>
      <c r="H60" s="1209" t="str">
        <f>项目基本情况!C37</f>
        <v>六级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2217</v>
      </c>
      <c r="B61" s="395" t="e">
        <f t="shared" si="17"/>
        <v>#DIV/0!</v>
      </c>
      <c r="C61" s="582">
        <f t="shared" si="16"/>
        <v>0.25</v>
      </c>
      <c r="D61" s="1206">
        <v>0.25</v>
      </c>
      <c r="E61" s="394">
        <f>'数据-汇总表'!E12</f>
        <v>0</v>
      </c>
      <c r="F61" s="1429" t="e">
        <f t="shared" si="15"/>
        <v>#DIV/0!</v>
      </c>
      <c r="G61" s="1213" t="s">
        <v>2218</v>
      </c>
      <c r="H61" s="1209" t="str">
        <f>IF(G61="商业",项目基本情况!B37,IF(G61="办公",项目基本情况!C37,IF(G61="住宅",项目基本情况!D37,项目基本情况!E37)))</f>
        <v>六级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2219</v>
      </c>
      <c r="B62" s="395" t="e">
        <f t="shared" si="17"/>
        <v>#DIV/0!</v>
      </c>
      <c r="C62" s="582">
        <f t="shared" si="16"/>
        <v>0</v>
      </c>
      <c r="D62" s="1206">
        <v>0.25</v>
      </c>
      <c r="E62" s="394">
        <f>'数据-汇总表'!E13</f>
        <v>0</v>
      </c>
      <c r="F62" s="1429" t="e">
        <f t="shared" si="15"/>
        <v>#DIV/0!</v>
      </c>
      <c r="G62" s="1213" t="s">
        <v>2220</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2221</v>
      </c>
      <c r="B63" s="395" t="e">
        <f t="shared" si="17"/>
        <v>#DIV/0!</v>
      </c>
      <c r="C63" s="582">
        <f t="shared" si="16"/>
        <v>0.15</v>
      </c>
      <c r="D63" s="1206">
        <v>0.25</v>
      </c>
      <c r="E63" s="394">
        <f>'数据-汇总表'!E14</f>
        <v>0</v>
      </c>
      <c r="F63" s="1429" t="e">
        <f t="shared" si="15"/>
        <v>#DIV/0!</v>
      </c>
      <c r="G63" s="1212" t="s">
        <v>2212</v>
      </c>
      <c r="H63" s="1209" t="str">
        <f>项目基本情况!B37</f>
        <v>六级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2222</v>
      </c>
      <c r="B64" s="395" t="e">
        <f t="shared" si="17"/>
        <v>#DIV/0!</v>
      </c>
      <c r="C64" s="582">
        <f t="shared" si="16"/>
        <v>0.15</v>
      </c>
      <c r="D64" s="1206">
        <v>0.25</v>
      </c>
      <c r="E64" s="394">
        <f>'数据-汇总表'!E15</f>
        <v>0</v>
      </c>
      <c r="F64" s="1429" t="e">
        <f t="shared" si="15"/>
        <v>#DIV/0!</v>
      </c>
      <c r="G64" s="1214" t="s">
        <v>2216</v>
      </c>
      <c r="H64" s="1215" t="str">
        <f>项目基本情况!C37</f>
        <v>六级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2223</v>
      </c>
      <c r="B65" s="1217" t="s">
        <v>2224</v>
      </c>
      <c r="C65" s="1217" t="s">
        <v>2224</v>
      </c>
      <c r="D65" s="1217" t="s">
        <v>2224</v>
      </c>
      <c r="E65" s="1217">
        <f>IF(B46="楼面地价",SUM(E56:E64),'数据-汇总表'!D3)</f>
        <v>38.93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2024-1-1</v>
      </c>
      <c r="D67" s="1223">
        <f>EDATE(C67,-3)</f>
        <v>45200</v>
      </c>
      <c r="E67" s="1223">
        <f>EDATE(D67,-3)</f>
        <v>45108</v>
      </c>
      <c r="F67" s="1223">
        <f t="shared" ref="F67:O67" si="18">EDATE(E67,-3)</f>
        <v>45017</v>
      </c>
      <c r="G67" s="1223">
        <f t="shared" si="18"/>
        <v>44927</v>
      </c>
      <c r="H67" s="1223">
        <f t="shared" si="18"/>
        <v>44835</v>
      </c>
      <c r="I67" s="1223">
        <f t="shared" si="18"/>
        <v>44743</v>
      </c>
      <c r="J67" s="1223">
        <f t="shared" si="18"/>
        <v>44652</v>
      </c>
      <c r="K67" s="1223">
        <f t="shared" si="18"/>
        <v>44562</v>
      </c>
      <c r="L67" s="1223">
        <f t="shared" si="18"/>
        <v>44470</v>
      </c>
      <c r="M67" s="1223">
        <f t="shared" si="18"/>
        <v>44378</v>
      </c>
      <c r="N67" s="1223">
        <f t="shared" si="18"/>
        <v>44287</v>
      </c>
      <c r="O67" s="1223">
        <f t="shared" si="18"/>
        <v>44197</v>
      </c>
      <c r="P67" s="1185"/>
      <c r="Q67" s="1185"/>
      <c r="R67" s="1185"/>
      <c r="S67" s="1185"/>
      <c r="T67" s="1185"/>
      <c r="U67" s="1185"/>
      <c r="V67" s="1185"/>
      <c r="W67" s="1185"/>
      <c r="X67" s="1185"/>
      <c r="Y67" s="1185"/>
      <c r="Z67" s="1185"/>
      <c r="AA67" s="1185"/>
      <c r="AB67" s="1185"/>
      <c r="AC67" s="1185"/>
    </row>
    <row r="68" spans="1:29" ht="21">
      <c r="A68" s="1224" t="s">
        <v>2102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2225</v>
      </c>
      <c r="B69" s="1300"/>
      <c r="C69" s="1301" t="str">
        <f>YEAR(C67)&amp;"-"&amp;ROUNDUP(MONTH(C67)/3,0)</f>
        <v>2024-1</v>
      </c>
      <c r="D69" s="1301" t="str">
        <f>YEAR(D67)&amp;"-"&amp;ROUNDUP(MONTH(D67)/3,0)</f>
        <v>2023-4</v>
      </c>
      <c r="E69" s="1301" t="str">
        <f t="shared" ref="E69:O69" si="19">YEAR(E67)&amp;"-"&amp;ROUNDUP(MONTH(E67)/3,0)</f>
        <v>2023-3</v>
      </c>
      <c r="F69" s="1301" t="str">
        <f t="shared" si="19"/>
        <v>2023-2</v>
      </c>
      <c r="G69" s="1301" t="str">
        <f t="shared" si="19"/>
        <v>2023-1</v>
      </c>
      <c r="H69" s="1301" t="str">
        <f t="shared" si="19"/>
        <v>2022-4</v>
      </c>
      <c r="I69" s="1301" t="str">
        <f t="shared" si="19"/>
        <v>2022-3</v>
      </c>
      <c r="J69" s="1301" t="str">
        <f t="shared" si="19"/>
        <v>2022-2</v>
      </c>
      <c r="K69" s="1301" t="str">
        <f t="shared" si="19"/>
        <v>2022-1</v>
      </c>
      <c r="L69" s="1301" t="str">
        <f t="shared" si="19"/>
        <v>2021-4</v>
      </c>
      <c r="M69" s="1301" t="str">
        <f t="shared" si="19"/>
        <v>2021-3</v>
      </c>
      <c r="N69" s="1301" t="str">
        <f t="shared" si="19"/>
        <v>2021-2</v>
      </c>
      <c r="O69" s="1301" t="str">
        <f t="shared" si="19"/>
        <v>2021-1</v>
      </c>
      <c r="P69" s="1353"/>
      <c r="Q69" s="1409"/>
      <c r="R69" s="1409"/>
      <c r="S69" s="1409"/>
      <c r="T69" s="1409"/>
      <c r="U69" s="1409"/>
      <c r="V69" s="1409"/>
      <c r="W69" s="1409"/>
      <c r="X69" s="1409"/>
      <c r="Y69" s="1409"/>
      <c r="Z69" s="1409"/>
      <c r="AA69" s="1409"/>
      <c r="AB69" s="1409"/>
      <c r="AC69" s="1409"/>
    </row>
    <row r="70" spans="1:29" s="1069" customFormat="1" ht="30" customHeight="1">
      <c r="A70" s="1441" t="s">
        <v>2226</v>
      </c>
      <c r="B70" s="1303" t="str">
        <f>"北京市平均增长率"&amp;TEXT(SUMIF('基准地价修正-商业'!N25:N29,A70,'基准地价修正-商业'!P25:P29),"0.00%")</f>
        <v>北京市平均增长率0.00%</v>
      </c>
      <c r="C70" s="842">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2103</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2065</v>
      </c>
      <c r="B72" s="1310"/>
      <c r="C72" s="1311" t="s">
        <v>2104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2105</v>
      </c>
      <c r="B74" s="1316" t="s">
        <v>2068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2071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2072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2073</v>
      </c>
      <c r="B87" s="1316" t="s">
        <v>2074</v>
      </c>
      <c r="C87" s="1337" t="s">
        <v>2106</v>
      </c>
      <c r="D87" s="1337" t="s">
        <v>2107</v>
      </c>
      <c r="E87" s="1337" t="s">
        <v>2108</v>
      </c>
      <c r="F87" s="1337" t="s">
        <v>2109</v>
      </c>
      <c r="G87" s="1337" t="s">
        <v>2110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2137</v>
      </c>
      <c r="C89" s="1339" t="s">
        <v>2106</v>
      </c>
      <c r="D89" s="1339" t="s">
        <v>2107</v>
      </c>
      <c r="E89" s="1339" t="s">
        <v>2108</v>
      </c>
      <c r="F89" s="1339" t="s">
        <v>2109</v>
      </c>
      <c r="G89" s="1339" t="s">
        <v>2110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2149</v>
      </c>
      <c r="C91" s="1339" t="s">
        <v>2106</v>
      </c>
      <c r="D91" s="1339" t="s">
        <v>2107</v>
      </c>
      <c r="E91" s="1339" t="s">
        <v>2108</v>
      </c>
      <c r="F91" s="1339" t="s">
        <v>2109</v>
      </c>
      <c r="G91" s="1339" t="s">
        <v>2110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2076</v>
      </c>
      <c r="C93" s="1339" t="s">
        <v>2106</v>
      </c>
      <c r="D93" s="1339" t="s">
        <v>2107</v>
      </c>
      <c r="E93" s="1339" t="s">
        <v>2108</v>
      </c>
      <c r="F93" s="1339" t="s">
        <v>2109</v>
      </c>
      <c r="G93" s="1339" t="s">
        <v>2110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2191</v>
      </c>
      <c r="C95" s="1339" t="s">
        <v>2106</v>
      </c>
      <c r="D95" s="1339" t="s">
        <v>2107</v>
      </c>
      <c r="E95" s="1339" t="s">
        <v>2108</v>
      </c>
      <c r="F95" s="1339" t="s">
        <v>2109</v>
      </c>
      <c r="G95" s="1339" t="s">
        <v>2110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2192</v>
      </c>
      <c r="C97" s="1337" t="s">
        <v>2106</v>
      </c>
      <c r="D97" s="1337" t="s">
        <v>2107</v>
      </c>
      <c r="E97" s="1337" t="s">
        <v>2108</v>
      </c>
      <c r="F97" s="1337" t="s">
        <v>2109</v>
      </c>
      <c r="G97" s="1337" t="s">
        <v>2110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2077</v>
      </c>
      <c r="C99" s="1337" t="s">
        <v>2106</v>
      </c>
      <c r="D99" s="1337" t="s">
        <v>2107</v>
      </c>
      <c r="E99" s="1337" t="s">
        <v>2108</v>
      </c>
      <c r="F99" s="1337" t="s">
        <v>2109</v>
      </c>
      <c r="G99" s="1337" t="s">
        <v>2110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2078</v>
      </c>
      <c r="C101" s="1344" t="s">
        <v>2111</v>
      </c>
      <c r="D101" s="1344" t="s">
        <v>2112</v>
      </c>
      <c r="E101" s="1344" t="s">
        <v>2113</v>
      </c>
      <c r="F101" s="1344" t="s">
        <v>2114</v>
      </c>
      <c r="G101" s="1344" t="s">
        <v>2115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2227</v>
      </c>
      <c r="D103" s="1321" t="s">
        <v>2228</v>
      </c>
      <c r="E103" s="1321" t="s">
        <v>2229</v>
      </c>
      <c r="F103" s="1321" t="s">
        <v>2230</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2151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2193</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2082</v>
      </c>
      <c r="B115" s="1316" t="s">
        <v>2194</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2195</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2196</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2197</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2198</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2188</v>
      </c>
      <c r="B1" s="1079"/>
      <c r="C1" s="1080" t="s">
        <v>2155</v>
      </c>
      <c r="D1" s="1081"/>
      <c r="E1" s="1081"/>
      <c r="F1" s="1082" t="s">
        <v>2047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1561</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1563</v>
      </c>
      <c r="B3" s="1086" t="e">
        <f>ROUND(IF(D3="",B2*10000/'数据-汇总表'!E3,B2*10000/D3),0)</f>
        <v>#DIV/0!</v>
      </c>
      <c r="C3" s="381" t="s">
        <v>2048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2049</v>
      </c>
      <c r="B4" s="1089"/>
      <c r="C4" s="3848" t="s">
        <v>2050</v>
      </c>
      <c r="D4" s="3849"/>
      <c r="E4" s="3850" t="s">
        <v>2051</v>
      </c>
      <c r="F4" s="3851"/>
      <c r="G4" s="3848" t="s">
        <v>2052</v>
      </c>
      <c r="H4" s="3849"/>
      <c r="I4" s="3848" t="s">
        <v>2053</v>
      </c>
      <c r="J4" s="3849"/>
      <c r="K4" s="1235" t="s">
        <v>2054</v>
      </c>
      <c r="L4" s="1236"/>
      <c r="M4" s="1237"/>
      <c r="N4" s="1237"/>
      <c r="O4" s="1237"/>
      <c r="P4" s="3814" t="s">
        <v>2055</v>
      </c>
      <c r="Q4" s="3815"/>
      <c r="R4" s="3820" t="s">
        <v>2051</v>
      </c>
      <c r="S4" s="3821"/>
      <c r="T4" s="3820" t="s">
        <v>2052</v>
      </c>
      <c r="U4" s="3821"/>
      <c r="V4" s="3813" t="s">
        <v>2053</v>
      </c>
      <c r="W4" s="3813"/>
      <c r="X4" s="1279"/>
      <c r="Y4" s="3820" t="s">
        <v>2055</v>
      </c>
      <c r="Z4" s="3821"/>
      <c r="AA4" s="3810" t="s">
        <v>2051</v>
      </c>
      <c r="AB4" s="3811" t="s">
        <v>2052</v>
      </c>
      <c r="AC4" s="3810" t="s">
        <v>2053</v>
      </c>
    </row>
    <row r="5" spans="1:29" ht="15">
      <c r="A5" s="1090"/>
      <c r="B5" s="1091"/>
      <c r="C5" s="3877" t="s">
        <v>2056</v>
      </c>
      <c r="D5" s="3853"/>
      <c r="E5" s="3878" t="s">
        <v>2057</v>
      </c>
      <c r="F5" s="3855"/>
      <c r="G5" s="3877" t="s">
        <v>2058</v>
      </c>
      <c r="H5" s="3853"/>
      <c r="I5" s="3877" t="s">
        <v>2059</v>
      </c>
      <c r="J5" s="3853"/>
      <c r="K5" s="1235"/>
      <c r="L5" s="1236"/>
      <c r="M5" s="1237"/>
      <c r="N5" s="1237"/>
      <c r="O5" s="1237"/>
      <c r="P5" s="3816"/>
      <c r="Q5" s="3817"/>
      <c r="R5" s="3822"/>
      <c r="S5" s="3823"/>
      <c r="T5" s="3822"/>
      <c r="U5" s="3823"/>
      <c r="V5" s="3813"/>
      <c r="W5" s="3813"/>
      <c r="X5" s="1279"/>
      <c r="Y5" s="3822"/>
      <c r="Z5" s="3823"/>
      <c r="AA5" s="3811"/>
      <c r="AB5" s="3811"/>
      <c r="AC5" s="3811"/>
    </row>
    <row r="6" spans="1:29" ht="15">
      <c r="A6" s="1092"/>
      <c r="B6" s="1093"/>
      <c r="C6" s="3900" t="s">
        <v>2231</v>
      </c>
      <c r="D6" s="3901"/>
      <c r="E6" s="3902" t="s">
        <v>2231</v>
      </c>
      <c r="F6" s="3903"/>
      <c r="G6" s="3900" t="s">
        <v>2231</v>
      </c>
      <c r="H6" s="3901"/>
      <c r="I6" s="3900" t="s">
        <v>2231</v>
      </c>
      <c r="J6" s="3901"/>
      <c r="K6" s="1235" t="s">
        <v>2061</v>
      </c>
      <c r="L6" s="1236"/>
      <c r="M6" s="1237"/>
      <c r="N6" s="1237"/>
      <c r="O6" s="1237"/>
      <c r="P6" s="3818"/>
      <c r="Q6" s="3819"/>
      <c r="R6" s="3822"/>
      <c r="S6" s="3823"/>
      <c r="T6" s="3824"/>
      <c r="U6" s="3825"/>
      <c r="V6" s="3813"/>
      <c r="W6" s="3813"/>
      <c r="X6" s="1279"/>
      <c r="Y6" s="3824"/>
      <c r="Z6" s="3825"/>
      <c r="AA6" s="3812"/>
      <c r="AB6" s="3812"/>
      <c r="AC6" s="3812"/>
    </row>
    <row r="7" spans="1:29" s="1069" customFormat="1" ht="15">
      <c r="A7" s="1094" t="s">
        <v>2062</v>
      </c>
      <c r="B7" s="1095"/>
      <c r="C7" s="1096">
        <f>'数据-取费表'!B2</f>
        <v>45300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831" t="s">
        <v>2063</v>
      </c>
      <c r="Q7" s="3847"/>
      <c r="R7" s="1280" t="s">
        <v>2064</v>
      </c>
      <c r="S7" s="1281">
        <f t="shared" ref="S7:S15" si="0">F7</f>
        <v>0</v>
      </c>
      <c r="T7" s="1280" t="s">
        <v>2064</v>
      </c>
      <c r="U7" s="1281">
        <f t="shared" ref="U7:U15" si="1">H7</f>
        <v>0</v>
      </c>
      <c r="V7" s="1280" t="s">
        <v>2064</v>
      </c>
      <c r="W7" s="1281">
        <f t="shared" ref="W7:W15" si="2">J7</f>
        <v>0</v>
      </c>
      <c r="X7" s="1282"/>
      <c r="Y7" s="3831" t="s">
        <v>2063</v>
      </c>
      <c r="Z7" s="3832"/>
      <c r="AA7" s="1294" t="e">
        <f>D7/F7</f>
        <v>#DIV/0!</v>
      </c>
      <c r="AB7" s="1294" t="e">
        <f>D7/H7</f>
        <v>#DIV/0!</v>
      </c>
      <c r="AC7" s="1294" t="e">
        <f>D7/J7</f>
        <v>#DIV/0!</v>
      </c>
    </row>
    <row r="8" spans="1:29" s="1069" customFormat="1" ht="15">
      <c r="A8" s="1094" t="s">
        <v>2065</v>
      </c>
      <c r="B8" s="1095"/>
      <c r="C8" s="1101" t="s">
        <v>2104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831" t="s">
        <v>2066</v>
      </c>
      <c r="Q8" s="3832"/>
      <c r="R8" s="1280" t="s">
        <v>2064</v>
      </c>
      <c r="S8" s="1281">
        <f t="shared" si="0"/>
        <v>0</v>
      </c>
      <c r="T8" s="1280" t="s">
        <v>2064</v>
      </c>
      <c r="U8" s="1281">
        <f t="shared" si="1"/>
        <v>0</v>
      </c>
      <c r="V8" s="1280" t="s">
        <v>2064</v>
      </c>
      <c r="W8" s="1281">
        <f t="shared" si="2"/>
        <v>0</v>
      </c>
      <c r="X8" s="1282"/>
      <c r="Y8" s="3831" t="s">
        <v>2066</v>
      </c>
      <c r="Z8" s="3832"/>
      <c r="AA8" s="1294" t="e">
        <f t="shared" ref="AA8:AA40" si="3">D8/F8</f>
        <v>#DIV/0!</v>
      </c>
      <c r="AB8" s="1294" t="e">
        <f t="shared" ref="AB8:AB40" si="4">D8/H8</f>
        <v>#DIV/0!</v>
      </c>
      <c r="AC8" s="1294" t="e">
        <f t="shared" ref="AC8:AC40" si="5">D8/J8</f>
        <v>#DIV/0!</v>
      </c>
    </row>
    <row r="9" spans="1:29" s="1069" customFormat="1">
      <c r="A9" s="1102" t="s">
        <v>2067</v>
      </c>
      <c r="B9" s="1103" t="s">
        <v>2068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826" t="s">
        <v>2069</v>
      </c>
      <c r="Q9" s="1284" t="str">
        <f t="shared" ref="Q9:Q15" si="6">B9</f>
        <v>用途</v>
      </c>
      <c r="R9" s="1280" t="s">
        <v>2064</v>
      </c>
      <c r="S9" s="1281">
        <f t="shared" si="0"/>
        <v>100</v>
      </c>
      <c r="T9" s="1280" t="s">
        <v>2064</v>
      </c>
      <c r="U9" s="1281">
        <f t="shared" si="1"/>
        <v>100</v>
      </c>
      <c r="V9" s="1280" t="s">
        <v>2064</v>
      </c>
      <c r="W9" s="1281">
        <f t="shared" si="2"/>
        <v>100</v>
      </c>
      <c r="X9" s="1282"/>
      <c r="Y9" s="3690" t="s">
        <v>2070</v>
      </c>
      <c r="Z9" s="1295" t="str">
        <f t="shared" ref="Z9:Z15" si="7">Q9</f>
        <v>用途</v>
      </c>
      <c r="AA9" s="1294">
        <f t="shared" si="3"/>
        <v>1</v>
      </c>
      <c r="AB9" s="1294">
        <f t="shared" si="4"/>
        <v>1</v>
      </c>
      <c r="AC9" s="1294">
        <f t="shared" si="5"/>
        <v>1</v>
      </c>
    </row>
    <row r="10" spans="1:29" s="1070" customFormat="1" ht="27">
      <c r="A10" s="1106"/>
      <c r="B10" s="1107" t="s">
        <v>2071</v>
      </c>
      <c r="C10" s="1108"/>
      <c r="D10" s="1109">
        <v>100</v>
      </c>
      <c r="E10" s="1108"/>
      <c r="F10" s="1109">
        <f>ROUND(100/'数据-取费表'!G16,0)</f>
        <v>121</v>
      </c>
      <c r="G10" s="1108"/>
      <c r="H10" s="1109">
        <f>ROUND(100/'数据-取费表'!G16,0)</f>
        <v>121</v>
      </c>
      <c r="I10" s="1108"/>
      <c r="J10" s="1109">
        <f>ROUND(100/'数据-取费表'!G16,0)</f>
        <v>121</v>
      </c>
      <c r="K10" s="1242"/>
      <c r="L10" s="1243"/>
      <c r="M10" s="1244"/>
      <c r="N10" s="1244"/>
      <c r="O10" s="1245"/>
      <c r="P10" s="3826"/>
      <c r="Q10" s="1284" t="str">
        <f t="shared" si="6"/>
        <v>土地使用年限（年）</v>
      </c>
      <c r="R10" s="1280" t="s">
        <v>2064</v>
      </c>
      <c r="S10" s="1281">
        <f t="shared" si="0"/>
        <v>121</v>
      </c>
      <c r="T10" s="1280" t="s">
        <v>2064</v>
      </c>
      <c r="U10" s="1281">
        <f t="shared" si="1"/>
        <v>121</v>
      </c>
      <c r="V10" s="1280" t="s">
        <v>2064</v>
      </c>
      <c r="W10" s="1281">
        <f t="shared" si="2"/>
        <v>121</v>
      </c>
      <c r="X10" s="1282"/>
      <c r="Y10" s="3690"/>
      <c r="Z10" s="1295" t="str">
        <f t="shared" si="7"/>
        <v>土地使用年限（年）</v>
      </c>
      <c r="AA10" s="1294">
        <f t="shared" si="3"/>
        <v>0.82644628099173556</v>
      </c>
      <c r="AB10" s="1294">
        <f t="shared" si="4"/>
        <v>0.82644628099173556</v>
      </c>
      <c r="AC10" s="1294">
        <f t="shared" si="5"/>
        <v>0.82644628099173556</v>
      </c>
    </row>
    <row r="11" spans="1:29" ht="15">
      <c r="A11" s="1110"/>
      <c r="B11" s="1107" t="s">
        <v>2072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826"/>
      <c r="Q11" s="1284" t="str">
        <f t="shared" si="6"/>
        <v>容积率</v>
      </c>
      <c r="R11" s="1280" t="s">
        <v>2064</v>
      </c>
      <c r="S11" s="1281" t="e">
        <f t="shared" si="0"/>
        <v>#N/A</v>
      </c>
      <c r="T11" s="1280" t="s">
        <v>2064</v>
      </c>
      <c r="U11" s="1281" t="e">
        <f t="shared" si="1"/>
        <v>#N/A</v>
      </c>
      <c r="V11" s="1280" t="s">
        <v>2064</v>
      </c>
      <c r="W11" s="1281" t="e">
        <f t="shared" si="2"/>
        <v>#N/A</v>
      </c>
      <c r="X11" s="1282"/>
      <c r="Y11" s="369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826"/>
      <c r="Q12" s="1284">
        <f t="shared" si="6"/>
        <v>111</v>
      </c>
      <c r="R12" s="1280" t="s">
        <v>2064</v>
      </c>
      <c r="S12" s="1281">
        <f t="shared" si="0"/>
        <v>100</v>
      </c>
      <c r="T12" s="1280" t="s">
        <v>2064</v>
      </c>
      <c r="U12" s="1281">
        <f t="shared" si="1"/>
        <v>100</v>
      </c>
      <c r="V12" s="1280" t="s">
        <v>2064</v>
      </c>
      <c r="W12" s="1281">
        <f t="shared" si="2"/>
        <v>100</v>
      </c>
      <c r="X12" s="1282"/>
      <c r="Y12" s="369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826"/>
      <c r="Q13" s="1284">
        <f t="shared" si="6"/>
        <v>111</v>
      </c>
      <c r="R13" s="1280" t="s">
        <v>2064</v>
      </c>
      <c r="S13" s="1281">
        <f t="shared" si="0"/>
        <v>100</v>
      </c>
      <c r="T13" s="1280" t="s">
        <v>2064</v>
      </c>
      <c r="U13" s="1281">
        <f t="shared" si="1"/>
        <v>100</v>
      </c>
      <c r="V13" s="1280" t="s">
        <v>2064</v>
      </c>
      <c r="W13" s="1281">
        <f t="shared" si="2"/>
        <v>100</v>
      </c>
      <c r="X13" s="1282"/>
      <c r="Y13" s="369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826"/>
      <c r="Q14" s="1284">
        <f t="shared" si="6"/>
        <v>111</v>
      </c>
      <c r="R14" s="1280" t="s">
        <v>2064</v>
      </c>
      <c r="S14" s="1281">
        <f t="shared" si="0"/>
        <v>100</v>
      </c>
      <c r="T14" s="1280" t="s">
        <v>2064</v>
      </c>
      <c r="U14" s="1281">
        <f t="shared" si="1"/>
        <v>100</v>
      </c>
      <c r="V14" s="1280" t="s">
        <v>2064</v>
      </c>
      <c r="W14" s="1281">
        <f t="shared" si="2"/>
        <v>100</v>
      </c>
      <c r="X14" s="1282"/>
      <c r="Y14" s="3690"/>
      <c r="Z14" s="1295">
        <f t="shared" si="7"/>
        <v>111</v>
      </c>
      <c r="AA14" s="1294">
        <f t="shared" si="3"/>
        <v>1</v>
      </c>
      <c r="AB14" s="1294">
        <f t="shared" si="4"/>
        <v>1</v>
      </c>
      <c r="AC14" s="1294">
        <f t="shared" si="5"/>
        <v>1</v>
      </c>
    </row>
    <row r="15" spans="1:29" ht="57">
      <c r="A15" s="1124" t="s">
        <v>2073</v>
      </c>
      <c r="B15" s="1125" t="s">
        <v>2159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839" t="s">
        <v>2075</v>
      </c>
      <c r="Q15" s="664" t="str">
        <f t="shared" si="6"/>
        <v>产业集聚程度</v>
      </c>
      <c r="R15" s="1285" t="s">
        <v>2064</v>
      </c>
      <c r="S15" s="1286">
        <f t="shared" si="0"/>
        <v>100</v>
      </c>
      <c r="T15" s="1285" t="s">
        <v>2064</v>
      </c>
      <c r="U15" s="1286">
        <f t="shared" si="1"/>
        <v>100</v>
      </c>
      <c r="V15" s="1285" t="s">
        <v>2064</v>
      </c>
      <c r="W15" s="1286">
        <f t="shared" si="2"/>
        <v>100</v>
      </c>
      <c r="X15" s="1279"/>
      <c r="Y15" s="3839" t="s">
        <v>2075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840"/>
      <c r="Q16" s="664"/>
      <c r="R16" s="1285"/>
      <c r="S16" s="1286"/>
      <c r="T16" s="1285"/>
      <c r="U16" s="1286"/>
      <c r="V16" s="1285"/>
      <c r="W16" s="1286"/>
      <c r="X16" s="1279"/>
      <c r="Y16" s="3840"/>
      <c r="Z16" s="1269"/>
      <c r="AA16" s="1296">
        <v>1</v>
      </c>
      <c r="AB16" s="1296">
        <v>1</v>
      </c>
      <c r="AC16" s="1296">
        <v>1</v>
      </c>
    </row>
    <row r="17" spans="1:29" ht="85.5">
      <c r="A17" s="1110"/>
      <c r="B17" s="1134" t="s">
        <v>2076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840"/>
      <c r="Q17" s="664" t="str">
        <f>B17</f>
        <v>交通便捷度</v>
      </c>
      <c r="R17" s="1285" t="s">
        <v>2064</v>
      </c>
      <c r="S17" s="1286">
        <f>F17</f>
        <v>100</v>
      </c>
      <c r="T17" s="1285" t="s">
        <v>2064</v>
      </c>
      <c r="U17" s="1286">
        <f>H17</f>
        <v>100</v>
      </c>
      <c r="V17" s="1285" t="s">
        <v>2064</v>
      </c>
      <c r="W17" s="1286">
        <f>J17</f>
        <v>100</v>
      </c>
      <c r="X17" s="1279"/>
      <c r="Y17" s="384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840"/>
      <c r="Q18" s="664"/>
      <c r="R18" s="1285"/>
      <c r="S18" s="1286"/>
      <c r="T18" s="1285"/>
      <c r="U18" s="1286"/>
      <c r="V18" s="1285"/>
      <c r="W18" s="1286"/>
      <c r="X18" s="1279"/>
      <c r="Y18" s="3840"/>
      <c r="Z18" s="1269"/>
      <c r="AA18" s="1296">
        <v>1</v>
      </c>
      <c r="AB18" s="1296">
        <v>1</v>
      </c>
      <c r="AC18" s="1296">
        <v>1</v>
      </c>
    </row>
    <row r="19" spans="1:29" ht="15">
      <c r="A19" s="1110"/>
      <c r="B19" s="1134" t="s">
        <v>2191</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840"/>
      <c r="Q19" s="664" t="str">
        <f t="shared" ref="Q19:Q34" si="8">B19</f>
        <v>区域土地利用方向</v>
      </c>
      <c r="R19" s="1285" t="s">
        <v>2064</v>
      </c>
      <c r="S19" s="1286">
        <f>F19</f>
        <v>100</v>
      </c>
      <c r="T19" s="1285" t="s">
        <v>2064</v>
      </c>
      <c r="U19" s="1286">
        <f>H19</f>
        <v>100</v>
      </c>
      <c r="V19" s="1285" t="s">
        <v>2064</v>
      </c>
      <c r="W19" s="1286">
        <f>J19</f>
        <v>100</v>
      </c>
      <c r="X19" s="1279"/>
      <c r="Y19" s="384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840"/>
      <c r="Q20" s="664"/>
      <c r="R20" s="1285"/>
      <c r="S20" s="1286"/>
      <c r="T20" s="1285"/>
      <c r="U20" s="1286"/>
      <c r="V20" s="1285"/>
      <c r="W20" s="1286"/>
      <c r="X20" s="1279"/>
      <c r="Y20" s="3840"/>
      <c r="Z20" s="1269"/>
      <c r="AA20" s="1296"/>
      <c r="AB20" s="1296"/>
      <c r="AC20" s="1296"/>
    </row>
    <row r="21" spans="1:29" ht="71.25">
      <c r="A21" s="1090"/>
      <c r="B21" s="1134" t="s">
        <v>2232</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840"/>
      <c r="Q21" s="664" t="str">
        <f t="shared" si="8"/>
        <v>环境状况</v>
      </c>
      <c r="R21" s="1285" t="s">
        <v>2064</v>
      </c>
      <c r="S21" s="1286">
        <f>F21</f>
        <v>100</v>
      </c>
      <c r="T21" s="1285" t="s">
        <v>2064</v>
      </c>
      <c r="U21" s="1286">
        <f>H21</f>
        <v>100</v>
      </c>
      <c r="V21" s="1285" t="s">
        <v>2064</v>
      </c>
      <c r="W21" s="1286">
        <f>J21</f>
        <v>100</v>
      </c>
      <c r="X21" s="1279"/>
      <c r="Y21" s="384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840"/>
      <c r="Q22" s="664"/>
      <c r="R22" s="1285"/>
      <c r="S22" s="1286"/>
      <c r="T22" s="1285"/>
      <c r="U22" s="1286"/>
      <c r="V22" s="1285"/>
      <c r="W22" s="1286"/>
      <c r="X22" s="1279"/>
      <c r="Y22" s="3840"/>
      <c r="Z22" s="1269"/>
      <c r="AA22" s="1296">
        <v>1</v>
      </c>
      <c r="AB22" s="1296">
        <v>1</v>
      </c>
      <c r="AC22" s="1296">
        <v>1</v>
      </c>
    </row>
    <row r="23" spans="1:29" s="1069" customFormat="1" ht="42.75">
      <c r="A23" s="1140"/>
      <c r="B23" s="1141" t="s">
        <v>2077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840"/>
      <c r="Q23" s="1284" t="str">
        <f t="shared" si="8"/>
        <v>公共配套设施</v>
      </c>
      <c r="R23" s="1280" t="s">
        <v>2064</v>
      </c>
      <c r="S23" s="1281">
        <f>F23</f>
        <v>100</v>
      </c>
      <c r="T23" s="1280" t="s">
        <v>2064</v>
      </c>
      <c r="U23" s="1281">
        <f>H23</f>
        <v>100</v>
      </c>
      <c r="V23" s="1280" t="s">
        <v>2064</v>
      </c>
      <c r="W23" s="1281">
        <f>J23</f>
        <v>100</v>
      </c>
      <c r="X23" s="1282"/>
      <c r="Y23" s="384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840"/>
      <c r="Q24" s="1284"/>
      <c r="R24" s="1280"/>
      <c r="S24" s="1281"/>
      <c r="T24" s="1280"/>
      <c r="U24" s="1281"/>
      <c r="V24" s="1280"/>
      <c r="W24" s="1281"/>
      <c r="X24" s="1282"/>
      <c r="Y24" s="3840"/>
      <c r="Z24" s="1295"/>
      <c r="AA24" s="1294">
        <v>1</v>
      </c>
      <c r="AB24" s="1294">
        <v>1</v>
      </c>
      <c r="AC24" s="1294">
        <v>1</v>
      </c>
    </row>
    <row r="25" spans="1:29" s="1069" customFormat="1" ht="28.5">
      <c r="A25" s="1140"/>
      <c r="B25" s="1141" t="s">
        <v>2078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840"/>
      <c r="Q25" s="1284" t="str">
        <f t="shared" ref="Q25" si="9">B25</f>
        <v>基础设施水平</v>
      </c>
      <c r="R25" s="1280" t="s">
        <v>2064</v>
      </c>
      <c r="S25" s="1281">
        <f>F25</f>
        <v>100</v>
      </c>
      <c r="T25" s="1280" t="s">
        <v>2064</v>
      </c>
      <c r="U25" s="1281">
        <f>H25</f>
        <v>100</v>
      </c>
      <c r="V25" s="1280" t="s">
        <v>2064</v>
      </c>
      <c r="W25" s="1281">
        <f>J25</f>
        <v>100</v>
      </c>
      <c r="X25" s="1282"/>
      <c r="Y25" s="384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840"/>
      <c r="Q26" s="1284"/>
      <c r="R26" s="1280"/>
      <c r="S26" s="1281"/>
      <c r="T26" s="1280"/>
      <c r="U26" s="1281"/>
      <c r="V26" s="1280"/>
      <c r="W26" s="1281"/>
      <c r="X26" s="1282"/>
      <c r="Y26" s="3840"/>
      <c r="Z26" s="1295"/>
      <c r="AA26" s="1294">
        <v>1</v>
      </c>
      <c r="AB26" s="1294">
        <v>1</v>
      </c>
      <c r="AC26" s="1294">
        <v>1</v>
      </c>
    </row>
    <row r="27" spans="1:29" ht="15">
      <c r="A27" s="1110"/>
      <c r="B27" s="1138" t="s">
        <v>2138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840"/>
      <c r="Q27" s="664" t="str">
        <f t="shared" si="8"/>
        <v>临街状况</v>
      </c>
      <c r="R27" s="1285" t="s">
        <v>2064</v>
      </c>
      <c r="S27" s="1286">
        <f t="shared" ref="S27:S40" si="10">F27</f>
        <v>100</v>
      </c>
      <c r="T27" s="1285" t="s">
        <v>2064</v>
      </c>
      <c r="U27" s="1286">
        <f t="shared" ref="U27:U40" si="11">H27</f>
        <v>100</v>
      </c>
      <c r="V27" s="1285" t="s">
        <v>2064</v>
      </c>
      <c r="W27" s="1286">
        <f t="shared" ref="W27:W40" si="12">J27</f>
        <v>100</v>
      </c>
      <c r="X27" s="1279"/>
      <c r="Y27" s="3840"/>
      <c r="Z27" s="1269" t="str">
        <f t="shared" ref="Z27:Z40" si="13">Q27</f>
        <v>临街状况</v>
      </c>
      <c r="AA27" s="1296">
        <f t="shared" si="3"/>
        <v>1</v>
      </c>
      <c r="AB27" s="1296">
        <f t="shared" si="4"/>
        <v>1</v>
      </c>
      <c r="AC27" s="1296">
        <f t="shared" si="5"/>
        <v>1</v>
      </c>
    </row>
    <row r="28" spans="1:29" ht="27">
      <c r="A28" s="1110"/>
      <c r="B28" s="1141" t="s">
        <v>2151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840"/>
      <c r="Q28" s="664" t="str">
        <f t="shared" si="8"/>
        <v>毗邻道路的类型与等级</v>
      </c>
      <c r="R28" s="1285" t="s">
        <v>2064</v>
      </c>
      <c r="S28" s="1286">
        <f t="shared" si="10"/>
        <v>100</v>
      </c>
      <c r="T28" s="1285" t="s">
        <v>2064</v>
      </c>
      <c r="U28" s="1286">
        <f t="shared" si="11"/>
        <v>100</v>
      </c>
      <c r="V28" s="1285" t="s">
        <v>2064</v>
      </c>
      <c r="W28" s="1286">
        <f t="shared" si="12"/>
        <v>100</v>
      </c>
      <c r="X28" s="1279"/>
      <c r="Y28" s="384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840"/>
      <c r="Q29" s="664"/>
      <c r="R29" s="1285"/>
      <c r="S29" s="1286"/>
      <c r="T29" s="1285"/>
      <c r="U29" s="1286"/>
      <c r="V29" s="1285"/>
      <c r="W29" s="1286"/>
      <c r="X29" s="1279"/>
      <c r="Y29" s="3840"/>
      <c r="Z29" s="1269"/>
      <c r="AA29" s="1296">
        <v>1</v>
      </c>
      <c r="AB29" s="1296">
        <v>1</v>
      </c>
      <c r="AC29" s="1296">
        <v>1</v>
      </c>
    </row>
    <row r="30" spans="1:29" ht="15">
      <c r="A30" s="1110"/>
      <c r="B30" s="1147" t="s">
        <v>2193</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840"/>
      <c r="Q30" s="664" t="str">
        <f t="shared" si="8"/>
        <v>土地级别</v>
      </c>
      <c r="R30" s="1285" t="s">
        <v>2064</v>
      </c>
      <c r="S30" s="1286">
        <f t="shared" si="10"/>
        <v>100</v>
      </c>
      <c r="T30" s="1285" t="s">
        <v>2064</v>
      </c>
      <c r="U30" s="1286">
        <f t="shared" si="11"/>
        <v>100</v>
      </c>
      <c r="V30" s="1285" t="s">
        <v>2064</v>
      </c>
      <c r="W30" s="1286">
        <f t="shared" si="12"/>
        <v>100</v>
      </c>
      <c r="X30" s="1279"/>
      <c r="Y30" s="384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840"/>
      <c r="Q31" s="664">
        <f t="shared" si="8"/>
        <v>111</v>
      </c>
      <c r="R31" s="1285" t="s">
        <v>2064</v>
      </c>
      <c r="S31" s="1286">
        <f t="shared" si="10"/>
        <v>100</v>
      </c>
      <c r="T31" s="1285" t="s">
        <v>2064</v>
      </c>
      <c r="U31" s="1286">
        <f t="shared" si="11"/>
        <v>100</v>
      </c>
      <c r="V31" s="1285" t="s">
        <v>2064</v>
      </c>
      <c r="W31" s="1286">
        <f t="shared" si="12"/>
        <v>100</v>
      </c>
      <c r="X31" s="1279"/>
      <c r="Y31" s="384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94" t="s">
        <v>2084</v>
      </c>
      <c r="Q32" s="664">
        <f t="shared" si="8"/>
        <v>111</v>
      </c>
      <c r="R32" s="1285" t="s">
        <v>2064</v>
      </c>
      <c r="S32" s="1286">
        <f t="shared" si="10"/>
        <v>100</v>
      </c>
      <c r="T32" s="1285" t="s">
        <v>2064</v>
      </c>
      <c r="U32" s="1286">
        <f t="shared" si="11"/>
        <v>100</v>
      </c>
      <c r="V32" s="1285" t="s">
        <v>2064</v>
      </c>
      <c r="W32" s="1286">
        <f t="shared" si="12"/>
        <v>100</v>
      </c>
      <c r="X32" s="1279"/>
      <c r="Y32" s="3841" t="s">
        <v>2084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841"/>
      <c r="Q33" s="664">
        <f t="shared" si="8"/>
        <v>111</v>
      </c>
      <c r="R33" s="1287" t="s">
        <v>2064</v>
      </c>
      <c r="S33" s="1288">
        <f t="shared" si="10"/>
        <v>100</v>
      </c>
      <c r="T33" s="1287" t="s">
        <v>2064</v>
      </c>
      <c r="U33" s="1288">
        <f t="shared" si="11"/>
        <v>100</v>
      </c>
      <c r="V33" s="1287" t="s">
        <v>2064</v>
      </c>
      <c r="W33" s="1288">
        <f t="shared" si="12"/>
        <v>100</v>
      </c>
      <c r="X33" s="1289"/>
      <c r="Y33" s="3841"/>
      <c r="Z33" s="1297">
        <f t="shared" si="13"/>
        <v>111</v>
      </c>
      <c r="AA33" s="1296">
        <f t="shared" si="3"/>
        <v>1</v>
      </c>
      <c r="AB33" s="1296">
        <f t="shared" si="4"/>
        <v>1</v>
      </c>
      <c r="AC33" s="1296">
        <f t="shared" si="5"/>
        <v>1</v>
      </c>
    </row>
    <row r="34" spans="1:31" ht="15">
      <c r="A34" s="1124" t="s">
        <v>2082</v>
      </c>
      <c r="B34" s="1158" t="s">
        <v>2194</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841"/>
      <c r="Q34" s="664" t="str">
        <f t="shared" si="8"/>
        <v>宗地面积</v>
      </c>
      <c r="R34" s="1285" t="s">
        <v>2064</v>
      </c>
      <c r="S34" s="1286" t="e">
        <f t="shared" si="10"/>
        <v>#N/A</v>
      </c>
      <c r="T34" s="1285" t="s">
        <v>2064</v>
      </c>
      <c r="U34" s="1286" t="e">
        <f t="shared" si="11"/>
        <v>#N/A</v>
      </c>
      <c r="V34" s="1285" t="s">
        <v>2064</v>
      </c>
      <c r="W34" s="1286" t="e">
        <f t="shared" si="12"/>
        <v>#N/A</v>
      </c>
      <c r="X34" s="1279"/>
      <c r="Y34" s="3841"/>
      <c r="Z34" s="1269" t="str">
        <f t="shared" si="13"/>
        <v>宗地面积</v>
      </c>
      <c r="AA34" s="1296" t="e">
        <f t="shared" si="3"/>
        <v>#N/A</v>
      </c>
      <c r="AB34" s="1296" t="e">
        <f t="shared" si="4"/>
        <v>#N/A</v>
      </c>
      <c r="AC34" s="1296" t="e">
        <f t="shared" si="5"/>
        <v>#N/A</v>
      </c>
    </row>
    <row r="35" spans="1:31" ht="15">
      <c r="A35" s="1161"/>
      <c r="B35" s="1107" t="s">
        <v>2195</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841"/>
      <c r="Q35" s="664" t="str">
        <f t="shared" ref="Q35:Q40" si="14">B35</f>
        <v>宗地形状</v>
      </c>
      <c r="R35" s="1285" t="s">
        <v>2064</v>
      </c>
      <c r="S35" s="1286">
        <f t="shared" si="10"/>
        <v>100</v>
      </c>
      <c r="T35" s="1285" t="s">
        <v>2064</v>
      </c>
      <c r="U35" s="1286">
        <f t="shared" si="11"/>
        <v>100</v>
      </c>
      <c r="V35" s="1285" t="s">
        <v>2064</v>
      </c>
      <c r="W35" s="1286">
        <f t="shared" si="12"/>
        <v>100</v>
      </c>
      <c r="X35" s="1279"/>
      <c r="Y35" s="3841"/>
      <c r="Z35" s="1269" t="str">
        <f t="shared" si="13"/>
        <v>宗地形状</v>
      </c>
      <c r="AA35" s="1296">
        <f t="shared" si="3"/>
        <v>1</v>
      </c>
      <c r="AB35" s="1296">
        <f t="shared" si="4"/>
        <v>1</v>
      </c>
      <c r="AC35" s="1296">
        <f t="shared" si="5"/>
        <v>1</v>
      </c>
    </row>
    <row r="36" spans="1:31" s="1069" customFormat="1" ht="15">
      <c r="A36" s="1163"/>
      <c r="B36" s="1107" t="s">
        <v>2197</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841"/>
      <c r="Q36" s="664" t="str">
        <f t="shared" si="14"/>
        <v>宗地开发程度</v>
      </c>
      <c r="R36" s="1280" t="s">
        <v>2064</v>
      </c>
      <c r="S36" s="1281">
        <f t="shared" si="10"/>
        <v>100</v>
      </c>
      <c r="T36" s="1280" t="s">
        <v>2064</v>
      </c>
      <c r="U36" s="1281">
        <f t="shared" si="11"/>
        <v>100</v>
      </c>
      <c r="V36" s="1280" t="s">
        <v>2064</v>
      </c>
      <c r="W36" s="1281">
        <f t="shared" si="12"/>
        <v>100</v>
      </c>
      <c r="X36" s="1282"/>
      <c r="Y36" s="3841"/>
      <c r="Z36" s="1295" t="str">
        <f t="shared" si="13"/>
        <v>宗地开发程度</v>
      </c>
      <c r="AA36" s="1294">
        <f t="shared" si="3"/>
        <v>1</v>
      </c>
      <c r="AB36" s="1294">
        <f t="shared" si="4"/>
        <v>1</v>
      </c>
      <c r="AC36" s="1294">
        <f t="shared" si="5"/>
        <v>1</v>
      </c>
    </row>
    <row r="37" spans="1:31" ht="15">
      <c r="A37" s="1161"/>
      <c r="B37" s="1107" t="s">
        <v>2198</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841" t="s">
        <v>2084</v>
      </c>
      <c r="Q37" s="664" t="str">
        <f t="shared" si="14"/>
        <v>工程地质条件</v>
      </c>
      <c r="R37" s="1285" t="s">
        <v>2064</v>
      </c>
      <c r="S37" s="1286">
        <f t="shared" si="10"/>
        <v>100</v>
      </c>
      <c r="T37" s="1285" t="s">
        <v>2064</v>
      </c>
      <c r="U37" s="1286">
        <f t="shared" si="11"/>
        <v>100</v>
      </c>
      <c r="V37" s="1285" t="s">
        <v>2064</v>
      </c>
      <c r="W37" s="1286">
        <f t="shared" si="12"/>
        <v>100</v>
      </c>
      <c r="X37" s="1279"/>
      <c r="Y37" s="3841" t="s">
        <v>2084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841"/>
      <c r="Q38" s="664">
        <f t="shared" si="14"/>
        <v>111</v>
      </c>
      <c r="R38" s="1285" t="s">
        <v>2064</v>
      </c>
      <c r="S38" s="1286">
        <f t="shared" si="10"/>
        <v>100</v>
      </c>
      <c r="T38" s="1285" t="s">
        <v>2064</v>
      </c>
      <c r="U38" s="1286">
        <f t="shared" si="11"/>
        <v>100</v>
      </c>
      <c r="V38" s="1285" t="s">
        <v>2064</v>
      </c>
      <c r="W38" s="1286">
        <f t="shared" si="12"/>
        <v>100</v>
      </c>
      <c r="X38" s="1279"/>
      <c r="Y38" s="384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841"/>
      <c r="Q39" s="664">
        <f t="shared" si="14"/>
        <v>111</v>
      </c>
      <c r="R39" s="1285" t="s">
        <v>2064</v>
      </c>
      <c r="S39" s="1286">
        <f t="shared" si="10"/>
        <v>100</v>
      </c>
      <c r="T39" s="1285" t="s">
        <v>2064</v>
      </c>
      <c r="U39" s="1286">
        <f t="shared" si="11"/>
        <v>100</v>
      </c>
      <c r="V39" s="1285" t="s">
        <v>2064</v>
      </c>
      <c r="W39" s="1286">
        <f t="shared" si="12"/>
        <v>100</v>
      </c>
      <c r="X39" s="1279"/>
      <c r="Y39" s="384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841"/>
      <c r="Q40" s="664">
        <f t="shared" si="14"/>
        <v>111</v>
      </c>
      <c r="R40" s="1287" t="s">
        <v>2064</v>
      </c>
      <c r="S40" s="1288">
        <f t="shared" si="10"/>
        <v>100</v>
      </c>
      <c r="T40" s="1287" t="s">
        <v>2064</v>
      </c>
      <c r="U40" s="1288">
        <f t="shared" si="11"/>
        <v>100</v>
      </c>
      <c r="V40" s="1287" t="s">
        <v>2064</v>
      </c>
      <c r="W40" s="1288">
        <f t="shared" si="12"/>
        <v>100</v>
      </c>
      <c r="X40" s="1289"/>
      <c r="Y40" s="3841"/>
      <c r="Z40" s="1297">
        <f t="shared" si="13"/>
        <v>111</v>
      </c>
      <c r="AA40" s="1296">
        <f t="shared" si="3"/>
        <v>1</v>
      </c>
      <c r="AB40" s="1296">
        <f t="shared" si="4"/>
        <v>1</v>
      </c>
      <c r="AC40" s="1296">
        <f t="shared" si="5"/>
        <v>1</v>
      </c>
    </row>
    <row r="41" spans="1:31" ht="15">
      <c r="A41" s="1168" t="s">
        <v>2180</v>
      </c>
      <c r="B41" s="1169" t="s">
        <v>2233</v>
      </c>
      <c r="C41" s="1170" t="s">
        <v>124</v>
      </c>
      <c r="D41" s="1171"/>
      <c r="E41" s="1172"/>
      <c r="F41" s="1173"/>
      <c r="G41" s="1174"/>
      <c r="H41" s="1175"/>
      <c r="I41" s="1172"/>
      <c r="J41" s="1175"/>
      <c r="K41" s="1260"/>
      <c r="L41" s="1261"/>
      <c r="M41" s="1237"/>
      <c r="N41" s="1237"/>
      <c r="O41" s="1185"/>
      <c r="P41" s="3826" t="str">
        <f>A41</f>
        <v>成交单价</v>
      </c>
      <c r="Q41" s="3826"/>
      <c r="R41" s="3813">
        <f>E41</f>
        <v>0</v>
      </c>
      <c r="S41" s="3813"/>
      <c r="T41" s="3813">
        <f>G41</f>
        <v>0</v>
      </c>
      <c r="U41" s="3813"/>
      <c r="V41" s="3813">
        <f>I41</f>
        <v>0</v>
      </c>
      <c r="W41" s="3813"/>
      <c r="X41" s="1225"/>
      <c r="Y41" s="1298"/>
      <c r="Z41" s="1225"/>
      <c r="AA41" s="1225"/>
      <c r="AB41" s="1225"/>
      <c r="AC41" s="1225"/>
    </row>
    <row r="42" spans="1:31" ht="15">
      <c r="A42" s="1176" t="s">
        <v>2096</v>
      </c>
      <c r="B42" s="1177"/>
      <c r="C42" s="1178" t="e">
        <f>R43</f>
        <v>#DIV/0!</v>
      </c>
      <c r="D42" s="1179" t="s">
        <v>2097</v>
      </c>
      <c r="E42" s="1178" t="e">
        <f>R42</f>
        <v>#DIV/0!</v>
      </c>
      <c r="F42" s="1180"/>
      <c r="G42" s="1181" t="e">
        <f>T42</f>
        <v>#DIV/0!</v>
      </c>
      <c r="H42" s="1180"/>
      <c r="I42" s="1178" t="e">
        <f>V42</f>
        <v>#DIV/0!</v>
      </c>
      <c r="J42" s="1180"/>
      <c r="K42" s="1262">
        <f>F42+H42+J42</f>
        <v>0</v>
      </c>
      <c r="L42" s="1261"/>
      <c r="M42" s="1237"/>
      <c r="N42" s="1237"/>
      <c r="O42" s="1185"/>
      <c r="P42" s="3826" t="str">
        <f>A42</f>
        <v>比较价值（元/平方米）</v>
      </c>
      <c r="Q42" s="3826"/>
      <c r="R42" s="3898" t="e">
        <f>ROUND(PRODUCT(R41,AA7:AA40),0)</f>
        <v>#DIV/0!</v>
      </c>
      <c r="S42" s="3898"/>
      <c r="T42" s="3898" t="e">
        <f>ROUND(PRODUCT(T41,AB7:AB40),0)</f>
        <v>#DIV/0!</v>
      </c>
      <c r="U42" s="3898"/>
      <c r="V42" s="3898" t="e">
        <f>ROUND(PRODUCT(V41,AC7:AC40),0)</f>
        <v>#DIV/0!</v>
      </c>
      <c r="W42" s="3898"/>
      <c r="X42" s="1225"/>
      <c r="Y42" s="1225"/>
      <c r="Z42" s="1225"/>
      <c r="AA42" s="1225"/>
      <c r="AB42" s="1225"/>
      <c r="AC42" s="1225"/>
    </row>
    <row r="43" spans="1:31" ht="15">
      <c r="A43" s="1182" t="s">
        <v>2098</v>
      </c>
      <c r="B43" s="1183"/>
      <c r="C43" s="1184" t="e">
        <f>R43</f>
        <v>#DIV/0!</v>
      </c>
      <c r="D43" s="1184"/>
      <c r="E43" s="1184"/>
      <c r="F43" s="1184"/>
      <c r="G43" s="1184"/>
      <c r="H43" s="1184"/>
      <c r="I43" s="1184"/>
      <c r="J43" s="1184"/>
      <c r="K43" s="1263"/>
      <c r="L43" s="1261"/>
      <c r="M43" s="1237"/>
      <c r="N43" s="1237"/>
      <c r="O43" s="1185"/>
      <c r="P43" s="3828" t="str">
        <f>A43</f>
        <v>估价对象XX用房的比较价值（楼面单价，元/平方米）</v>
      </c>
      <c r="Q43" s="3829"/>
      <c r="R43" s="3899" t="e">
        <f>ROUND(IF(D42="简单平均",AVERAGE(R42:W42),R42*F42+T42*H42+V42*J42),0)</f>
        <v>#DIV/0!</v>
      </c>
      <c r="S43" s="3899"/>
      <c r="T43" s="3899"/>
      <c r="U43" s="3899"/>
      <c r="V43" s="3899"/>
      <c r="W43" s="389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2099</v>
      </c>
      <c r="D46" s="709"/>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2100</v>
      </c>
      <c r="D47" s="708"/>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2101</v>
      </c>
      <c r="D48" s="708"/>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2201</v>
      </c>
      <c r="B50" s="1195" t="s">
        <v>2202</v>
      </c>
      <c r="C50" s="1196" t="s">
        <v>2203</v>
      </c>
      <c r="D50" s="1197" t="s">
        <v>2204</v>
      </c>
      <c r="E50" s="1198" t="s">
        <v>2205</v>
      </c>
      <c r="F50" s="1199" t="s">
        <v>2206</v>
      </c>
      <c r="G50" s="3848" t="s">
        <v>2207</v>
      </c>
      <c r="H50" s="3897"/>
      <c r="I50" s="1269" t="s">
        <v>2234</v>
      </c>
      <c r="J50" s="1269">
        <f>项目基本情况!F35</f>
        <v>0</v>
      </c>
      <c r="K50" s="1270" t="s">
        <v>2209</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2210</v>
      </c>
      <c r="B51" s="1201" t="e">
        <f>C43</f>
        <v>#DIV/0!</v>
      </c>
      <c r="C51" s="1202">
        <v>1</v>
      </c>
      <c r="D51" s="1203">
        <v>1</v>
      </c>
      <c r="E51" s="1202">
        <f>'数据-汇总表'!E8+'数据-汇总表'!E9</f>
        <v>38.93</v>
      </c>
      <c r="F51" s="1204" t="e">
        <f t="shared" ref="F51:F60" si="15">ROUND(B51*E51/10000,0)</f>
        <v>#DIV/0!</v>
      </c>
      <c r="G51" s="3833"/>
      <c r="H51" s="3826"/>
      <c r="I51" s="695">
        <v>1</v>
      </c>
      <c r="J51" s="695">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2211</v>
      </c>
      <c r="B52" s="395" t="e">
        <f>ROUND($C$43*C52*D52,0)</f>
        <v>#DIV/0!</v>
      </c>
      <c r="C52" s="582">
        <f t="shared" ref="C52:C60" si="16">IF($C$50="北京市系数",I52,J52)</f>
        <v>0.6</v>
      </c>
      <c r="D52" s="1206">
        <v>0.25</v>
      </c>
      <c r="E52" s="1207"/>
      <c r="F52" s="1204" t="e">
        <f t="shared" si="15"/>
        <v>#DIV/0!</v>
      </c>
      <c r="G52" s="1208" t="s">
        <v>2212</v>
      </c>
      <c r="H52" s="1209" t="str">
        <f>项目基本情况!B37</f>
        <v>六级</v>
      </c>
      <c r="I52" s="695">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2213</v>
      </c>
      <c r="B53" s="395" t="e">
        <f t="shared" ref="B53:B60" si="17">ROUND($C$43*C53*D53,0)</f>
        <v>#DIV/0!</v>
      </c>
      <c r="C53" s="582">
        <f t="shared" si="16"/>
        <v>0.3</v>
      </c>
      <c r="D53" s="1206">
        <v>0.25</v>
      </c>
      <c r="E53" s="1207"/>
      <c r="F53" s="1204" t="e">
        <f t="shared" si="15"/>
        <v>#DIV/0!</v>
      </c>
      <c r="G53" s="1210"/>
      <c r="H53" s="1209" t="str">
        <f>项目基本情况!B37</f>
        <v>六级</v>
      </c>
      <c r="I53" s="695">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2214</v>
      </c>
      <c r="B54" s="395" t="e">
        <f t="shared" si="17"/>
        <v>#DIV/0!</v>
      </c>
      <c r="C54" s="582">
        <f t="shared" si="16"/>
        <v>0.25</v>
      </c>
      <c r="D54" s="1206">
        <v>0.25</v>
      </c>
      <c r="E54" s="1207"/>
      <c r="F54" s="1204" t="e">
        <f t="shared" si="15"/>
        <v>#DIV/0!</v>
      </c>
      <c r="G54" s="1210"/>
      <c r="H54" s="1209" t="str">
        <f>项目基本情况!B37</f>
        <v>六级</v>
      </c>
      <c r="I54" s="695">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5"/>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2215</v>
      </c>
      <c r="B56" s="395" t="e">
        <f t="shared" si="17"/>
        <v>#DIV/0!</v>
      </c>
      <c r="C56" s="582">
        <f t="shared" si="16"/>
        <v>0.25</v>
      </c>
      <c r="D56" s="1206">
        <v>0.25</v>
      </c>
      <c r="E56" s="394">
        <f>'数据-汇总表'!E11</f>
        <v>0</v>
      </c>
      <c r="F56" s="1204" t="e">
        <f t="shared" si="15"/>
        <v>#DIV/0!</v>
      </c>
      <c r="G56" s="1212" t="s">
        <v>2216</v>
      </c>
      <c r="H56" s="1209" t="str">
        <f>项目基本情况!C37</f>
        <v>六级</v>
      </c>
      <c r="I56" s="695">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2217</v>
      </c>
      <c r="B57" s="395" t="e">
        <f t="shared" si="17"/>
        <v>#DIV/0!</v>
      </c>
      <c r="C57" s="582">
        <f t="shared" si="16"/>
        <v>0.25</v>
      </c>
      <c r="D57" s="1206">
        <v>0.25</v>
      </c>
      <c r="E57" s="394">
        <f>'数据-汇总表'!E12</f>
        <v>0</v>
      </c>
      <c r="F57" s="1204" t="e">
        <f t="shared" si="15"/>
        <v>#DIV/0!</v>
      </c>
      <c r="G57" s="1213" t="s">
        <v>2218</v>
      </c>
      <c r="H57" s="1209" t="str">
        <f>IF(G57="商业",项目基本情况!B37,IF(G57="办公",项目基本情况!C37,IF(G57="住宅",项目基本情况!D37,项目基本情况!E37)))</f>
        <v>六级</v>
      </c>
      <c r="I57" s="695">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2219</v>
      </c>
      <c r="B58" s="395" t="e">
        <f t="shared" si="17"/>
        <v>#DIV/0!</v>
      </c>
      <c r="C58" s="582">
        <f t="shared" si="16"/>
        <v>0</v>
      </c>
      <c r="D58" s="1206">
        <v>0.25</v>
      </c>
      <c r="E58" s="394">
        <f>'数据-汇总表'!E13</f>
        <v>0</v>
      </c>
      <c r="F58" s="1204" t="e">
        <f t="shared" si="15"/>
        <v>#DIV/0!</v>
      </c>
      <c r="G58" s="1213" t="s">
        <v>2220</v>
      </c>
      <c r="H58" s="1209">
        <f>IF(G58="商业",项目基本情况!B37,IF(G58="办公",项目基本情况!C37,IF(G58="住宅",项目基本情况!D37,项目基本情况!E37)))</f>
        <v>0</v>
      </c>
      <c r="I58" s="695">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2221</v>
      </c>
      <c r="B59" s="395" t="e">
        <f t="shared" si="17"/>
        <v>#DIV/0!</v>
      </c>
      <c r="C59" s="582">
        <f t="shared" si="16"/>
        <v>0.15</v>
      </c>
      <c r="D59" s="1206">
        <v>0.25</v>
      </c>
      <c r="E59" s="394">
        <f>'数据-汇总表'!E14</f>
        <v>0</v>
      </c>
      <c r="F59" s="1204" t="e">
        <f t="shared" si="15"/>
        <v>#DIV/0!</v>
      </c>
      <c r="G59" s="1212" t="s">
        <v>2212</v>
      </c>
      <c r="H59" s="1209" t="str">
        <f>项目基本情况!B37</f>
        <v>六级</v>
      </c>
      <c r="I59" s="695">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2222</v>
      </c>
      <c r="B60" s="395" t="e">
        <f t="shared" si="17"/>
        <v>#DIV/0!</v>
      </c>
      <c r="C60" s="582">
        <f t="shared" si="16"/>
        <v>0.15</v>
      </c>
      <c r="D60" s="1206">
        <v>0.25</v>
      </c>
      <c r="E60" s="394">
        <f>'数据-汇总表'!E15</f>
        <v>0</v>
      </c>
      <c r="F60" s="1204" t="e">
        <f t="shared" si="15"/>
        <v>#DIV/0!</v>
      </c>
      <c r="G60" s="1214" t="s">
        <v>2216</v>
      </c>
      <c r="H60" s="1215" t="str">
        <f>项目基本情况!C37</f>
        <v>六级</v>
      </c>
      <c r="I60" s="695">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2223</v>
      </c>
      <c r="B61" s="1217" t="s">
        <v>2224</v>
      </c>
      <c r="C61" s="1217" t="s">
        <v>2224</v>
      </c>
      <c r="D61" s="1217" t="s">
        <v>2224</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2024-1-1</v>
      </c>
      <c r="D63" s="1223">
        <f>EDATE(C63,-3)</f>
        <v>45200</v>
      </c>
      <c r="E63" s="1223">
        <f>EDATE(D63,-3)</f>
        <v>45108</v>
      </c>
      <c r="F63" s="1223">
        <f t="shared" ref="F63:O63" si="18">EDATE(E63,-3)</f>
        <v>45017</v>
      </c>
      <c r="G63" s="1223">
        <f t="shared" si="18"/>
        <v>44927</v>
      </c>
      <c r="H63" s="1223">
        <f t="shared" si="18"/>
        <v>44835</v>
      </c>
      <c r="I63" s="1223">
        <f t="shared" si="18"/>
        <v>44743</v>
      </c>
      <c r="J63" s="1223">
        <f t="shared" si="18"/>
        <v>44652</v>
      </c>
      <c r="K63" s="1223">
        <f t="shared" si="18"/>
        <v>44562</v>
      </c>
      <c r="L63" s="1223">
        <f t="shared" si="18"/>
        <v>44470</v>
      </c>
      <c r="M63" s="1223">
        <f t="shared" si="18"/>
        <v>44378</v>
      </c>
      <c r="N63" s="1223">
        <f t="shared" si="18"/>
        <v>44287</v>
      </c>
      <c r="O63" s="1223">
        <f t="shared" si="18"/>
        <v>44197</v>
      </c>
      <c r="P63" s="1185"/>
      <c r="Q63" s="1185"/>
      <c r="R63" s="1185"/>
      <c r="S63" s="1185"/>
      <c r="T63" s="1185"/>
      <c r="U63" s="1185"/>
      <c r="V63" s="1185"/>
      <c r="W63" s="1185"/>
      <c r="X63" s="1185"/>
      <c r="Y63" s="1185"/>
      <c r="Z63" s="1185"/>
      <c r="AA63" s="1185"/>
      <c r="AB63" s="1185"/>
      <c r="AC63" s="1185"/>
      <c r="AD63" s="1185"/>
      <c r="AE63" s="1185"/>
    </row>
    <row r="64" spans="1:31" ht="21">
      <c r="A64" s="1224" t="s">
        <v>2102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2225</v>
      </c>
      <c r="B65" s="1300"/>
      <c r="C65" s="1301" t="str">
        <f>YEAR(C63)&amp;"-"&amp;ROUNDUP(MONTH(C63)/3,0)</f>
        <v>2024-1</v>
      </c>
      <c r="D65" s="1301" t="str">
        <f t="shared" ref="D65:O65" si="19">YEAR(D63)&amp;"-"&amp;ROUNDUP(MONTH(D63)/3,0)</f>
        <v>2023-4</v>
      </c>
      <c r="E65" s="1301" t="str">
        <f t="shared" si="19"/>
        <v>2023-3</v>
      </c>
      <c r="F65" s="1301" t="str">
        <f t="shared" si="19"/>
        <v>2023-2</v>
      </c>
      <c r="G65" s="1301" t="str">
        <f t="shared" si="19"/>
        <v>2023-1</v>
      </c>
      <c r="H65" s="1301" t="str">
        <f t="shared" si="19"/>
        <v>2022-4</v>
      </c>
      <c r="I65" s="1301" t="str">
        <f t="shared" si="19"/>
        <v>2022-3</v>
      </c>
      <c r="J65" s="1301" t="str">
        <f t="shared" si="19"/>
        <v>2022-2</v>
      </c>
      <c r="K65" s="1301" t="str">
        <f t="shared" si="19"/>
        <v>2022-1</v>
      </c>
      <c r="L65" s="1301" t="str">
        <f t="shared" si="19"/>
        <v>2021-4</v>
      </c>
      <c r="M65" s="1301" t="str">
        <f t="shared" si="19"/>
        <v>2021-3</v>
      </c>
      <c r="N65" s="1301" t="str">
        <f t="shared" si="19"/>
        <v>2021-2</v>
      </c>
      <c r="O65" s="1301" t="str">
        <f t="shared" si="19"/>
        <v>2021-1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2235</v>
      </c>
      <c r="B66" s="1303" t="str">
        <f>"北京市平均增长率"&amp;TEXT('基准地价修正-商业'!P28,"0.00%")</f>
        <v>北京市平均增长率0.00%</v>
      </c>
      <c r="C66" s="842">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2103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2065</v>
      </c>
      <c r="B68" s="1310"/>
      <c r="C68" s="1311" t="s">
        <v>2104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2105</v>
      </c>
      <c r="B70" s="1316" t="s">
        <v>2068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2071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2072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2073</v>
      </c>
      <c r="B83" s="1316" t="s">
        <v>2159</v>
      </c>
      <c r="C83" s="1337" t="s">
        <v>2106</v>
      </c>
      <c r="D83" s="1337" t="s">
        <v>2107</v>
      </c>
      <c r="E83" s="1337" t="s">
        <v>2108</v>
      </c>
      <c r="F83" s="1337" t="s">
        <v>2109</v>
      </c>
      <c r="G83" s="1337" t="s">
        <v>2110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2076</v>
      </c>
      <c r="C85" s="1339" t="s">
        <v>2106</v>
      </c>
      <c r="D85" s="1339" t="s">
        <v>2107</v>
      </c>
      <c r="E85" s="1339" t="s">
        <v>2108</v>
      </c>
      <c r="F85" s="1339" t="s">
        <v>2109</v>
      </c>
      <c r="G85" s="1339" t="s">
        <v>2110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2191</v>
      </c>
      <c r="C87" s="1337" t="s">
        <v>2106</v>
      </c>
      <c r="D87" s="1337" t="s">
        <v>2107</v>
      </c>
      <c r="E87" s="1337" t="s">
        <v>2108</v>
      </c>
      <c r="F87" s="1337" t="s">
        <v>2109</v>
      </c>
      <c r="G87" s="1337" t="s">
        <v>2110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2192</v>
      </c>
      <c r="C89" s="1337" t="s">
        <v>2106</v>
      </c>
      <c r="D89" s="1337" t="s">
        <v>2107</v>
      </c>
      <c r="E89" s="1337" t="s">
        <v>2108</v>
      </c>
      <c r="F89" s="1337" t="s">
        <v>2109</v>
      </c>
      <c r="G89" s="1337" t="s">
        <v>2110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2077</v>
      </c>
      <c r="C91" s="1337" t="s">
        <v>2106</v>
      </c>
      <c r="D91" s="1337" t="s">
        <v>2107</v>
      </c>
      <c r="E91" s="1337" t="s">
        <v>2108</v>
      </c>
      <c r="F91" s="1337" t="s">
        <v>2109</v>
      </c>
      <c r="G91" s="1337" t="s">
        <v>2110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2078</v>
      </c>
      <c r="C93" s="1344" t="s">
        <v>2111</v>
      </c>
      <c r="D93" s="1344" t="s">
        <v>2112</v>
      </c>
      <c r="E93" s="1344" t="s">
        <v>2113</v>
      </c>
      <c r="F93" s="1344" t="s">
        <v>2114</v>
      </c>
      <c r="G93" s="1344" t="s">
        <v>2115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2227</v>
      </c>
      <c r="D95" s="1321" t="s">
        <v>2228</v>
      </c>
      <c r="E95" s="1321" t="s">
        <v>2229</v>
      </c>
      <c r="F95" s="1321" t="s">
        <v>2230</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2151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2193</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2082</v>
      </c>
      <c r="B107" s="1316" t="s">
        <v>2194</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2195</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2197</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2198</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pane="bottomLeft" activeCell="V45" sqref="V45"/>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2236</v>
      </c>
      <c r="C1" s="3904" t="s">
        <v>2237</v>
      </c>
      <c r="D1" s="3905"/>
      <c r="E1" s="3905"/>
      <c r="F1" s="3905"/>
      <c r="G1" s="3905"/>
      <c r="H1" s="3905"/>
      <c r="I1" s="3905"/>
      <c r="J1" s="3905"/>
      <c r="K1" s="3905"/>
      <c r="L1" s="3905"/>
      <c r="M1" s="3905"/>
      <c r="N1" s="3905"/>
      <c r="O1" s="3905"/>
      <c r="P1" s="3905"/>
      <c r="Q1" s="3905"/>
      <c r="R1" s="3905"/>
      <c r="S1" s="3906"/>
      <c r="T1" s="953" t="s">
        <v>2238</v>
      </c>
    </row>
    <row r="2" spans="1:45" s="943" customFormat="1" ht="38.25">
      <c r="A2" s="954"/>
      <c r="B2" s="955" t="s">
        <v>458</v>
      </c>
      <c r="C2" s="956" t="str">
        <f t="shared" ref="C2:L2" si="0">C3&amp;"(含)"&amp;"-"&amp;D3</f>
        <v>0(含)-100</v>
      </c>
      <c r="D2" s="957" t="str">
        <f t="shared" si="0"/>
        <v>100(含)-200</v>
      </c>
      <c r="E2" s="957" t="str">
        <f t="shared" si="0"/>
        <v>200(含)-300</v>
      </c>
      <c r="F2" s="957" t="str">
        <f t="shared" si="0"/>
        <v>300(含)-400</v>
      </c>
      <c r="G2" s="957" t="str">
        <f t="shared" si="0"/>
        <v>400(含)-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4" customFormat="1">
      <c r="A3" s="958"/>
      <c r="B3" s="959"/>
      <c r="C3" s="960">
        <f>'比较法-商业'!C103</f>
        <v>0</v>
      </c>
      <c r="D3" s="960">
        <f>'比较法-商业'!D103</f>
        <v>100</v>
      </c>
      <c r="E3" s="960">
        <f>'比较法-商业'!E103</f>
        <v>200</v>
      </c>
      <c r="F3" s="960">
        <f>'比较法-商业'!F103</f>
        <v>300</v>
      </c>
      <c r="G3" s="960">
        <f>'比较法-商业'!G103</f>
        <v>400</v>
      </c>
      <c r="H3" s="961"/>
      <c r="I3" s="961"/>
      <c r="J3" s="961"/>
      <c r="K3" s="961"/>
      <c r="L3" s="890"/>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4" customFormat="1">
      <c r="A4" s="962"/>
      <c r="B4" s="963"/>
      <c r="C4" s="964">
        <f>'比较法-商业'!C104</f>
        <v>100</v>
      </c>
      <c r="D4" s="964">
        <f>'比较法-商业'!D104</f>
        <v>99</v>
      </c>
      <c r="E4" s="964">
        <f>'比较法-商业'!E104</f>
        <v>98</v>
      </c>
      <c r="F4" s="964">
        <f>'比较法-商业'!F104</f>
        <v>97</v>
      </c>
      <c r="G4" s="964">
        <f>'比较法-商业'!G104</f>
        <v>96</v>
      </c>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5" customFormat="1">
      <c r="A5" s="967"/>
      <c r="B5" s="968" t="s">
        <v>2239</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5"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5" customFormat="1">
      <c r="A7" s="967"/>
      <c r="B7" s="976" t="s">
        <v>2240</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5"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5" customFormat="1">
      <c r="A9" s="967"/>
      <c r="B9" s="976" t="s">
        <v>2241</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5" customFormat="1">
      <c r="A10" s="967"/>
      <c r="B10" s="963"/>
      <c r="C10" s="980">
        <v>100</v>
      </c>
      <c r="D10" s="981">
        <f>C10-$T9</f>
        <v>100</v>
      </c>
      <c r="E10" s="981">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5" customFormat="1">
      <c r="A11" s="967"/>
      <c r="B11" s="968" t="s">
        <v>2242</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5"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5" customFormat="1">
      <c r="A13" s="967"/>
      <c r="B13" s="968" t="s">
        <v>2243</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5"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5" customFormat="1">
      <c r="A15" s="967"/>
      <c r="B15" s="968" t="s">
        <v>2244</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5"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3" customFormat="1">
      <c r="A17" s="984" t="s">
        <v>2245</v>
      </c>
      <c r="B17" s="985" t="s">
        <v>2246</v>
      </c>
      <c r="C17" s="986" t="s">
        <v>3392</v>
      </c>
      <c r="D17" s="987" t="s">
        <v>3393</v>
      </c>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3" customFormat="1">
      <c r="A18" s="988"/>
      <c r="B18" s="989"/>
      <c r="C18" s="990">
        <v>100</v>
      </c>
      <c r="D18" s="991">
        <v>75</v>
      </c>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2247</v>
      </c>
      <c r="E19" s="995"/>
      <c r="F19" s="995"/>
      <c r="G19" s="995"/>
      <c r="H19" s="996"/>
      <c r="I19" s="993"/>
      <c r="J19" s="993"/>
      <c r="K19" s="993"/>
      <c r="L19" s="993"/>
      <c r="M19" s="993"/>
      <c r="N19" s="993"/>
      <c r="O19" s="993"/>
      <c r="P19" s="993"/>
      <c r="Q19" s="993"/>
      <c r="R19" s="1060"/>
      <c r="S19" s="992"/>
    </row>
    <row r="20" spans="1:45" ht="15.75">
      <c r="A20" s="997" t="s">
        <v>2248</v>
      </c>
      <c r="B20" s="998">
        <f ca="1">IF(D20="——",S22,S22-F20)</f>
        <v>6665</v>
      </c>
      <c r="C20" s="993"/>
      <c r="D20" s="999" t="s">
        <v>124</v>
      </c>
      <c r="E20" s="1000"/>
      <c r="F20" s="953" t="e">
        <f ca="1">SUMIF(INDIRECT("'"&amp;H20&amp;"'"&amp;"!A:A"),"承租人权益价值",INDIRECT("'"&amp;H20&amp;"'"&amp;"!c:c"))</f>
        <v>#REF!</v>
      </c>
      <c r="G20" s="953" t="s">
        <v>1372</v>
      </c>
      <c r="H20" s="1001"/>
      <c r="I20" s="993"/>
      <c r="J20" s="993"/>
      <c r="K20" s="993"/>
      <c r="L20" s="993"/>
      <c r="M20" s="993"/>
      <c r="N20" s="993"/>
      <c r="O20" s="993"/>
      <c r="P20" s="993"/>
      <c r="Q20" s="993"/>
      <c r="R20" s="1060"/>
      <c r="S20" s="992"/>
    </row>
    <row r="21" spans="1:45" ht="15.75">
      <c r="A21" s="997" t="s">
        <v>2249</v>
      </c>
      <c r="B21" s="998">
        <f ca="1">ROUND(B20*10000/B22,0)</f>
        <v>11559</v>
      </c>
      <c r="C21" s="993"/>
      <c r="D21" s="993"/>
      <c r="E21" s="993"/>
      <c r="F21" s="993"/>
      <c r="G21" s="993"/>
      <c r="H21" s="993"/>
      <c r="I21" s="993"/>
      <c r="J21" s="993"/>
      <c r="K21" s="993"/>
      <c r="L21" s="993"/>
      <c r="M21" s="993"/>
      <c r="N21" s="993"/>
      <c r="O21" s="993"/>
      <c r="P21" s="993"/>
      <c r="Q21" s="993"/>
      <c r="R21" s="1060"/>
      <c r="S21" s="992"/>
    </row>
    <row r="22" spans="1:45">
      <c r="A22" s="1002" t="s">
        <v>2250</v>
      </c>
      <c r="B22" s="1003">
        <f>SUM(B24:B10000)</f>
        <v>5766.04</v>
      </c>
      <c r="C22" s="3907" t="s">
        <v>124</v>
      </c>
      <c r="D22" s="3908"/>
      <c r="E22" s="3908"/>
      <c r="F22" s="3908"/>
      <c r="G22" s="3908"/>
      <c r="H22" s="3908"/>
      <c r="I22" s="3908"/>
      <c r="J22" s="3908"/>
      <c r="K22" s="3908"/>
      <c r="L22" s="3908"/>
      <c r="M22" s="3908"/>
      <c r="N22" s="3908"/>
      <c r="O22" s="3908"/>
      <c r="P22" s="3908"/>
      <c r="Q22" s="3909"/>
      <c r="R22" s="1062">
        <f ca="1">ROUND(S22*10000/B22,0)</f>
        <v>11559</v>
      </c>
      <c r="S22" s="1003">
        <f ca="1">SUM(S24:S10000)</f>
        <v>6665</v>
      </c>
    </row>
    <row r="23" spans="1:45" s="946" customFormat="1" ht="24">
      <c r="A23" s="1006" t="s">
        <v>2251</v>
      </c>
      <c r="B23" s="1006" t="s">
        <v>458</v>
      </c>
      <c r="C23" s="1006" t="s">
        <v>2238</v>
      </c>
      <c r="D23" s="1006" t="str">
        <f>B5</f>
        <v>修正项2</v>
      </c>
      <c r="E23" s="1006" t="s">
        <v>2238</v>
      </c>
      <c r="F23" s="1006" t="str">
        <f>B7</f>
        <v>修正项3</v>
      </c>
      <c r="G23" s="1006" t="s">
        <v>2238</v>
      </c>
      <c r="H23" s="1006" t="str">
        <f>B9</f>
        <v>修正项4</v>
      </c>
      <c r="I23" s="1006" t="s">
        <v>2238</v>
      </c>
      <c r="J23" s="1006" t="str">
        <f>B11</f>
        <v>修正项5</v>
      </c>
      <c r="K23" s="1006" t="s">
        <v>2238</v>
      </c>
      <c r="L23" s="1006" t="str">
        <f>B13</f>
        <v>修正项6</v>
      </c>
      <c r="M23" s="1006" t="s">
        <v>2238</v>
      </c>
      <c r="N23" s="1006" t="str">
        <f>B15</f>
        <v>修正项7</v>
      </c>
      <c r="O23" s="1006" t="s">
        <v>2238</v>
      </c>
      <c r="P23" s="1006" t="str">
        <f>B17</f>
        <v>楼层</v>
      </c>
      <c r="Q23" s="1006" t="s">
        <v>2238</v>
      </c>
      <c r="R23" s="1063" t="s">
        <v>2252</v>
      </c>
      <c r="S23" s="1006" t="s">
        <v>2253</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7" customFormat="1">
      <c r="A24" s="1007" t="str">
        <f>兴盛国际不动产查询!A3</f>
        <v>1层102</v>
      </c>
      <c r="B24" s="1007">
        <f>兴盛国际不动产查询!B3</f>
        <v>96.4</v>
      </c>
      <c r="C24" s="1008">
        <v>1</v>
      </c>
      <c r="D24" s="1009"/>
      <c r="E24" s="1008">
        <v>1</v>
      </c>
      <c r="F24" s="1009"/>
      <c r="G24" s="1008">
        <v>1</v>
      </c>
      <c r="H24" s="1009"/>
      <c r="I24" s="1008">
        <v>1</v>
      </c>
      <c r="J24" s="1009"/>
      <c r="K24" s="1008">
        <v>1</v>
      </c>
      <c r="L24" s="1009"/>
      <c r="M24" s="1008">
        <v>1</v>
      </c>
      <c r="N24" s="1009"/>
      <c r="O24" s="1008">
        <v>1</v>
      </c>
      <c r="P24" s="1009" t="s">
        <v>609</v>
      </c>
      <c r="Q24" s="1008">
        <v>1</v>
      </c>
      <c r="R24" s="1065">
        <f ca="1">结果表!G20</f>
        <v>13946</v>
      </c>
      <c r="S24" s="1066">
        <f t="shared" ref="S24:S54" ca="1" si="11">ROUND(R24*B24/10000,0)</f>
        <v>134</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07" t="str">
        <f>兴盛国际不动产查询!A4</f>
        <v>1层103</v>
      </c>
      <c r="B25" s="1007">
        <f>兴盛国际不动产查询!B4</f>
        <v>222.5</v>
      </c>
      <c r="C25" s="1003">
        <f>IF(B25="",1,(LOOKUP(B25,$3:$3,$4:$4)-LOOKUP($B$24,$3:$3,$4:$4)+100)/100)</f>
        <v>0.98</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t="s">
        <v>609</v>
      </c>
      <c r="Q25" s="1003">
        <f>(SUMIF($17:$17,P25,$18:$18)-SUMIF($17:$17,$P$24,$18:$18)+100)/100</f>
        <v>1</v>
      </c>
      <c r="R25" s="1062">
        <f ca="1">IF(B25="",0,ROUND($R$24*C25*E25*G25*I25*K25*M25*O25*Q25,0))</f>
        <v>13667</v>
      </c>
      <c r="S25" s="1002">
        <f t="shared" ca="1" si="11"/>
        <v>304</v>
      </c>
    </row>
    <row r="26" spans="1:45">
      <c r="A26" s="1007" t="str">
        <f>兴盛国际不动产查询!A5</f>
        <v>1层104</v>
      </c>
      <c r="B26" s="1007">
        <f>兴盛国际不动产查询!B5</f>
        <v>387.85</v>
      </c>
      <c r="C26" s="1003">
        <f t="shared" ref="C26:C89" si="12">IF(B26="",1,(LOOKUP(B26,$3:$3,$4:$4)-LOOKUP($B$24,$3:$3,$4:$4)+100)/100)</f>
        <v>0.97</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t="s">
        <v>609</v>
      </c>
      <c r="Q26" s="1003">
        <f t="shared" ref="Q26:Q89" si="19">(SUMIF($17:$17,P26,$18:$18)-SUMIF($17:$17,$P$24,$18:$18)+100)/100</f>
        <v>1</v>
      </c>
      <c r="R26" s="1062">
        <f t="shared" ref="R26:R89" ca="1" si="20">IF(B26="",0,ROUND($R$24*C26*E26*G26*I26*K26*M26*O26*Q26,0))</f>
        <v>13528</v>
      </c>
      <c r="S26" s="1002">
        <f t="shared" ca="1" si="11"/>
        <v>525</v>
      </c>
    </row>
    <row r="27" spans="1:45">
      <c r="A27" s="1007" t="str">
        <f>兴盛国际不动产查询!A6</f>
        <v>1层105</v>
      </c>
      <c r="B27" s="1007">
        <f>兴盛国际不动产查询!B6</f>
        <v>880.1</v>
      </c>
      <c r="C27" s="1003">
        <f t="shared" si="12"/>
        <v>0.96</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t="s">
        <v>609</v>
      </c>
      <c r="Q27" s="1003">
        <f t="shared" si="19"/>
        <v>1</v>
      </c>
      <c r="R27" s="1062">
        <f t="shared" ca="1" si="20"/>
        <v>13388</v>
      </c>
      <c r="S27" s="1002">
        <f t="shared" ca="1" si="11"/>
        <v>1178</v>
      </c>
    </row>
    <row r="28" spans="1:45">
      <c r="A28" s="1007" t="str">
        <f>兴盛国际不动产查询!A7</f>
        <v>1层107</v>
      </c>
      <c r="B28" s="1007">
        <f>兴盛国际不动产查询!B7</f>
        <v>359.64</v>
      </c>
      <c r="C28" s="1003">
        <f t="shared" si="12"/>
        <v>0.97</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t="s">
        <v>609</v>
      </c>
      <c r="Q28" s="1003">
        <f t="shared" si="19"/>
        <v>1</v>
      </c>
      <c r="R28" s="1062">
        <f t="shared" ca="1" si="20"/>
        <v>13528</v>
      </c>
      <c r="S28" s="1002">
        <f t="shared" ca="1" si="11"/>
        <v>487</v>
      </c>
    </row>
    <row r="29" spans="1:45">
      <c r="A29" s="1007" t="str">
        <f>兴盛国际不动产查询!A8</f>
        <v>1层108</v>
      </c>
      <c r="B29" s="1007">
        <f>兴盛国际不动产查询!B8</f>
        <v>391.21</v>
      </c>
      <c r="C29" s="1003">
        <f t="shared" si="12"/>
        <v>0.97</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t="s">
        <v>609</v>
      </c>
      <c r="Q29" s="1003">
        <f t="shared" si="19"/>
        <v>1</v>
      </c>
      <c r="R29" s="1062">
        <f t="shared" ca="1" si="20"/>
        <v>13528</v>
      </c>
      <c r="S29" s="1002">
        <f t="shared" ca="1" si="11"/>
        <v>529</v>
      </c>
    </row>
    <row r="30" spans="1:45">
      <c r="A30" s="1007" t="str">
        <f>兴盛国际不动产查询!A9</f>
        <v>1层110</v>
      </c>
      <c r="B30" s="1007">
        <f>兴盛国际不动产查询!B9</f>
        <v>157.57</v>
      </c>
      <c r="C30" s="1003">
        <f t="shared" si="12"/>
        <v>0.99</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t="s">
        <v>609</v>
      </c>
      <c r="Q30" s="1003">
        <f t="shared" si="19"/>
        <v>1</v>
      </c>
      <c r="R30" s="1062">
        <f t="shared" ca="1" si="20"/>
        <v>13807</v>
      </c>
      <c r="S30" s="1002">
        <f t="shared" ca="1" si="11"/>
        <v>218</v>
      </c>
    </row>
    <row r="31" spans="1:45">
      <c r="A31" s="1007" t="str">
        <f>兴盛国际不动产查询!A10</f>
        <v>2层201</v>
      </c>
      <c r="B31" s="1007">
        <f>兴盛国际不动产查询!B10</f>
        <v>629.99</v>
      </c>
      <c r="C31" s="1003">
        <f t="shared" si="12"/>
        <v>0.96</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t="s">
        <v>611</v>
      </c>
      <c r="Q31" s="1003">
        <f t="shared" si="19"/>
        <v>0.75</v>
      </c>
      <c r="R31" s="1062">
        <f t="shared" ca="1" si="20"/>
        <v>10041</v>
      </c>
      <c r="S31" s="1002">
        <f t="shared" ca="1" si="11"/>
        <v>633</v>
      </c>
    </row>
    <row r="32" spans="1:45">
      <c r="A32" s="1007" t="str">
        <f>兴盛国际不动产查询!A11</f>
        <v>2层202</v>
      </c>
      <c r="B32" s="1007">
        <f>兴盛国际不动产查询!B11</f>
        <v>510.69</v>
      </c>
      <c r="C32" s="1003">
        <f t="shared" si="12"/>
        <v>0.96</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t="s">
        <v>611</v>
      </c>
      <c r="Q32" s="1003">
        <f t="shared" si="19"/>
        <v>0.75</v>
      </c>
      <c r="R32" s="1062">
        <f t="shared" ca="1" si="20"/>
        <v>10041</v>
      </c>
      <c r="S32" s="1002">
        <f t="shared" ca="1" si="11"/>
        <v>513</v>
      </c>
    </row>
    <row r="33" spans="1:19">
      <c r="A33" s="1007" t="str">
        <f>兴盛国际不动产查询!A12</f>
        <v>2层203</v>
      </c>
      <c r="B33" s="1007">
        <f>兴盛国际不动产查询!B12</f>
        <v>651.22</v>
      </c>
      <c r="C33" s="1003">
        <f t="shared" si="12"/>
        <v>0.96</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t="s">
        <v>611</v>
      </c>
      <c r="Q33" s="1003">
        <f t="shared" si="19"/>
        <v>0.75</v>
      </c>
      <c r="R33" s="1062">
        <f t="shared" ca="1" si="20"/>
        <v>10041</v>
      </c>
      <c r="S33" s="1002">
        <f t="shared" ca="1" si="11"/>
        <v>654</v>
      </c>
    </row>
    <row r="34" spans="1:19">
      <c r="A34" s="1007" t="str">
        <f>兴盛国际不动产查询!A13</f>
        <v>2层204</v>
      </c>
      <c r="B34" s="1007">
        <f>兴盛国际不动产查询!B13</f>
        <v>269.99</v>
      </c>
      <c r="C34" s="1003">
        <f t="shared" si="12"/>
        <v>0.98</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t="s">
        <v>611</v>
      </c>
      <c r="Q34" s="1003">
        <f t="shared" si="19"/>
        <v>0.75</v>
      </c>
      <c r="R34" s="1062">
        <f t="shared" ca="1" si="20"/>
        <v>10250</v>
      </c>
      <c r="S34" s="1002">
        <f t="shared" ca="1" si="11"/>
        <v>277</v>
      </c>
    </row>
    <row r="35" spans="1:19">
      <c r="A35" s="1007" t="str">
        <f>兴盛国际不动产查询!A14</f>
        <v>2层205</v>
      </c>
      <c r="B35" s="1007">
        <f>兴盛国际不动产查询!B14</f>
        <v>657.75</v>
      </c>
      <c r="C35" s="1003">
        <f t="shared" si="12"/>
        <v>0.96</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t="s">
        <v>611</v>
      </c>
      <c r="Q35" s="1003">
        <f t="shared" si="19"/>
        <v>0.75</v>
      </c>
      <c r="R35" s="1062">
        <f t="shared" ca="1" si="20"/>
        <v>10041</v>
      </c>
      <c r="S35" s="1002">
        <f t="shared" ca="1" si="11"/>
        <v>660</v>
      </c>
    </row>
    <row r="36" spans="1:19">
      <c r="A36" s="1007" t="str">
        <f>兴盛国际不动产查询!A15</f>
        <v>2层206</v>
      </c>
      <c r="B36" s="1007">
        <f>兴盛国际不动产查询!B15</f>
        <v>551.13</v>
      </c>
      <c r="C36" s="1003">
        <f t="shared" si="12"/>
        <v>0.96</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t="s">
        <v>611</v>
      </c>
      <c r="Q36" s="1003">
        <f t="shared" si="19"/>
        <v>0.75</v>
      </c>
      <c r="R36" s="1062">
        <f t="shared" ca="1" si="20"/>
        <v>10041</v>
      </c>
      <c r="S36" s="1002">
        <f t="shared" ca="1" si="11"/>
        <v>553</v>
      </c>
    </row>
    <row r="37" spans="1:19">
      <c r="A37" s="1007"/>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0</v>
      </c>
      <c r="R37" s="1062">
        <f t="shared" si="20"/>
        <v>0</v>
      </c>
      <c r="S37" s="1002">
        <f t="shared" si="11"/>
        <v>0</v>
      </c>
    </row>
    <row r="38" spans="1:19">
      <c r="A38" s="1007"/>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0</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0</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0</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0</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0</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0</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0</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0</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0</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0</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0</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0</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0</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0</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0</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0</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0</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0</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0</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0</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0</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0</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0</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0</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0</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0</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0</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0</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0</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0</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0</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0</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0</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0</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0</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0</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0</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0</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0</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0</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0</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0</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0</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0</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0</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0</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0</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0</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0</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0</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0</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0</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0</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0</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0</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0</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0</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0</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0</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0</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0</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0</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0</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0</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0</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0</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0</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0</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0</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0</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0</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0</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0</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0</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0</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0</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0</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0</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0</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0</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0</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0</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0</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0</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0</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0</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0</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0</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0</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0</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0</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0</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0</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0</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0</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0</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0</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0</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0</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0</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0</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0</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0</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0</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0</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0</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0</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0</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0</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0</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0</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0</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0</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0</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0</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0</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0</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0</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0</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0</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0</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0</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0</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0</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0</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0</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0</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0</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0</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0</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0</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0</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0</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0</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0</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0</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0</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0</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0</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0</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0</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0</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0</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0</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0</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0</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0</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0</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0</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0</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0</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0</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0</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0</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0</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0</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0</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0</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0</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0</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0</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0</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0</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0</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0</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0</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0</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0</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0</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0</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0</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0</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0</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0</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0</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0</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0</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0</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0</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0</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0</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0</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0</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0</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0</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0</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0</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0</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0</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0</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0</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0</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0</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0</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0</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0</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0</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0</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0</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0</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0</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0</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0</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0</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0</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0</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0</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0</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0</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0</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0</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0</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0</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0</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0</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0</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0</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0</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0</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0</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0</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0</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0</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0</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0</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0</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0</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0</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0</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0</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0</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0</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0</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0</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0</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0</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0</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0</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0</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0</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0</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0</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0</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0</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0</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0</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0</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0</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0</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0</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0</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0</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0</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0</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0</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0</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0</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0</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0</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0</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0</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0</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0</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0</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0</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0</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0</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0</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0</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0</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0</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0</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0</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0</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0</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0</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0</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0</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0</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0</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0</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0</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0</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0</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0</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0</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0</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0</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0</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0</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0</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0</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0</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0</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0</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0</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0</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0</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0</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0</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0</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0</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0</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0</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0</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0</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0</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0</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0</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0</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0</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0</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0</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0</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0</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0</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0</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0</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0</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0</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0</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0</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0</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0</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0</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0</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0</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0</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0</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0</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0</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0</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0</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0</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0</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0</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0</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0</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0</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0</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0</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0</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0</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0</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0</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0</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0</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0</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0</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0</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0</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0</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0</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0</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0</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0</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0</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0</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0</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0</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0</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0</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0</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0</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0</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0</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0</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0</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0</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0</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0</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0</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0</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0</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0</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0</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0</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0</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0</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0</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0</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0</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0</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0</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0</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0</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0</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0</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0</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0</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0</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0</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0</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0</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0</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0</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0</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0</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0</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0</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0</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0</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0</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0</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0</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0</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0</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0</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0</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0</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0</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0</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0</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0</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0</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0</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0</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0</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0</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0</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0</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0</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0</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0</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0</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0</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0</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0</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0</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0</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0</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0</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0</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0</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0</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0</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0</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0</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0</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0</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0</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0</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0</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0</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0</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0</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0</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0</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0</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0</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0</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0</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0</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0</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0</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0</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0</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0</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0</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0</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0</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0</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0</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0</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0</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0</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0</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0</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0</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0</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0</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0</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0</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0</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0</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0</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0</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0</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0</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0</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0</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0</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0</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0</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0</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0</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0</v>
      </c>
      <c r="R524" s="1062">
        <f t="shared" si="93"/>
        <v>0</v>
      </c>
      <c r="S524" s="100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2254</v>
      </c>
      <c r="B1" s="932"/>
      <c r="C1" s="932"/>
      <c r="D1" s="932"/>
      <c r="E1" s="932"/>
      <c r="F1" s="933"/>
      <c r="G1" s="933"/>
      <c r="H1" s="933"/>
      <c r="I1" s="933"/>
      <c r="J1" s="933"/>
      <c r="K1" s="933"/>
      <c r="L1" s="933"/>
      <c r="M1" s="933"/>
      <c r="N1" s="933"/>
      <c r="O1" s="933"/>
      <c r="P1" s="933"/>
    </row>
    <row r="2" spans="1:16" ht="15.75">
      <c r="A2" s="934" t="s">
        <v>97</v>
      </c>
      <c r="B2" s="935">
        <f ca="1">SUMIF(B6:B13,"&lt;&gt;#ref!",B6:B13)</f>
        <v>0</v>
      </c>
      <c r="C2" s="934" t="s">
        <v>2255</v>
      </c>
      <c r="D2" s="934" t="s">
        <v>2256</v>
      </c>
      <c r="E2" s="936">
        <f ca="1">SUMIF(E6:E13,"&lt;&gt;#ref!",E6:E13)</f>
        <v>0</v>
      </c>
      <c r="F2" s="933"/>
      <c r="G2" s="933"/>
      <c r="H2" s="933"/>
      <c r="I2" s="933"/>
      <c r="J2" s="933"/>
      <c r="K2" s="933"/>
      <c r="L2" s="933"/>
      <c r="M2" s="933"/>
      <c r="N2" s="933"/>
      <c r="O2" s="933"/>
      <c r="P2" s="933"/>
    </row>
    <row r="3" spans="1:16" ht="15.75">
      <c r="A3" s="934" t="s">
        <v>2257</v>
      </c>
      <c r="B3" s="935" t="e">
        <f ca="1">ROUND(B2*10000/E2,0)</f>
        <v>#DIV/0!</v>
      </c>
      <c r="C3" s="934" t="s">
        <v>2258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2259</v>
      </c>
      <c r="B5" s="939" t="s">
        <v>2260</v>
      </c>
      <c r="C5" s="940"/>
      <c r="D5" s="933"/>
      <c r="E5" s="941" t="s">
        <v>2261</v>
      </c>
      <c r="F5" s="933"/>
      <c r="G5" s="933"/>
      <c r="H5" s="933"/>
      <c r="I5" s="933"/>
      <c r="J5" s="933"/>
      <c r="K5" s="933"/>
      <c r="L5" s="933"/>
      <c r="M5" s="933"/>
      <c r="N5" s="933"/>
      <c r="O5" s="933"/>
      <c r="P5" s="933"/>
    </row>
    <row r="6" spans="1:16" ht="15.75">
      <c r="A6" s="942" t="s">
        <v>2262</v>
      </c>
      <c r="B6" s="935" t="e">
        <f ca="1">SUMIF(INDIRECT("'"&amp;A6&amp;"'"&amp;"!A:A"),"总价",INDIRECT("'"&amp;A6&amp;"'"&amp;"!B:B"))</f>
        <v>#REF!</v>
      </c>
      <c r="C6" s="934" t="s">
        <v>2255</v>
      </c>
      <c r="D6" s="933"/>
      <c r="E6" s="936" t="e">
        <f ca="1">SUMIF(INDIRECT("'"&amp;A6&amp;"'"&amp;"!C:C"),"建筑面积",INDIRECT("'"&amp;A6&amp;"'"&amp;"!D:D"))</f>
        <v>#REF!</v>
      </c>
      <c r="F6" s="933"/>
      <c r="G6" s="933"/>
      <c r="H6" s="933"/>
      <c r="I6" s="933"/>
      <c r="J6" s="933"/>
      <c r="K6" s="933"/>
      <c r="L6" s="933"/>
      <c r="M6" s="933"/>
      <c r="N6" s="933"/>
      <c r="O6" s="933"/>
      <c r="P6" s="933"/>
    </row>
    <row r="7" spans="1:16" ht="15.75">
      <c r="A7" s="942"/>
      <c r="B7" s="935" t="e">
        <f ca="1">SUMIF(INDIRECT("'"&amp;A7&amp;"'"&amp;"!A:A"),"总价",INDIRECT("'"&amp;A7&amp;"'"&amp;"!B:B"))</f>
        <v>#REF!</v>
      </c>
      <c r="C7" s="934" t="s">
        <v>2255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2255</v>
      </c>
      <c r="D8" s="933"/>
      <c r="E8" s="936" t="e">
        <f t="shared" ca="1" si="0"/>
        <v>#REF!</v>
      </c>
      <c r="F8" s="933"/>
      <c r="G8" s="933"/>
      <c r="H8" s="933"/>
      <c r="I8" s="933"/>
      <c r="J8" s="933"/>
      <c r="K8" s="933"/>
      <c r="L8" s="933"/>
      <c r="M8" s="933"/>
      <c r="N8" s="933"/>
      <c r="O8" s="933"/>
      <c r="P8" s="933"/>
    </row>
    <row r="9" spans="1:16" ht="15.75">
      <c r="A9" s="942"/>
      <c r="B9" s="935" t="e">
        <f t="shared" ca="1" si="1"/>
        <v>#REF!</v>
      </c>
      <c r="C9" s="934" t="s">
        <v>2255</v>
      </c>
      <c r="D9" s="933"/>
      <c r="E9" s="936" t="e">
        <f t="shared" ca="1" si="0"/>
        <v>#REF!</v>
      </c>
      <c r="F9" s="933"/>
      <c r="G9" s="933"/>
      <c r="H9" s="933"/>
      <c r="I9" s="933"/>
      <c r="J9" s="933"/>
      <c r="K9" s="933"/>
      <c r="L9" s="933"/>
      <c r="M9" s="933"/>
      <c r="N9" s="933"/>
      <c r="O9" s="933"/>
      <c r="P9" s="933"/>
    </row>
    <row r="10" spans="1:16" ht="15.75">
      <c r="A10" s="942"/>
      <c r="B10" s="935" t="e">
        <f t="shared" ca="1" si="1"/>
        <v>#REF!</v>
      </c>
      <c r="C10" s="934" t="s">
        <v>2255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2255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2255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2255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266</v>
      </c>
      <c r="G1" s="481" t="s">
        <v>272</v>
      </c>
      <c r="H1" s="481" t="s">
        <v>277</v>
      </c>
      <c r="I1" s="481" t="s">
        <v>283</v>
      </c>
      <c r="J1" s="481" t="s">
        <v>287</v>
      </c>
      <c r="K1" s="481" t="s">
        <v>291</v>
      </c>
      <c r="L1" s="481" t="s">
        <v>295</v>
      </c>
      <c r="M1" s="526" t="s">
        <v>299</v>
      </c>
    </row>
    <row r="2" spans="1:13" ht="19.5" customHeight="1">
      <c r="A2" s="482" t="s">
        <v>919</v>
      </c>
      <c r="B2" s="483">
        <v>3.5</v>
      </c>
      <c r="C2" s="483">
        <v>3.5</v>
      </c>
      <c r="D2" s="484">
        <v>2.5</v>
      </c>
      <c r="E2" s="484">
        <v>2.5</v>
      </c>
      <c r="F2" s="484">
        <v>2.5</v>
      </c>
      <c r="G2" s="484">
        <v>2.5</v>
      </c>
      <c r="H2" s="484">
        <v>2.5</v>
      </c>
      <c r="I2" s="483">
        <v>2</v>
      </c>
      <c r="J2" s="483">
        <v>2</v>
      </c>
      <c r="K2" s="483">
        <v>2</v>
      </c>
      <c r="L2" s="483">
        <v>2</v>
      </c>
      <c r="M2" s="527">
        <v>2</v>
      </c>
    </row>
    <row r="3" spans="1:13" ht="19.5" customHeight="1">
      <c r="A3" s="485" t="s">
        <v>2471</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2472</v>
      </c>
      <c r="B6" s="490">
        <v>2.5</v>
      </c>
      <c r="C6" s="490">
        <v>2.5</v>
      </c>
      <c r="D6" s="490">
        <v>2</v>
      </c>
      <c r="E6" s="490">
        <v>2</v>
      </c>
      <c r="F6" s="490">
        <v>2</v>
      </c>
      <c r="G6" s="490">
        <v>2</v>
      </c>
      <c r="H6" s="490">
        <v>2</v>
      </c>
      <c r="I6" s="529">
        <v>1.5</v>
      </c>
      <c r="J6" s="529">
        <v>1.5</v>
      </c>
      <c r="K6" s="529">
        <v>1.5</v>
      </c>
      <c r="L6" s="529">
        <v>1.5</v>
      </c>
      <c r="M6" s="530">
        <v>1.5</v>
      </c>
    </row>
    <row r="7" spans="1:13" ht="19.5" customHeight="1">
      <c r="A7" s="491" t="s">
        <v>279</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2473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2474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2475</v>
      </c>
      <c r="B18" s="499"/>
      <c r="C18" s="500"/>
      <c r="D18" s="500"/>
      <c r="E18" s="499"/>
      <c r="F18" s="500"/>
      <c r="G18" s="500"/>
    </row>
    <row r="19" spans="1:13" ht="19.5" customHeight="1">
      <c r="A19" s="498" t="s">
        <v>2476</v>
      </c>
      <c r="B19" s="501" t="s">
        <v>2477</v>
      </c>
      <c r="C19" s="501" t="s">
        <v>2478</v>
      </c>
      <c r="D19" s="502"/>
      <c r="E19" s="498" t="s">
        <v>2479</v>
      </c>
      <c r="F19" s="503"/>
      <c r="G19" s="503"/>
    </row>
    <row r="20" spans="1:13" ht="19.5" customHeight="1">
      <c r="A20" s="3914" t="s">
        <v>919</v>
      </c>
      <c r="B20" s="3920" t="s">
        <v>2480</v>
      </c>
      <c r="C20" s="504" t="s">
        <v>2468</v>
      </c>
      <c r="D20" s="505"/>
      <c r="E20" s="506">
        <v>1</v>
      </c>
      <c r="F20" s="507" t="s">
        <v>2481</v>
      </c>
      <c r="G20" s="507"/>
    </row>
    <row r="21" spans="1:13" ht="19.5" customHeight="1">
      <c r="A21" s="3915"/>
      <c r="B21" s="3913"/>
      <c r="C21" s="508" t="s">
        <v>2482</v>
      </c>
      <c r="D21" s="509"/>
      <c r="E21" s="510">
        <v>1</v>
      </c>
      <c r="F21" s="507" t="s">
        <v>2483</v>
      </c>
      <c r="G21" s="507"/>
    </row>
    <row r="22" spans="1:13" ht="19.5" customHeight="1">
      <c r="A22" s="3915"/>
      <c r="B22" s="3913"/>
      <c r="C22" s="508" t="s">
        <v>2484</v>
      </c>
      <c r="D22" s="509"/>
      <c r="E22" s="510">
        <v>0.9</v>
      </c>
      <c r="F22" s="507" t="s">
        <v>2485</v>
      </c>
      <c r="G22" s="507"/>
    </row>
    <row r="23" spans="1:13" ht="19.5" customHeight="1">
      <c r="A23" s="3915"/>
      <c r="B23" s="3913"/>
      <c r="C23" s="508" t="s">
        <v>2486</v>
      </c>
      <c r="D23" s="509"/>
      <c r="E23" s="510">
        <v>0.9</v>
      </c>
      <c r="F23" s="507" t="s">
        <v>2487</v>
      </c>
      <c r="G23" s="507"/>
    </row>
    <row r="24" spans="1:13" ht="19.5" customHeight="1">
      <c r="A24" s="3915"/>
      <c r="B24" s="3913"/>
      <c r="C24" s="508" t="s">
        <v>2488</v>
      </c>
      <c r="D24" s="509"/>
      <c r="E24" s="510">
        <v>0.8</v>
      </c>
      <c r="F24" s="507" t="s">
        <v>2489</v>
      </c>
      <c r="G24" s="507"/>
    </row>
    <row r="25" spans="1:13" ht="19.5" customHeight="1">
      <c r="A25" s="3916"/>
      <c r="B25" s="3921"/>
      <c r="C25" s="511" t="s">
        <v>2490</v>
      </c>
      <c r="D25" s="512"/>
      <c r="E25" s="513">
        <v>0.8</v>
      </c>
      <c r="F25" s="507" t="s">
        <v>2491</v>
      </c>
      <c r="G25" s="507"/>
    </row>
    <row r="26" spans="1:13" ht="19.5" customHeight="1">
      <c r="A26" s="514" t="s">
        <v>2471</v>
      </c>
      <c r="B26" s="515" t="s">
        <v>2480</v>
      </c>
      <c r="C26" s="516" t="s">
        <v>2492</v>
      </c>
      <c r="D26" s="517"/>
      <c r="E26" s="518">
        <v>1</v>
      </c>
      <c r="F26" s="507" t="s">
        <v>2493</v>
      </c>
      <c r="G26" s="507"/>
    </row>
    <row r="27" spans="1:13" ht="19.5" customHeight="1">
      <c r="A27" s="3917" t="s">
        <v>279</v>
      </c>
      <c r="B27" s="3920" t="s">
        <v>279</v>
      </c>
      <c r="C27" s="504" t="s">
        <v>2494</v>
      </c>
      <c r="D27" s="505"/>
      <c r="E27" s="506">
        <v>1</v>
      </c>
      <c r="F27" s="507" t="s">
        <v>2495</v>
      </c>
      <c r="G27" s="507"/>
    </row>
    <row r="28" spans="1:13" ht="19.5" customHeight="1">
      <c r="A28" s="3918"/>
      <c r="B28" s="3913"/>
      <c r="C28" s="508" t="s">
        <v>2496</v>
      </c>
      <c r="D28" s="509"/>
      <c r="E28" s="510">
        <v>1</v>
      </c>
      <c r="F28" s="507" t="s">
        <v>2497</v>
      </c>
      <c r="G28" s="507"/>
    </row>
    <row r="29" spans="1:13" ht="19.5" customHeight="1">
      <c r="A29" s="3918"/>
      <c r="B29" s="3913"/>
      <c r="C29" s="508" t="s">
        <v>2498</v>
      </c>
      <c r="D29" s="509"/>
      <c r="E29" s="510">
        <v>0.8</v>
      </c>
      <c r="F29" s="507" t="s">
        <v>2499</v>
      </c>
      <c r="G29" s="507"/>
    </row>
    <row r="30" spans="1:13" ht="19.5" customHeight="1">
      <c r="A30" s="3918"/>
      <c r="B30" s="3913"/>
      <c r="C30" s="508" t="s">
        <v>2500</v>
      </c>
      <c r="D30" s="509"/>
      <c r="E30" s="510">
        <v>0.8</v>
      </c>
      <c r="F30" s="507" t="s">
        <v>2501</v>
      </c>
      <c r="G30" s="507"/>
    </row>
    <row r="31" spans="1:13" ht="19.5" customHeight="1">
      <c r="A31" s="3918"/>
      <c r="B31" s="3913"/>
      <c r="C31" s="508" t="s">
        <v>2502</v>
      </c>
      <c r="D31" s="509"/>
      <c r="E31" s="510">
        <v>0.8</v>
      </c>
      <c r="F31" s="507" t="s">
        <v>2503</v>
      </c>
      <c r="G31" s="507"/>
    </row>
    <row r="32" spans="1:13" ht="19.5" customHeight="1">
      <c r="A32" s="3918"/>
      <c r="B32" s="3913"/>
      <c r="C32" s="508" t="s">
        <v>2504</v>
      </c>
      <c r="D32" s="509"/>
      <c r="E32" s="510">
        <v>0.7</v>
      </c>
      <c r="F32" s="507" t="s">
        <v>2505</v>
      </c>
      <c r="G32" s="507"/>
    </row>
    <row r="33" spans="1:7" ht="19.5" customHeight="1">
      <c r="A33" s="3918"/>
      <c r="B33" s="3913"/>
      <c r="C33" s="508" t="s">
        <v>2506</v>
      </c>
      <c r="D33" s="509"/>
      <c r="E33" s="510">
        <v>0.8</v>
      </c>
      <c r="F33" s="507" t="s">
        <v>2507</v>
      </c>
      <c r="G33" s="507"/>
    </row>
    <row r="34" spans="1:7" ht="19.5" customHeight="1">
      <c r="A34" s="3918"/>
      <c r="B34" s="3913"/>
      <c r="C34" s="508" t="s">
        <v>2508</v>
      </c>
      <c r="D34" s="509"/>
      <c r="E34" s="510">
        <v>0.6</v>
      </c>
      <c r="F34" s="507" t="s">
        <v>2509</v>
      </c>
      <c r="G34" s="507"/>
    </row>
    <row r="35" spans="1:7" ht="19.5" customHeight="1">
      <c r="A35" s="3918"/>
      <c r="B35" s="3913"/>
      <c r="C35" s="508" t="s">
        <v>2510</v>
      </c>
      <c r="D35" s="509"/>
      <c r="E35" s="510">
        <v>0.2</v>
      </c>
      <c r="F35" s="507" t="s">
        <v>2511</v>
      </c>
      <c r="G35" s="507"/>
    </row>
    <row r="36" spans="1:7" ht="19.5" customHeight="1">
      <c r="A36" s="3918"/>
      <c r="B36" s="3913"/>
      <c r="C36" s="508" t="s">
        <v>2512</v>
      </c>
      <c r="D36" s="509"/>
      <c r="E36" s="510">
        <v>0.2</v>
      </c>
      <c r="F36" s="507" t="s">
        <v>2513</v>
      </c>
      <c r="G36" s="507"/>
    </row>
    <row r="37" spans="1:7" ht="19.5" customHeight="1">
      <c r="A37" s="3918"/>
      <c r="B37" s="3911" t="s">
        <v>2514</v>
      </c>
      <c r="C37" s="508" t="s">
        <v>2515</v>
      </c>
      <c r="D37" s="509"/>
      <c r="E37" s="510">
        <v>0.6</v>
      </c>
      <c r="F37" s="507" t="s">
        <v>2516</v>
      </c>
      <c r="G37" s="507"/>
    </row>
    <row r="38" spans="1:7" ht="19.5" customHeight="1">
      <c r="A38" s="3918"/>
      <c r="B38" s="3913"/>
      <c r="C38" s="508" t="s">
        <v>2517</v>
      </c>
      <c r="D38" s="509"/>
      <c r="E38" s="510">
        <v>0.6</v>
      </c>
      <c r="F38" s="507" t="s">
        <v>2518</v>
      </c>
      <c r="G38" s="507"/>
    </row>
    <row r="39" spans="1:7" ht="19.5" customHeight="1">
      <c r="A39" s="3919"/>
      <c r="B39" s="3921"/>
      <c r="C39" s="511" t="s">
        <v>2519</v>
      </c>
      <c r="D39" s="512"/>
      <c r="E39" s="513">
        <v>0.6</v>
      </c>
      <c r="F39" s="507" t="s">
        <v>2520</v>
      </c>
      <c r="G39" s="507"/>
    </row>
    <row r="40" spans="1:7" ht="19.5" customHeight="1">
      <c r="A40" s="514" t="s">
        <v>413</v>
      </c>
      <c r="B40" s="515" t="s">
        <v>413</v>
      </c>
      <c r="C40" s="516" t="s">
        <v>2521</v>
      </c>
      <c r="D40" s="517"/>
      <c r="E40" s="518">
        <v>1</v>
      </c>
      <c r="F40" s="507" t="s">
        <v>2522</v>
      </c>
      <c r="G40" s="507"/>
    </row>
    <row r="41" spans="1:7" ht="19.5" customHeight="1">
      <c r="A41" s="3914" t="s">
        <v>409</v>
      </c>
      <c r="B41" s="3920" t="s">
        <v>2523</v>
      </c>
      <c r="C41" s="504" t="s">
        <v>2275</v>
      </c>
      <c r="D41" s="505"/>
      <c r="E41" s="506">
        <v>1</v>
      </c>
      <c r="F41" s="507" t="s">
        <v>2524</v>
      </c>
      <c r="G41" s="507"/>
    </row>
    <row r="42" spans="1:7" ht="19.5" customHeight="1">
      <c r="A42" s="3915"/>
      <c r="B42" s="3913"/>
      <c r="C42" s="508" t="s">
        <v>2525</v>
      </c>
      <c r="D42" s="509"/>
      <c r="E42" s="510">
        <v>1</v>
      </c>
      <c r="F42" s="507" t="s">
        <v>2526</v>
      </c>
      <c r="G42" s="507"/>
    </row>
    <row r="43" spans="1:7" ht="19.5" customHeight="1">
      <c r="A43" s="3915"/>
      <c r="B43" s="3912"/>
      <c r="C43" s="508" t="s">
        <v>2527</v>
      </c>
      <c r="D43" s="509"/>
      <c r="E43" s="510">
        <v>1.5</v>
      </c>
      <c r="F43" s="507" t="s">
        <v>2528</v>
      </c>
      <c r="G43" s="507"/>
    </row>
    <row r="44" spans="1:7" ht="19.5" customHeight="1">
      <c r="A44" s="3915"/>
      <c r="B44" s="520" t="s">
        <v>279</v>
      </c>
      <c r="C44" s="508" t="s">
        <v>2472</v>
      </c>
      <c r="D44" s="509"/>
      <c r="E44" s="510">
        <v>2</v>
      </c>
      <c r="F44" s="507" t="s">
        <v>2529</v>
      </c>
      <c r="G44" s="507"/>
    </row>
    <row r="45" spans="1:7" ht="19.5" customHeight="1">
      <c r="A45" s="3915"/>
      <c r="B45" s="3911" t="s">
        <v>2530</v>
      </c>
      <c r="C45" s="508" t="s">
        <v>2531</v>
      </c>
      <c r="D45" s="509"/>
      <c r="E45" s="510">
        <v>1</v>
      </c>
      <c r="F45" s="507" t="s">
        <v>2532</v>
      </c>
      <c r="G45" s="507"/>
    </row>
    <row r="46" spans="1:7" ht="19.5" customHeight="1">
      <c r="A46" s="3915"/>
      <c r="B46" s="3913"/>
      <c r="C46" s="508" t="s">
        <v>2533</v>
      </c>
      <c r="D46" s="509"/>
      <c r="E46" s="510">
        <v>1</v>
      </c>
      <c r="F46" s="507" t="s">
        <v>2534</v>
      </c>
      <c r="G46" s="507"/>
    </row>
    <row r="47" spans="1:7" ht="19.5" customHeight="1">
      <c r="A47" s="3915"/>
      <c r="B47" s="3913"/>
      <c r="C47" s="508" t="s">
        <v>2535</v>
      </c>
      <c r="D47" s="509"/>
      <c r="E47" s="510">
        <v>1</v>
      </c>
      <c r="F47" s="507" t="s">
        <v>2536</v>
      </c>
      <c r="G47" s="507"/>
    </row>
    <row r="48" spans="1:7" ht="19.5" customHeight="1">
      <c r="A48" s="3915"/>
      <c r="B48" s="3913"/>
      <c r="C48" s="508" t="s">
        <v>2537</v>
      </c>
      <c r="D48" s="509"/>
      <c r="E48" s="510">
        <v>1</v>
      </c>
      <c r="F48" s="507" t="s">
        <v>2538</v>
      </c>
      <c r="G48" s="507"/>
    </row>
    <row r="49" spans="1:7" ht="19.5" customHeight="1">
      <c r="A49" s="3915"/>
      <c r="B49" s="3913"/>
      <c r="C49" s="508" t="s">
        <v>2539</v>
      </c>
      <c r="D49" s="509"/>
      <c r="E49" s="510">
        <v>1</v>
      </c>
      <c r="F49" s="507" t="s">
        <v>2540</v>
      </c>
      <c r="G49" s="507"/>
    </row>
    <row r="50" spans="1:7" ht="19.5" customHeight="1">
      <c r="A50" s="3915"/>
      <c r="B50" s="3913"/>
      <c r="C50" s="508" t="s">
        <v>2541</v>
      </c>
      <c r="D50" s="509"/>
      <c r="E50" s="510">
        <v>1</v>
      </c>
      <c r="F50" s="507" t="s">
        <v>2542</v>
      </c>
      <c r="G50" s="507"/>
    </row>
    <row r="51" spans="1:7" ht="19.5" customHeight="1">
      <c r="A51" s="3916"/>
      <c r="B51" s="3921"/>
      <c r="C51" s="511" t="s">
        <v>2543</v>
      </c>
      <c r="D51" s="512"/>
      <c r="E51" s="513">
        <v>1</v>
      </c>
      <c r="F51" s="507" t="s">
        <v>2544</v>
      </c>
      <c r="G51" s="507"/>
    </row>
    <row r="52" spans="1:7" ht="19.5" customHeight="1">
      <c r="A52" s="521"/>
      <c r="B52" s="521"/>
      <c r="C52" s="521"/>
      <c r="D52" s="521"/>
      <c r="E52" s="521"/>
      <c r="F52" s="521"/>
      <c r="G52" s="521"/>
    </row>
    <row r="54" spans="1:7" ht="19.5" customHeight="1">
      <c r="A54" s="522"/>
      <c r="B54" s="496" t="s">
        <v>990</v>
      </c>
      <c r="C54" s="496" t="s">
        <v>990</v>
      </c>
      <c r="D54" s="496" t="s">
        <v>990</v>
      </c>
      <c r="E54" s="498" t="s">
        <v>990</v>
      </c>
      <c r="F54" s="498" t="s">
        <v>2545</v>
      </c>
      <c r="G54" s="498" t="s">
        <v>990</v>
      </c>
    </row>
    <row r="55" spans="1:7" ht="19.5" customHeight="1">
      <c r="A55" s="523"/>
      <c r="B55" s="498" t="s">
        <v>919</v>
      </c>
      <c r="C55" s="498" t="s">
        <v>919</v>
      </c>
      <c r="D55" s="498" t="s">
        <v>919</v>
      </c>
      <c r="E55" s="496" t="s">
        <v>2471</v>
      </c>
      <c r="F55" s="496" t="s">
        <v>409</v>
      </c>
      <c r="G55" s="496" t="s">
        <v>1115</v>
      </c>
    </row>
    <row r="56" spans="1:7" ht="19.5" customHeight="1">
      <c r="A56" s="524"/>
      <c r="B56" s="496">
        <v>1</v>
      </c>
      <c r="C56" s="496">
        <v>2</v>
      </c>
      <c r="D56" s="496">
        <v>3</v>
      </c>
      <c r="E56" s="525" t="s">
        <v>2546</v>
      </c>
      <c r="F56" s="525" t="s">
        <v>2546</v>
      </c>
      <c r="G56" s="525" t="s">
        <v>2546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266</v>
      </c>
      <c r="B61" s="496">
        <v>0.6</v>
      </c>
      <c r="C61" s="496">
        <v>0.3</v>
      </c>
      <c r="D61" s="496">
        <v>0.25</v>
      </c>
      <c r="E61" s="496">
        <v>0.25</v>
      </c>
      <c r="F61" s="496">
        <v>0.25</v>
      </c>
      <c r="G61" s="496">
        <v>0.15</v>
      </c>
    </row>
    <row r="62" spans="1:7" ht="19.5" customHeight="1">
      <c r="A62" s="519" t="s">
        <v>272</v>
      </c>
      <c r="B62" s="496">
        <v>0.6</v>
      </c>
      <c r="C62" s="496">
        <v>0.3</v>
      </c>
      <c r="D62" s="496">
        <v>0.25</v>
      </c>
      <c r="E62" s="496">
        <v>0.25</v>
      </c>
      <c r="F62" s="496">
        <v>0.25</v>
      </c>
      <c r="G62" s="496">
        <v>0.15</v>
      </c>
    </row>
    <row r="63" spans="1:7" ht="19.5" customHeight="1">
      <c r="A63" s="519" t="s">
        <v>277</v>
      </c>
      <c r="B63" s="496">
        <v>0.6</v>
      </c>
      <c r="C63" s="496">
        <v>0.3</v>
      </c>
      <c r="D63" s="496">
        <v>0.25</v>
      </c>
      <c r="E63" s="496">
        <v>0.25</v>
      </c>
      <c r="F63" s="496">
        <v>0.25</v>
      </c>
      <c r="G63" s="496">
        <v>0.15</v>
      </c>
    </row>
    <row r="64" spans="1:7" ht="19.5" customHeight="1">
      <c r="A64" s="519" t="s">
        <v>283</v>
      </c>
      <c r="B64" s="496">
        <v>0.5</v>
      </c>
      <c r="C64" s="496">
        <v>0.2</v>
      </c>
      <c r="D64" s="496">
        <v>0.2</v>
      </c>
      <c r="E64" s="496">
        <v>0.2</v>
      </c>
      <c r="F64" s="496">
        <v>0.2</v>
      </c>
      <c r="G64" s="496">
        <v>0.1</v>
      </c>
    </row>
    <row r="65" spans="1:7" ht="19.5" customHeight="1">
      <c r="A65" s="519" t="s">
        <v>287</v>
      </c>
      <c r="B65" s="496">
        <v>0.5</v>
      </c>
      <c r="C65" s="496">
        <v>0.2</v>
      </c>
      <c r="D65" s="496">
        <v>0.2</v>
      </c>
      <c r="E65" s="496">
        <v>0.2</v>
      </c>
      <c r="F65" s="496">
        <v>0.2</v>
      </c>
      <c r="G65" s="496">
        <v>0.1</v>
      </c>
    </row>
    <row r="66" spans="1:7" ht="19.5" customHeight="1">
      <c r="A66" s="519" t="s">
        <v>291</v>
      </c>
      <c r="B66" s="496">
        <v>0.5</v>
      </c>
      <c r="C66" s="496">
        <v>0.2</v>
      </c>
      <c r="D66" s="496">
        <v>0.2</v>
      </c>
      <c r="E66" s="496">
        <v>0.2</v>
      </c>
      <c r="F66" s="496">
        <v>0.2</v>
      </c>
      <c r="G66" s="496">
        <v>0.1</v>
      </c>
    </row>
    <row r="67" spans="1:7" ht="19.5" customHeight="1">
      <c r="A67" s="519" t="s">
        <v>295</v>
      </c>
      <c r="B67" s="496">
        <v>0.5</v>
      </c>
      <c r="C67" s="496">
        <v>0.2</v>
      </c>
      <c r="D67" s="496">
        <v>0.2</v>
      </c>
      <c r="E67" s="496">
        <v>0.2</v>
      </c>
      <c r="F67" s="496">
        <v>0.2</v>
      </c>
      <c r="G67" s="496">
        <v>0.1</v>
      </c>
    </row>
    <row r="68" spans="1:7" ht="19.5" customHeight="1">
      <c r="A68" s="519" t="s">
        <v>299</v>
      </c>
      <c r="B68" s="496">
        <v>0.5</v>
      </c>
      <c r="C68" s="496">
        <v>0.2</v>
      </c>
      <c r="D68" s="496">
        <v>0.2</v>
      </c>
      <c r="E68" s="496">
        <v>0.2</v>
      </c>
      <c r="F68" s="496">
        <v>0.2</v>
      </c>
      <c r="G68" s="496">
        <v>0.1</v>
      </c>
    </row>
    <row r="70" spans="1:7" ht="19.5" customHeight="1">
      <c r="A70" s="536"/>
      <c r="B70" s="537"/>
      <c r="C70" s="537"/>
      <c r="D70" s="537" t="s">
        <v>2547</v>
      </c>
      <c r="E70" s="537"/>
      <c r="F70" s="537"/>
    </row>
    <row r="71" spans="1:7" ht="19.5" customHeight="1">
      <c r="A71" s="520" t="s">
        <v>775</v>
      </c>
      <c r="B71" s="520" t="s">
        <v>2548</v>
      </c>
      <c r="C71" s="520" t="s">
        <v>2549</v>
      </c>
      <c r="D71" s="520" t="s">
        <v>2550</v>
      </c>
      <c r="E71" s="520" t="s">
        <v>2551</v>
      </c>
      <c r="F71" s="520" t="s">
        <v>2552</v>
      </c>
    </row>
    <row r="72" spans="1:7" ht="13.5">
      <c r="A72" s="520"/>
      <c r="B72" s="520"/>
      <c r="C72" s="520" t="s">
        <v>2292</v>
      </c>
      <c r="D72" s="520"/>
      <c r="E72" s="520" t="s">
        <v>124</v>
      </c>
      <c r="F72" s="520" t="s">
        <v>124</v>
      </c>
    </row>
    <row r="73" spans="1:7" ht="13.5">
      <c r="A73" s="520">
        <v>1</v>
      </c>
      <c r="B73" s="3911" t="s">
        <v>2553</v>
      </c>
      <c r="C73" s="496" t="s">
        <v>2554</v>
      </c>
      <c r="D73" s="496" t="s">
        <v>2555</v>
      </c>
      <c r="E73" s="520">
        <v>0.2</v>
      </c>
      <c r="F73" s="520">
        <v>25</v>
      </c>
    </row>
    <row r="74" spans="1:7" ht="24">
      <c r="A74" s="520">
        <v>2</v>
      </c>
      <c r="B74" s="3913"/>
      <c r="C74" s="496" t="s">
        <v>2556</v>
      </c>
      <c r="D74" s="496" t="s">
        <v>2557</v>
      </c>
      <c r="E74" s="520">
        <v>0.2</v>
      </c>
      <c r="F74" s="520">
        <v>25</v>
      </c>
    </row>
    <row r="75" spans="1:7" ht="24">
      <c r="A75" s="520">
        <v>3</v>
      </c>
      <c r="B75" s="3913"/>
      <c r="C75" s="496" t="s">
        <v>2558</v>
      </c>
      <c r="D75" s="496" t="s">
        <v>2559</v>
      </c>
      <c r="E75" s="520">
        <v>0.2</v>
      </c>
      <c r="F75" s="520">
        <v>25</v>
      </c>
    </row>
    <row r="76" spans="1:7" ht="13.5">
      <c r="A76" s="520">
        <v>4</v>
      </c>
      <c r="B76" s="3913"/>
      <c r="C76" s="496" t="s">
        <v>2560</v>
      </c>
      <c r="D76" s="496" t="s">
        <v>2561</v>
      </c>
      <c r="E76" s="520">
        <v>0.15</v>
      </c>
      <c r="F76" s="520">
        <v>20</v>
      </c>
    </row>
    <row r="77" spans="1:7" ht="24">
      <c r="A77" s="520">
        <v>5</v>
      </c>
      <c r="B77" s="3913"/>
      <c r="C77" s="496" t="s">
        <v>2562</v>
      </c>
      <c r="D77" s="496" t="s">
        <v>2563</v>
      </c>
      <c r="E77" s="520">
        <v>0.15</v>
      </c>
      <c r="F77" s="520">
        <v>20</v>
      </c>
    </row>
    <row r="78" spans="1:7" ht="24">
      <c r="A78" s="520">
        <v>6</v>
      </c>
      <c r="B78" s="3913"/>
      <c r="C78" s="496" t="s">
        <v>2564</v>
      </c>
      <c r="D78" s="496" t="s">
        <v>2565</v>
      </c>
      <c r="E78" s="520">
        <v>0.15</v>
      </c>
      <c r="F78" s="520">
        <v>20</v>
      </c>
    </row>
    <row r="79" spans="1:7" ht="24">
      <c r="A79" s="520">
        <v>7</v>
      </c>
      <c r="B79" s="3913"/>
      <c r="C79" s="496" t="s">
        <v>2566</v>
      </c>
      <c r="D79" s="496" t="s">
        <v>2567</v>
      </c>
      <c r="E79" s="520">
        <v>0.15</v>
      </c>
      <c r="F79" s="520">
        <v>20</v>
      </c>
    </row>
    <row r="80" spans="1:7" ht="24">
      <c r="A80" s="520">
        <v>8</v>
      </c>
      <c r="B80" s="3913"/>
      <c r="C80" s="496" t="s">
        <v>2568</v>
      </c>
      <c r="D80" s="496" t="s">
        <v>2569</v>
      </c>
      <c r="E80" s="520">
        <v>0.1</v>
      </c>
      <c r="F80" s="520">
        <v>15</v>
      </c>
    </row>
    <row r="81" spans="1:6" ht="24">
      <c r="A81" s="520">
        <v>9</v>
      </c>
      <c r="B81" s="3913"/>
      <c r="C81" s="496" t="s">
        <v>2570</v>
      </c>
      <c r="D81" s="496" t="s">
        <v>2571</v>
      </c>
      <c r="E81" s="520">
        <v>0.1</v>
      </c>
      <c r="F81" s="520">
        <v>15</v>
      </c>
    </row>
    <row r="82" spans="1:6" ht="24">
      <c r="A82" s="520">
        <v>10</v>
      </c>
      <c r="B82" s="3913"/>
      <c r="C82" s="496" t="s">
        <v>2572</v>
      </c>
      <c r="D82" s="496" t="s">
        <v>2573</v>
      </c>
      <c r="E82" s="520">
        <v>0.1</v>
      </c>
      <c r="F82" s="520">
        <v>15</v>
      </c>
    </row>
    <row r="83" spans="1:6" ht="24">
      <c r="A83" s="520">
        <v>11</v>
      </c>
      <c r="B83" s="3913"/>
      <c r="C83" s="496" t="s">
        <v>2574</v>
      </c>
      <c r="D83" s="496" t="s">
        <v>2575</v>
      </c>
      <c r="E83" s="520">
        <v>0.1</v>
      </c>
      <c r="F83" s="520">
        <v>15</v>
      </c>
    </row>
    <row r="84" spans="1:6" ht="24">
      <c r="A84" s="520">
        <v>12</v>
      </c>
      <c r="B84" s="3913"/>
      <c r="C84" s="496" t="s">
        <v>2576</v>
      </c>
      <c r="D84" s="496" t="s">
        <v>2577</v>
      </c>
      <c r="E84" s="520">
        <v>0.1</v>
      </c>
      <c r="F84" s="520">
        <v>15</v>
      </c>
    </row>
    <row r="85" spans="1:6" ht="13.5">
      <c r="A85" s="520">
        <v>13</v>
      </c>
      <c r="B85" s="3913"/>
      <c r="C85" s="496" t="s">
        <v>2578</v>
      </c>
      <c r="D85" s="496" t="s">
        <v>2579</v>
      </c>
      <c r="E85" s="520">
        <v>0.1</v>
      </c>
      <c r="F85" s="520">
        <v>15</v>
      </c>
    </row>
    <row r="86" spans="1:6" ht="13.5">
      <c r="A86" s="520">
        <v>14</v>
      </c>
      <c r="B86" s="3913"/>
      <c r="C86" s="496" t="s">
        <v>2580</v>
      </c>
      <c r="D86" s="496" t="s">
        <v>2581</v>
      </c>
      <c r="E86" s="520">
        <v>0.1</v>
      </c>
      <c r="F86" s="520">
        <v>15</v>
      </c>
    </row>
    <row r="87" spans="1:6" ht="13.5">
      <c r="A87" s="520">
        <v>15</v>
      </c>
      <c r="B87" s="3913"/>
      <c r="C87" s="496" t="s">
        <v>2582</v>
      </c>
      <c r="D87" s="496" t="s">
        <v>2583</v>
      </c>
      <c r="E87" s="520">
        <v>0.1</v>
      </c>
      <c r="F87" s="520">
        <v>15</v>
      </c>
    </row>
    <row r="88" spans="1:6" ht="24">
      <c r="A88" s="520">
        <v>16</v>
      </c>
      <c r="B88" s="3913"/>
      <c r="C88" s="496" t="s">
        <v>2584</v>
      </c>
      <c r="D88" s="496" t="s">
        <v>2585</v>
      </c>
      <c r="E88" s="520">
        <v>0.1</v>
      </c>
      <c r="F88" s="520">
        <v>15</v>
      </c>
    </row>
    <row r="89" spans="1:6" ht="24">
      <c r="A89" s="520">
        <v>17</v>
      </c>
      <c r="B89" s="3912"/>
      <c r="C89" s="496" t="s">
        <v>2586</v>
      </c>
      <c r="D89" s="496" t="s">
        <v>2587</v>
      </c>
      <c r="E89" s="520">
        <v>0.1</v>
      </c>
      <c r="F89" s="520">
        <v>15</v>
      </c>
    </row>
    <row r="90" spans="1:6" ht="13.5">
      <c r="A90" s="520">
        <v>18</v>
      </c>
      <c r="B90" s="3911" t="s">
        <v>2588</v>
      </c>
      <c r="C90" s="496" t="s">
        <v>2589</v>
      </c>
      <c r="D90" s="496" t="s">
        <v>2590</v>
      </c>
      <c r="E90" s="520">
        <v>0.2</v>
      </c>
      <c r="F90" s="520">
        <v>25</v>
      </c>
    </row>
    <row r="91" spans="1:6" ht="24">
      <c r="A91" s="520">
        <v>19</v>
      </c>
      <c r="B91" s="3913"/>
      <c r="C91" s="496" t="s">
        <v>2591</v>
      </c>
      <c r="D91" s="496" t="s">
        <v>2592</v>
      </c>
      <c r="E91" s="520">
        <v>0.2</v>
      </c>
      <c r="F91" s="520">
        <v>25</v>
      </c>
    </row>
    <row r="92" spans="1:6" ht="13.5">
      <c r="A92" s="520">
        <v>20</v>
      </c>
      <c r="B92" s="3913"/>
      <c r="C92" s="496" t="s">
        <v>2593</v>
      </c>
      <c r="D92" s="496" t="s">
        <v>2594</v>
      </c>
      <c r="E92" s="520">
        <v>0.15</v>
      </c>
      <c r="F92" s="520">
        <v>20</v>
      </c>
    </row>
    <row r="93" spans="1:6" ht="13.5">
      <c r="A93" s="520">
        <v>21</v>
      </c>
      <c r="B93" s="3913"/>
      <c r="C93" s="496" t="s">
        <v>2595</v>
      </c>
      <c r="D93" s="496" t="s">
        <v>2596</v>
      </c>
      <c r="E93" s="520">
        <v>0.15</v>
      </c>
      <c r="F93" s="520">
        <v>20</v>
      </c>
    </row>
    <row r="94" spans="1:6" ht="13.5">
      <c r="A94" s="520">
        <v>22</v>
      </c>
      <c r="B94" s="3913"/>
      <c r="C94" s="496" t="s">
        <v>2597</v>
      </c>
      <c r="D94" s="496" t="s">
        <v>2598</v>
      </c>
      <c r="E94" s="520">
        <v>0.15</v>
      </c>
      <c r="F94" s="520">
        <v>20</v>
      </c>
    </row>
    <row r="95" spans="1:6" ht="36">
      <c r="A95" s="520">
        <v>23</v>
      </c>
      <c r="B95" s="3913"/>
      <c r="C95" s="496" t="s">
        <v>2599</v>
      </c>
      <c r="D95" s="496" t="s">
        <v>2600</v>
      </c>
      <c r="E95" s="520">
        <v>0.15</v>
      </c>
      <c r="F95" s="520">
        <v>20</v>
      </c>
    </row>
    <row r="96" spans="1:6" ht="13.5">
      <c r="A96" s="520">
        <v>24</v>
      </c>
      <c r="B96" s="3913"/>
      <c r="C96" s="496" t="s">
        <v>2601</v>
      </c>
      <c r="D96" s="496" t="s">
        <v>2602</v>
      </c>
      <c r="E96" s="520">
        <v>0.1</v>
      </c>
      <c r="F96" s="520">
        <v>15</v>
      </c>
    </row>
    <row r="97" spans="1:6" ht="13.5">
      <c r="A97" s="520">
        <v>25</v>
      </c>
      <c r="B97" s="3913"/>
      <c r="C97" s="496" t="s">
        <v>2603</v>
      </c>
      <c r="D97" s="496" t="s">
        <v>2604</v>
      </c>
      <c r="E97" s="520">
        <v>0.1</v>
      </c>
      <c r="F97" s="520">
        <v>15</v>
      </c>
    </row>
    <row r="98" spans="1:6" ht="24">
      <c r="A98" s="520">
        <v>26</v>
      </c>
      <c r="B98" s="3913"/>
      <c r="C98" s="496" t="s">
        <v>2605</v>
      </c>
      <c r="D98" s="496" t="s">
        <v>2606</v>
      </c>
      <c r="E98" s="520">
        <v>0.1</v>
      </c>
      <c r="F98" s="520">
        <v>15</v>
      </c>
    </row>
    <row r="99" spans="1:6" ht="24">
      <c r="A99" s="520">
        <v>27</v>
      </c>
      <c r="B99" s="3913"/>
      <c r="C99" s="496" t="s">
        <v>2607</v>
      </c>
      <c r="D99" s="496" t="s">
        <v>2608</v>
      </c>
      <c r="E99" s="520">
        <v>0.1</v>
      </c>
      <c r="F99" s="520">
        <v>15</v>
      </c>
    </row>
    <row r="100" spans="1:6" ht="13.5">
      <c r="A100" s="520">
        <v>28</v>
      </c>
      <c r="B100" s="3913"/>
      <c r="C100" s="496" t="s">
        <v>2609</v>
      </c>
      <c r="D100" s="496" t="s">
        <v>2610</v>
      </c>
      <c r="E100" s="520">
        <v>0.1</v>
      </c>
      <c r="F100" s="520">
        <v>15</v>
      </c>
    </row>
    <row r="101" spans="1:6" ht="13.5">
      <c r="A101" s="520">
        <v>29</v>
      </c>
      <c r="B101" s="3913"/>
      <c r="C101" s="496" t="s">
        <v>2611</v>
      </c>
      <c r="D101" s="496" t="s">
        <v>2612</v>
      </c>
      <c r="E101" s="520">
        <v>0.1</v>
      </c>
      <c r="F101" s="520">
        <v>15</v>
      </c>
    </row>
    <row r="102" spans="1:6" ht="13.5">
      <c r="A102" s="520">
        <v>30</v>
      </c>
      <c r="B102" s="3913"/>
      <c r="C102" s="496" t="s">
        <v>2613</v>
      </c>
      <c r="D102" s="496" t="s">
        <v>2614</v>
      </c>
      <c r="E102" s="520">
        <v>0.1</v>
      </c>
      <c r="F102" s="520">
        <v>15</v>
      </c>
    </row>
    <row r="103" spans="1:6" ht="24">
      <c r="A103" s="520">
        <v>31</v>
      </c>
      <c r="B103" s="3913"/>
      <c r="C103" s="496" t="s">
        <v>2615</v>
      </c>
      <c r="D103" s="496" t="s">
        <v>2616</v>
      </c>
      <c r="E103" s="520">
        <v>0.1</v>
      </c>
      <c r="F103" s="520">
        <v>15</v>
      </c>
    </row>
    <row r="104" spans="1:6" ht="24">
      <c r="A104" s="520">
        <v>32</v>
      </c>
      <c r="B104" s="3913"/>
      <c r="C104" s="496" t="s">
        <v>2617</v>
      </c>
      <c r="D104" s="496" t="s">
        <v>2618</v>
      </c>
      <c r="E104" s="520">
        <v>0.1</v>
      </c>
      <c r="F104" s="520">
        <v>15</v>
      </c>
    </row>
    <row r="105" spans="1:6" ht="24">
      <c r="A105" s="520">
        <v>33</v>
      </c>
      <c r="B105" s="3913"/>
      <c r="C105" s="496" t="s">
        <v>2619</v>
      </c>
      <c r="D105" s="496" t="s">
        <v>2620</v>
      </c>
      <c r="E105" s="520">
        <v>0.1</v>
      </c>
      <c r="F105" s="520">
        <v>15</v>
      </c>
    </row>
    <row r="106" spans="1:6" ht="24">
      <c r="A106" s="520">
        <v>34</v>
      </c>
      <c r="B106" s="3912"/>
      <c r="C106" s="496" t="s">
        <v>2621</v>
      </c>
      <c r="D106" s="496" t="s">
        <v>2622</v>
      </c>
      <c r="E106" s="520">
        <v>0.1</v>
      </c>
      <c r="F106" s="520">
        <v>15</v>
      </c>
    </row>
    <row r="107" spans="1:6" ht="24">
      <c r="A107" s="520">
        <v>35</v>
      </c>
      <c r="B107" s="3911" t="s">
        <v>2623</v>
      </c>
      <c r="C107" s="520" t="s">
        <v>2624</v>
      </c>
      <c r="D107" s="496" t="s">
        <v>2625</v>
      </c>
      <c r="E107" s="520">
        <v>0.15</v>
      </c>
      <c r="F107" s="520">
        <v>20</v>
      </c>
    </row>
    <row r="108" spans="1:6" ht="13.5">
      <c r="A108" s="520">
        <v>36</v>
      </c>
      <c r="B108" s="3913"/>
      <c r="C108" s="520" t="s">
        <v>2626</v>
      </c>
      <c r="D108" s="496" t="s">
        <v>2627</v>
      </c>
      <c r="E108" s="520">
        <v>0.15</v>
      </c>
      <c r="F108" s="520">
        <v>20</v>
      </c>
    </row>
    <row r="109" spans="1:6" ht="13.5">
      <c r="A109" s="520">
        <v>37</v>
      </c>
      <c r="B109" s="3913"/>
      <c r="C109" s="520" t="s">
        <v>2628</v>
      </c>
      <c r="D109" s="496" t="s">
        <v>2629</v>
      </c>
      <c r="E109" s="520">
        <v>0.15</v>
      </c>
      <c r="F109" s="520">
        <v>20</v>
      </c>
    </row>
    <row r="110" spans="1:6" ht="13.5">
      <c r="A110" s="520">
        <v>38</v>
      </c>
      <c r="B110" s="3913"/>
      <c r="C110" s="520" t="s">
        <v>2630</v>
      </c>
      <c r="D110" s="496" t="s">
        <v>2631</v>
      </c>
      <c r="E110" s="520">
        <v>0.1</v>
      </c>
      <c r="F110" s="520">
        <v>15</v>
      </c>
    </row>
    <row r="111" spans="1:6" ht="24">
      <c r="A111" s="520">
        <v>39</v>
      </c>
      <c r="B111" s="3913"/>
      <c r="C111" s="520" t="s">
        <v>2632</v>
      </c>
      <c r="D111" s="496" t="s">
        <v>2633</v>
      </c>
      <c r="E111" s="520">
        <v>0.1</v>
      </c>
      <c r="F111" s="520">
        <v>15</v>
      </c>
    </row>
    <row r="112" spans="1:6" ht="24">
      <c r="A112" s="520">
        <v>40</v>
      </c>
      <c r="B112" s="3912"/>
      <c r="C112" s="520" t="s">
        <v>2634</v>
      </c>
      <c r="D112" s="496" t="s">
        <v>2635</v>
      </c>
      <c r="E112" s="520">
        <v>0.1</v>
      </c>
      <c r="F112" s="520">
        <v>15</v>
      </c>
    </row>
    <row r="113" spans="1:6" ht="13.5">
      <c r="A113" s="520">
        <v>41</v>
      </c>
      <c r="B113" s="3910" t="s">
        <v>2636</v>
      </c>
      <c r="C113" s="520" t="s">
        <v>2637</v>
      </c>
      <c r="D113" s="496" t="s">
        <v>2638</v>
      </c>
      <c r="E113" s="520">
        <v>0.1</v>
      </c>
      <c r="F113" s="520">
        <v>15</v>
      </c>
    </row>
    <row r="114" spans="1:6" ht="13.5">
      <c r="A114" s="520">
        <v>42</v>
      </c>
      <c r="B114" s="3910"/>
      <c r="C114" s="520" t="s">
        <v>2639</v>
      </c>
      <c r="D114" s="496" t="s">
        <v>2640</v>
      </c>
      <c r="E114" s="520">
        <v>0.1</v>
      </c>
      <c r="F114" s="520">
        <v>15</v>
      </c>
    </row>
    <row r="115" spans="1:6" ht="24">
      <c r="A115" s="520">
        <v>43</v>
      </c>
      <c r="B115" s="3910"/>
      <c r="C115" s="520" t="s">
        <v>2641</v>
      </c>
      <c r="D115" s="496" t="s">
        <v>2642</v>
      </c>
      <c r="E115" s="520">
        <v>0.1</v>
      </c>
      <c r="F115" s="520">
        <v>15</v>
      </c>
    </row>
    <row r="116" spans="1:6" ht="13.5">
      <c r="A116" s="520">
        <v>44</v>
      </c>
      <c r="B116" s="3911" t="s">
        <v>2643</v>
      </c>
      <c r="C116" s="520" t="s">
        <v>2644</v>
      </c>
      <c r="D116" s="496" t="s">
        <v>2645</v>
      </c>
      <c r="E116" s="520">
        <v>0.1</v>
      </c>
      <c r="F116" s="520">
        <v>15</v>
      </c>
    </row>
    <row r="117" spans="1:6" ht="24">
      <c r="A117" s="520">
        <v>45</v>
      </c>
      <c r="B117" s="3912"/>
      <c r="C117" s="496" t="s">
        <v>2646</v>
      </c>
      <c r="D117" s="496" t="s">
        <v>2647</v>
      </c>
      <c r="E117" s="520">
        <v>0.1</v>
      </c>
      <c r="F117" s="520">
        <v>15</v>
      </c>
    </row>
    <row r="118" spans="1:6" ht="24">
      <c r="A118" s="520">
        <v>46</v>
      </c>
      <c r="B118" s="3911" t="s">
        <v>2648</v>
      </c>
      <c r="C118" s="520" t="s">
        <v>2649</v>
      </c>
      <c r="D118" s="496" t="s">
        <v>2650</v>
      </c>
      <c r="E118" s="520">
        <v>0.1</v>
      </c>
      <c r="F118" s="520">
        <v>15</v>
      </c>
    </row>
    <row r="119" spans="1:6" ht="24">
      <c r="A119" s="520">
        <v>47</v>
      </c>
      <c r="B119" s="3912"/>
      <c r="C119" s="520" t="s">
        <v>2651</v>
      </c>
      <c r="D119" s="496" t="s">
        <v>2652</v>
      </c>
      <c r="E119" s="520">
        <v>0.1</v>
      </c>
      <c r="F119" s="520">
        <v>15</v>
      </c>
    </row>
    <row r="120" spans="1:6" ht="13.5">
      <c r="A120" s="520">
        <v>48</v>
      </c>
      <c r="B120" s="3911" t="s">
        <v>2653</v>
      </c>
      <c r="C120" s="520" t="s">
        <v>2654</v>
      </c>
      <c r="D120" s="496" t="s">
        <v>2655</v>
      </c>
      <c r="E120" s="520">
        <v>0.1</v>
      </c>
      <c r="F120" s="520">
        <v>15</v>
      </c>
    </row>
    <row r="121" spans="1:6" ht="13.5">
      <c r="A121" s="520">
        <v>49</v>
      </c>
      <c r="B121" s="3912"/>
      <c r="C121" s="520" t="s">
        <v>2656</v>
      </c>
      <c r="D121" s="496" t="s">
        <v>2657</v>
      </c>
      <c r="E121" s="520">
        <v>0.1</v>
      </c>
      <c r="F121" s="520">
        <v>15</v>
      </c>
    </row>
    <row r="122" spans="1:6" ht="24">
      <c r="A122" s="520">
        <v>50</v>
      </c>
      <c r="B122" s="3910" t="s">
        <v>2658</v>
      </c>
      <c r="C122" s="520" t="s">
        <v>2659</v>
      </c>
      <c r="D122" s="496" t="s">
        <v>2660</v>
      </c>
      <c r="E122" s="520">
        <v>0.1</v>
      </c>
      <c r="F122" s="520">
        <v>15</v>
      </c>
    </row>
    <row r="123" spans="1:6" ht="24">
      <c r="A123" s="520">
        <v>51</v>
      </c>
      <c r="B123" s="3910"/>
      <c r="C123" s="520" t="s">
        <v>2661</v>
      </c>
      <c r="D123" s="496" t="s">
        <v>2662</v>
      </c>
      <c r="E123" s="520">
        <v>0.1</v>
      </c>
      <c r="F123" s="520">
        <v>15</v>
      </c>
    </row>
    <row r="124" spans="1:6" ht="24">
      <c r="A124" s="520">
        <v>52</v>
      </c>
      <c r="B124" s="3910" t="s">
        <v>2663</v>
      </c>
      <c r="C124" s="520" t="s">
        <v>2664</v>
      </c>
      <c r="D124" s="496" t="s">
        <v>2665</v>
      </c>
      <c r="E124" s="520">
        <v>0.1</v>
      </c>
      <c r="F124" s="520">
        <v>15</v>
      </c>
    </row>
    <row r="125" spans="1:6" ht="24">
      <c r="A125" s="520">
        <v>53</v>
      </c>
      <c r="B125" s="3910"/>
      <c r="C125" s="520" t="s">
        <v>2666</v>
      </c>
      <c r="D125" s="496" t="s">
        <v>2667</v>
      </c>
      <c r="E125" s="520">
        <v>0.1</v>
      </c>
      <c r="F125" s="520">
        <v>15</v>
      </c>
    </row>
    <row r="126" spans="1:6" ht="13.5">
      <c r="A126" s="520">
        <v>54</v>
      </c>
      <c r="B126" s="520" t="s">
        <v>2668</v>
      </c>
      <c r="C126" s="520" t="s">
        <v>2669</v>
      </c>
      <c r="D126" s="496" t="s">
        <v>2670</v>
      </c>
      <c r="E126" s="520">
        <v>0.1</v>
      </c>
      <c r="F126" s="520">
        <v>15</v>
      </c>
    </row>
    <row r="127" spans="1:6" ht="13.5">
      <c r="A127" s="520">
        <v>55</v>
      </c>
      <c r="B127" s="3910" t="s">
        <v>2671</v>
      </c>
      <c r="C127" s="520" t="s">
        <v>2672</v>
      </c>
      <c r="D127" s="496" t="s">
        <v>2673</v>
      </c>
      <c r="E127" s="520">
        <v>0.1</v>
      </c>
      <c r="F127" s="520">
        <v>15</v>
      </c>
    </row>
    <row r="128" spans="1:6" ht="13.5">
      <c r="A128" s="520">
        <v>56</v>
      </c>
      <c r="B128" s="3910"/>
      <c r="C128" s="520" t="s">
        <v>2674</v>
      </c>
      <c r="D128" s="496" t="s">
        <v>2675</v>
      </c>
      <c r="E128" s="520">
        <v>0.1</v>
      </c>
      <c r="F128" s="520">
        <v>15</v>
      </c>
    </row>
    <row r="129" spans="1:6" ht="24">
      <c r="A129" s="520">
        <v>57</v>
      </c>
      <c r="B129" s="3910"/>
      <c r="C129" s="520" t="s">
        <v>2676</v>
      </c>
      <c r="D129" s="496" t="s">
        <v>2677</v>
      </c>
      <c r="E129" s="520">
        <v>0.1</v>
      </c>
      <c r="F129" s="520">
        <v>15</v>
      </c>
    </row>
    <row r="130" spans="1:6" ht="24">
      <c r="A130" s="520">
        <v>58</v>
      </c>
      <c r="B130" s="3910" t="s">
        <v>2678</v>
      </c>
      <c r="C130" s="520" t="s">
        <v>2679</v>
      </c>
      <c r="D130" s="496" t="s">
        <v>2680</v>
      </c>
      <c r="E130" s="520">
        <v>0.1</v>
      </c>
      <c r="F130" s="520">
        <v>15</v>
      </c>
    </row>
    <row r="131" spans="1:6" ht="13.5">
      <c r="A131" s="520">
        <v>59</v>
      </c>
      <c r="B131" s="3910"/>
      <c r="C131" s="520" t="s">
        <v>2681</v>
      </c>
      <c r="D131" s="496" t="s">
        <v>2682</v>
      </c>
      <c r="E131" s="520">
        <v>0.1</v>
      </c>
      <c r="F131" s="520">
        <v>15</v>
      </c>
    </row>
    <row r="132" spans="1:6" ht="13.5">
      <c r="A132" s="520">
        <v>60</v>
      </c>
      <c r="B132" s="3911" t="s">
        <v>2683</v>
      </c>
      <c r="C132" s="520" t="s">
        <v>2684</v>
      </c>
      <c r="D132" s="496" t="s">
        <v>2685</v>
      </c>
      <c r="E132" s="520">
        <v>0.1</v>
      </c>
      <c r="F132" s="520">
        <v>15</v>
      </c>
    </row>
    <row r="133" spans="1:6" ht="13.5">
      <c r="A133" s="520">
        <v>61</v>
      </c>
      <c r="B133" s="3912"/>
      <c r="C133" s="520" t="s">
        <v>2686</v>
      </c>
      <c r="D133" s="496" t="s">
        <v>2687</v>
      </c>
      <c r="E133" s="520">
        <v>0.1</v>
      </c>
      <c r="F133" s="520">
        <v>15</v>
      </c>
    </row>
    <row r="134" spans="1:6" ht="24">
      <c r="A134" s="520">
        <v>62</v>
      </c>
      <c r="B134" s="520" t="s">
        <v>2688</v>
      </c>
      <c r="C134" s="520" t="s">
        <v>2689</v>
      </c>
      <c r="D134" s="496" t="s">
        <v>2690</v>
      </c>
      <c r="E134" s="520">
        <v>0.1</v>
      </c>
      <c r="F134" s="520">
        <v>15</v>
      </c>
    </row>
    <row r="135" spans="1:6" ht="13.5">
      <c r="A135" s="520">
        <v>63</v>
      </c>
      <c r="B135" s="3910" t="s">
        <v>2691</v>
      </c>
      <c r="C135" s="520" t="s">
        <v>2692</v>
      </c>
      <c r="D135" s="496" t="s">
        <v>2693</v>
      </c>
      <c r="E135" s="520">
        <v>0.1</v>
      </c>
      <c r="F135" s="520">
        <v>15</v>
      </c>
    </row>
    <row r="136" spans="1:6" ht="13.5">
      <c r="A136" s="520">
        <v>64</v>
      </c>
      <c r="B136" s="3910"/>
      <c r="C136" s="520" t="s">
        <v>2694</v>
      </c>
      <c r="D136" s="496" t="s">
        <v>2695</v>
      </c>
      <c r="E136" s="520">
        <v>0.1</v>
      </c>
      <c r="F136" s="520">
        <v>15</v>
      </c>
    </row>
    <row r="137" spans="1:6" ht="13.5">
      <c r="A137" s="520">
        <v>65</v>
      </c>
      <c r="B137" s="520" t="s">
        <v>2696</v>
      </c>
      <c r="C137" s="520" t="s">
        <v>2697</v>
      </c>
      <c r="D137" s="496" t="s">
        <v>2698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2699</v>
      </c>
      <c r="B1" s="461"/>
      <c r="C1" s="461"/>
      <c r="D1" s="461"/>
      <c r="E1" s="461"/>
      <c r="F1" s="461"/>
      <c r="G1" s="461"/>
      <c r="H1" s="461"/>
      <c r="I1" s="461"/>
      <c r="J1" s="461"/>
      <c r="K1" s="461"/>
      <c r="L1" s="461"/>
      <c r="M1" s="461"/>
      <c r="N1" s="468"/>
    </row>
    <row r="2" spans="1:20">
      <c r="A2" s="462" t="s">
        <v>596</v>
      </c>
      <c r="B2" s="463" t="s">
        <v>230</v>
      </c>
      <c r="C2" s="463" t="s">
        <v>241</v>
      </c>
      <c r="D2" s="463" t="s">
        <v>251</v>
      </c>
      <c r="E2" s="463" t="s">
        <v>259</v>
      </c>
      <c r="F2" s="463" t="s">
        <v>266</v>
      </c>
      <c r="G2" s="463" t="s">
        <v>272</v>
      </c>
      <c r="H2" s="464" t="s">
        <v>277</v>
      </c>
      <c r="I2" s="464" t="s">
        <v>283</v>
      </c>
      <c r="J2" s="469" t="s">
        <v>287</v>
      </c>
      <c r="K2" s="469" t="s">
        <v>291</v>
      </c>
      <c r="L2" s="469" t="s">
        <v>295</v>
      </c>
      <c r="M2" s="470" t="s">
        <v>299</v>
      </c>
      <c r="Q2" s="473" t="s">
        <v>2700</v>
      </c>
      <c r="R2" s="473" t="s">
        <v>2701</v>
      </c>
      <c r="S2" s="473" t="s">
        <v>2702</v>
      </c>
      <c r="T2" s="473" t="s">
        <v>2703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2704</v>
      </c>
      <c r="B93" s="461"/>
      <c r="C93" s="461"/>
      <c r="D93" s="461"/>
      <c r="E93" s="461"/>
      <c r="F93" s="461"/>
      <c r="G93" s="461"/>
      <c r="H93" s="461"/>
      <c r="I93" s="461"/>
      <c r="J93" s="461"/>
      <c r="K93" s="461"/>
      <c r="L93" s="461"/>
      <c r="M93" s="461"/>
    </row>
    <row r="94" spans="1:20">
      <c r="A94" s="462" t="s">
        <v>596</v>
      </c>
      <c r="B94" s="463" t="s">
        <v>230</v>
      </c>
      <c r="C94" s="463" t="s">
        <v>241</v>
      </c>
      <c r="D94" s="463" t="s">
        <v>251</v>
      </c>
      <c r="E94" s="463" t="s">
        <v>259</v>
      </c>
      <c r="F94" s="463" t="s">
        <v>266</v>
      </c>
      <c r="G94" s="463" t="s">
        <v>272</v>
      </c>
      <c r="H94" s="464" t="s">
        <v>277</v>
      </c>
      <c r="I94" s="464" t="s">
        <v>283</v>
      </c>
      <c r="J94" s="469" t="s">
        <v>287</v>
      </c>
      <c r="K94" s="469" t="s">
        <v>291</v>
      </c>
      <c r="L94" s="469" t="s">
        <v>295</v>
      </c>
      <c r="M94" s="470" t="s">
        <v>299</v>
      </c>
      <c r="N94" s="460">
        <f>SUMPRODUCT((A95:A184=ROUNDDOWN('基准地价修正-商业'!G3,1))*(B94:M94='基准地价修正-商业'!G2)*(B95:M184))</f>
        <v>1.0512999999999999</v>
      </c>
      <c r="Q94" s="473" t="s">
        <v>2700</v>
      </c>
      <c r="R94" s="473" t="s">
        <v>2701</v>
      </c>
      <c r="S94" s="473" t="s">
        <v>2702</v>
      </c>
      <c r="T94" s="473" t="s">
        <v>2703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2705</v>
      </c>
      <c r="B185" s="461"/>
      <c r="C185" s="461"/>
      <c r="D185" s="461"/>
      <c r="E185" s="461"/>
      <c r="F185" s="461"/>
      <c r="G185" s="461"/>
      <c r="H185" s="461"/>
      <c r="I185" s="461"/>
      <c r="J185" s="461"/>
      <c r="K185" s="461"/>
      <c r="L185" s="461"/>
      <c r="M185" s="461"/>
    </row>
    <row r="186" spans="1:20">
      <c r="A186" s="462" t="s">
        <v>596</v>
      </c>
      <c r="B186" s="463" t="s">
        <v>230</v>
      </c>
      <c r="C186" s="463" t="s">
        <v>241</v>
      </c>
      <c r="D186" s="463" t="s">
        <v>251</v>
      </c>
      <c r="E186" s="463" t="s">
        <v>259</v>
      </c>
      <c r="F186" s="463" t="s">
        <v>266</v>
      </c>
      <c r="G186" s="463" t="s">
        <v>272</v>
      </c>
      <c r="H186" s="464" t="s">
        <v>277</v>
      </c>
      <c r="I186" s="464" t="s">
        <v>283</v>
      </c>
      <c r="J186" s="469" t="s">
        <v>287</v>
      </c>
      <c r="K186" s="469" t="s">
        <v>291</v>
      </c>
      <c r="L186" s="469" t="s">
        <v>295</v>
      </c>
      <c r="M186" s="470" t="s">
        <v>299</v>
      </c>
      <c r="Q186" s="473" t="s">
        <v>2700</v>
      </c>
      <c r="R186" s="473" t="s">
        <v>2701</v>
      </c>
      <c r="S186" s="473" t="s">
        <v>2702</v>
      </c>
      <c r="T186" s="473" t="s">
        <v>2703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2706</v>
      </c>
      <c r="B277" s="461"/>
      <c r="C277" s="461"/>
      <c r="D277" s="461"/>
      <c r="E277" s="461"/>
      <c r="F277" s="461"/>
      <c r="G277" s="461"/>
      <c r="H277" s="461"/>
      <c r="I277" s="461"/>
      <c r="J277" s="461"/>
      <c r="K277" s="461"/>
      <c r="L277" s="461"/>
      <c r="M277" s="461"/>
    </row>
    <row r="278" spans="1:21">
      <c r="A278" s="462" t="s">
        <v>596</v>
      </c>
      <c r="B278" s="463" t="s">
        <v>230</v>
      </c>
      <c r="C278" s="463" t="s">
        <v>241</v>
      </c>
      <c r="D278" s="463" t="s">
        <v>251</v>
      </c>
      <c r="E278" s="463" t="s">
        <v>259</v>
      </c>
      <c r="F278" s="463" t="s">
        <v>266</v>
      </c>
      <c r="G278" s="463" t="s">
        <v>272</v>
      </c>
      <c r="H278" s="464" t="s">
        <v>277</v>
      </c>
      <c r="I278" s="464" t="s">
        <v>283</v>
      </c>
      <c r="J278" s="469" t="s">
        <v>287</v>
      </c>
      <c r="K278" s="469" t="s">
        <v>291</v>
      </c>
      <c r="L278" s="469" t="s">
        <v>295</v>
      </c>
      <c r="M278" s="470" t="s">
        <v>299</v>
      </c>
      <c r="Q278" s="473" t="s">
        <v>2700</v>
      </c>
      <c r="R278" s="473" t="s">
        <v>2701</v>
      </c>
      <c r="S278" s="473" t="s">
        <v>2707</v>
      </c>
      <c r="T278" s="473" t="s">
        <v>2708</v>
      </c>
      <c r="U278" s="473" t="s">
        <v>2703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2709</v>
      </c>
      <c r="B369" s="477"/>
      <c r="C369" s="477"/>
      <c r="D369" s="477"/>
      <c r="E369" s="477"/>
      <c r="F369" s="477"/>
      <c r="G369" s="477"/>
      <c r="H369" s="477"/>
      <c r="I369" s="477"/>
      <c r="J369" s="477"/>
      <c r="K369" s="477"/>
      <c r="L369" s="477"/>
      <c r="M369" s="477"/>
    </row>
    <row r="370" spans="1:20">
      <c r="A370" s="462" t="s">
        <v>596</v>
      </c>
      <c r="B370" s="463" t="s">
        <v>230</v>
      </c>
      <c r="C370" s="463" t="s">
        <v>241</v>
      </c>
      <c r="D370" s="463" t="s">
        <v>251</v>
      </c>
      <c r="E370" s="463" t="s">
        <v>259</v>
      </c>
      <c r="F370" s="463" t="s">
        <v>266</v>
      </c>
      <c r="G370" s="463" t="s">
        <v>272</v>
      </c>
      <c r="H370" s="464" t="s">
        <v>277</v>
      </c>
      <c r="I370" s="464" t="s">
        <v>283</v>
      </c>
      <c r="J370" s="469" t="s">
        <v>287</v>
      </c>
      <c r="K370" s="469" t="s">
        <v>291</v>
      </c>
      <c r="L370" s="469" t="s">
        <v>295</v>
      </c>
      <c r="M370" s="470" t="s">
        <v>299</v>
      </c>
      <c r="N370" s="460">
        <f>SUMPRODUCT((A371:A460=ROUNDDOWN('基准地价修正-商业'!G3,1))*(B370:M370='基准地价修正-商业'!G2)*(B371:M460))</f>
        <v>1</v>
      </c>
      <c r="Q370" s="473" t="s">
        <v>2700</v>
      </c>
      <c r="R370" s="473" t="s">
        <v>2701</v>
      </c>
      <c r="S370" s="473" t="s">
        <v>2702</v>
      </c>
      <c r="T370" s="473" t="s">
        <v>2703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2710</v>
      </c>
      <c r="B1" s="375"/>
      <c r="C1" s="376"/>
      <c r="D1" s="376"/>
      <c r="E1" s="376"/>
      <c r="F1" s="376"/>
      <c r="G1" s="377"/>
    </row>
    <row r="2" spans="1:7" s="366" customFormat="1" ht="18" customHeight="1">
      <c r="A2" s="378" t="s">
        <v>2711</v>
      </c>
      <c r="B2" s="379">
        <f ca="1">C52</f>
        <v>27798</v>
      </c>
      <c r="C2" s="380" t="s">
        <v>1918</v>
      </c>
      <c r="D2" s="377"/>
      <c r="E2" s="377"/>
      <c r="F2" s="377"/>
      <c r="G2" s="377"/>
    </row>
    <row r="3" spans="1:7" s="366" customFormat="1" ht="18" customHeight="1">
      <c r="A3" s="381" t="s">
        <v>2712</v>
      </c>
      <c r="B3" s="382">
        <f ca="1">ROUND(B2*10000/'数据-汇总表'!E3,0)</f>
        <v>7140509</v>
      </c>
      <c r="C3" s="380" t="s">
        <v>2181</v>
      </c>
      <c r="D3" s="377"/>
      <c r="E3" s="377"/>
      <c r="F3" s="377"/>
      <c r="G3" s="377"/>
    </row>
    <row r="4" spans="1:7" s="367" customFormat="1" ht="15.75">
      <c r="A4" s="383" t="s">
        <v>2713</v>
      </c>
      <c r="B4" s="384"/>
      <c r="C4" s="384"/>
      <c r="D4" s="384"/>
      <c r="E4" s="384"/>
      <c r="F4" s="384"/>
      <c r="G4" s="385"/>
    </row>
    <row r="5" spans="1:7" s="368" customFormat="1" ht="13.5" customHeight="1">
      <c r="A5" s="386" t="s">
        <v>1566</v>
      </c>
      <c r="B5" s="387" t="s">
        <v>2714</v>
      </c>
      <c r="C5" s="388">
        <f>C6+C7+C8</f>
        <v>20610</v>
      </c>
      <c r="D5" s="388" t="s">
        <v>2715</v>
      </c>
      <c r="E5" s="389" t="s">
        <v>2716</v>
      </c>
      <c r="F5" s="389" t="s">
        <v>2717</v>
      </c>
      <c r="G5" s="390"/>
    </row>
    <row r="6" spans="1:7" s="368" customFormat="1" ht="13.5" customHeight="1">
      <c r="A6" s="391" t="s">
        <v>1570</v>
      </c>
      <c r="B6" s="392" t="s">
        <v>2718</v>
      </c>
      <c r="C6" s="393">
        <v>20000</v>
      </c>
      <c r="D6" s="394"/>
      <c r="E6" s="395"/>
      <c r="F6" s="395"/>
      <c r="G6" s="396"/>
    </row>
    <row r="7" spans="1:7" s="368" customFormat="1" ht="13.5" customHeight="1">
      <c r="A7" s="391" t="s">
        <v>1572</v>
      </c>
      <c r="B7" s="392" t="s">
        <v>2719</v>
      </c>
      <c r="C7" s="397">
        <f>ROUND(C6*F7,0)</f>
        <v>610</v>
      </c>
      <c r="D7" s="397"/>
      <c r="E7" s="395"/>
      <c r="F7" s="398">
        <f>'数据-取费表'!B48+'数据-取费表'!B49</f>
        <v>3.0499999999999999E-2</v>
      </c>
      <c r="G7" s="396"/>
    </row>
    <row r="8" spans="1:7" s="369" customFormat="1">
      <c r="A8" s="391" t="s">
        <v>1574</v>
      </c>
      <c r="B8" s="392" t="s">
        <v>2720</v>
      </c>
      <c r="C8" s="397" t="str">
        <f>IF(G8="已包含在土地购买价格中","0",'数据-取费表'!B29)</f>
        <v>0</v>
      </c>
      <c r="D8" s="399"/>
      <c r="E8" s="397"/>
      <c r="F8" s="398"/>
      <c r="G8" s="400" t="s">
        <v>2721</v>
      </c>
    </row>
    <row r="9" spans="1:7" s="368" customFormat="1" ht="13.5" customHeight="1">
      <c r="A9" s="401" t="s">
        <v>1577</v>
      </c>
      <c r="B9" s="402" t="s">
        <v>2722</v>
      </c>
      <c r="C9" s="403">
        <f>ROUND(D9*E9/10000,0)</f>
        <v>0</v>
      </c>
      <c r="D9" s="404">
        <f>'数据-汇总表'!E5</f>
        <v>0</v>
      </c>
      <c r="E9" s="403">
        <f>'数据-取费表'!B27</f>
        <v>160</v>
      </c>
      <c r="F9" s="398"/>
      <c r="G9" s="405"/>
    </row>
    <row r="10" spans="1:7" s="368" customFormat="1" ht="13.5" customHeight="1">
      <c r="A10" s="401" t="s">
        <v>1581</v>
      </c>
      <c r="B10" s="402" t="s">
        <v>2723</v>
      </c>
      <c r="C10" s="403">
        <f>ROUND(D10*E10/10000,0)</f>
        <v>1</v>
      </c>
      <c r="D10" s="404">
        <f>'数据-汇总表'!E6</f>
        <v>38.93</v>
      </c>
      <c r="E10" s="403">
        <f>'数据-取费表'!B28</f>
        <v>200</v>
      </c>
      <c r="F10" s="398"/>
      <c r="G10" s="405"/>
    </row>
    <row r="11" spans="1:7" s="368" customFormat="1" ht="13.5" hidden="1" customHeight="1">
      <c r="A11" s="406" t="s">
        <v>1583</v>
      </c>
      <c r="B11" s="392" t="s">
        <v>2724</v>
      </c>
      <c r="C11" s="388"/>
      <c r="D11" s="407"/>
      <c r="E11" s="395"/>
      <c r="F11" s="395"/>
      <c r="G11" s="396"/>
    </row>
    <row r="12" spans="1:7" s="368" customFormat="1" ht="13.5" hidden="1" customHeight="1">
      <c r="A12" s="406" t="s">
        <v>1585</v>
      </c>
      <c r="B12" s="392" t="s">
        <v>2725</v>
      </c>
      <c r="C12" s="388">
        <v>0</v>
      </c>
      <c r="D12" s="407"/>
      <c r="E12" s="408"/>
      <c r="F12" s="398">
        <v>3.0499999999999999E-2</v>
      </c>
      <c r="G12" s="396"/>
    </row>
    <row r="13" spans="1:7" s="368" customFormat="1" ht="13.5" hidden="1" customHeight="1">
      <c r="A13" s="406" t="s">
        <v>1586</v>
      </c>
      <c r="B13" s="392" t="s">
        <v>2726</v>
      </c>
      <c r="C13" s="388"/>
      <c r="D13" s="407"/>
      <c r="E13" s="395"/>
      <c r="F13" s="395"/>
      <c r="G13" s="396"/>
    </row>
    <row r="14" spans="1:7" s="368" customFormat="1" ht="13.5" hidden="1" customHeight="1">
      <c r="A14" s="406" t="s">
        <v>1588</v>
      </c>
      <c r="B14" s="392" t="s">
        <v>2720</v>
      </c>
      <c r="C14" s="388"/>
      <c r="D14" s="407"/>
      <c r="E14" s="395"/>
      <c r="F14" s="395"/>
      <c r="G14" s="396" t="s">
        <v>2727</v>
      </c>
    </row>
    <row r="15" spans="1:7" s="368" customFormat="1" ht="13.5" hidden="1" customHeight="1">
      <c r="A15" s="406" t="s">
        <v>1590</v>
      </c>
      <c r="B15" s="392" t="s">
        <v>2728</v>
      </c>
      <c r="C15" s="397"/>
      <c r="D15" s="407"/>
      <c r="E15" s="395"/>
      <c r="F15" s="395"/>
      <c r="G15" s="396" t="s">
        <v>2729</v>
      </c>
    </row>
    <row r="16" spans="1:7" s="368" customFormat="1" ht="13.5" hidden="1" customHeight="1">
      <c r="A16" s="406" t="s">
        <v>1593</v>
      </c>
      <c r="B16" s="392" t="s">
        <v>2720</v>
      </c>
      <c r="C16" s="397"/>
      <c r="D16" s="407"/>
      <c r="E16" s="395"/>
      <c r="F16" s="395"/>
      <c r="G16" s="396"/>
    </row>
    <row r="17" spans="1:7" s="368" customFormat="1" ht="13.5" hidden="1" customHeight="1">
      <c r="A17" s="406" t="s">
        <v>1594</v>
      </c>
      <c r="B17" s="392" t="s">
        <v>2730</v>
      </c>
      <c r="C17" s="409"/>
      <c r="D17" s="410"/>
      <c r="E17" s="409"/>
      <c r="F17" s="409"/>
      <c r="G17" s="396" t="s">
        <v>2729</v>
      </c>
    </row>
    <row r="18" spans="1:7" s="368" customFormat="1" ht="13.5" hidden="1" customHeight="1">
      <c r="A18" s="406" t="s">
        <v>1596</v>
      </c>
      <c r="B18" s="392" t="s">
        <v>2731</v>
      </c>
      <c r="C18" s="397">
        <v>0</v>
      </c>
      <c r="D18" s="407"/>
      <c r="E18" s="395"/>
      <c r="F18" s="398">
        <v>3.0499999999999999E-2</v>
      </c>
      <c r="G18" s="396" t="s">
        <v>2732</v>
      </c>
    </row>
    <row r="19" spans="1:7" s="369" customFormat="1" ht="13.5" customHeight="1">
      <c r="A19" s="411" t="s">
        <v>2285</v>
      </c>
      <c r="B19" s="387" t="s">
        <v>2733</v>
      </c>
      <c r="C19" s="388">
        <f>IF(G19="已包含在土地取得成本中","0",ROUND(D19*E19/10000,0))</f>
        <v>1</v>
      </c>
      <c r="D19" s="412">
        <f>'数据-汇总表'!E3</f>
        <v>38.93</v>
      </c>
      <c r="E19" s="388">
        <f>'数据-取费表'!B31</f>
        <v>200</v>
      </c>
      <c r="F19" s="413"/>
      <c r="G19" s="400" t="s">
        <v>2734</v>
      </c>
    </row>
    <row r="20" spans="1:7" s="368" customFormat="1" ht="13.5" customHeight="1">
      <c r="A20" s="411" t="s">
        <v>2322</v>
      </c>
      <c r="B20" s="387" t="s">
        <v>2735</v>
      </c>
      <c r="C20" s="414">
        <f>ROUND((C5+C19)*F20,0)</f>
        <v>412</v>
      </c>
      <c r="D20" s="414"/>
      <c r="E20" s="414"/>
      <c r="F20" s="415">
        <f>'数据-取费表'!B37</f>
        <v>0.02</v>
      </c>
      <c r="G20" s="416" t="s">
        <v>2736</v>
      </c>
    </row>
    <row r="21" spans="1:7" s="368" customFormat="1" ht="13.5" customHeight="1">
      <c r="A21" s="411" t="s">
        <v>2327</v>
      </c>
      <c r="B21" s="387" t="s">
        <v>2737</v>
      </c>
      <c r="C21" s="417">
        <f>F21</f>
        <v>0.02</v>
      </c>
      <c r="D21" s="418" t="s">
        <v>2738</v>
      </c>
      <c r="E21" s="414"/>
      <c r="F21" s="415">
        <f>'数据-取费表'!B38</f>
        <v>0.02</v>
      </c>
      <c r="G21" s="419" t="s">
        <v>2739</v>
      </c>
    </row>
    <row r="22" spans="1:7" s="368" customFormat="1" ht="13.5" customHeight="1">
      <c r="A22" s="411" t="s">
        <v>2336</v>
      </c>
      <c r="B22" s="387" t="s">
        <v>2740</v>
      </c>
      <c r="C22" s="420">
        <f ca="1">ROUND(SUM(C23:C25),0)</f>
        <v>1461</v>
      </c>
      <c r="D22" s="417">
        <f ca="1">C26</f>
        <v>6.9999999999999999E-4</v>
      </c>
      <c r="E22" s="418" t="s">
        <v>2738</v>
      </c>
      <c r="F22" s="421">
        <f ca="1">'数据-取费表'!B40</f>
        <v>3.4500000000000003E-2</v>
      </c>
      <c r="G22" s="416" t="str">
        <f>IF('数据-取费表'!B22&lt;=1,"单利计息","复利计息")</f>
        <v>复利计息</v>
      </c>
    </row>
    <row r="23" spans="1:7" s="368" customFormat="1" ht="13.5" customHeight="1">
      <c r="A23" s="422" t="s">
        <v>1570</v>
      </c>
      <c r="B23" s="392" t="s">
        <v>2741</v>
      </c>
      <c r="C23" s="423">
        <f ca="1">ROUND(IF('数据-取费表'!B22&lt;=1,C5*F22*'数据-取费表'!B23,C5*(POWER((1+F22),'数据-取费表'!B23)-1)),0)</f>
        <v>1447</v>
      </c>
      <c r="D23" s="424"/>
      <c r="E23" s="424"/>
      <c r="F23" s="425"/>
      <c r="G23" s="426" t="s">
        <v>2742</v>
      </c>
    </row>
    <row r="24" spans="1:7" s="368" customFormat="1" ht="13.5" customHeight="1">
      <c r="A24" s="422" t="s">
        <v>1572</v>
      </c>
      <c r="B24" s="392" t="s">
        <v>2743</v>
      </c>
      <c r="C24" s="423">
        <f ca="1">ROUND(IF('数据-取费表'!B22&lt;=1,C19*F22*('数据-取费表'!B19/2+'数据-取费表'!B21),C19*(POWER((1+F22),('数据-取费表'!B19/2+'数据-取费表'!B21))-1)),0)</f>
        <v>0</v>
      </c>
      <c r="D24" s="424"/>
      <c r="E24" s="424"/>
      <c r="F24" s="425"/>
      <c r="G24" s="426" t="s">
        <v>2744</v>
      </c>
    </row>
    <row r="25" spans="1:7" s="368" customFormat="1" ht="24">
      <c r="A25" s="422" t="s">
        <v>1574</v>
      </c>
      <c r="B25" s="392" t="s">
        <v>2745</v>
      </c>
      <c r="C25" s="423">
        <f ca="1">ROUND(IF('数据-取费表'!B22&lt;=1,C20*F22*'数据-取费表'!B23/2,C20*(POWER((1+F22),'数据-取费表'!B23/2)-1)),0)</f>
        <v>14</v>
      </c>
      <c r="D25" s="424"/>
      <c r="E25" s="427"/>
      <c r="F25" s="425"/>
      <c r="G25" s="428" t="s">
        <v>2746</v>
      </c>
    </row>
    <row r="26" spans="1:7" s="368" customFormat="1">
      <c r="A26" s="422" t="s">
        <v>1617</v>
      </c>
      <c r="B26" s="392" t="s">
        <v>2747</v>
      </c>
      <c r="C26" s="424">
        <f ca="1">ROUND(IF('数据-取费表'!B22&lt;=1,F21*F22*'数据-取费表'!B23/2,F21*(POWER((1+F22),'数据-取费表'!B23/2)-1)),4)</f>
        <v>6.9999999999999999E-4</v>
      </c>
      <c r="D26" s="424"/>
      <c r="E26" s="427"/>
      <c r="F26" s="425"/>
      <c r="G26" s="429"/>
    </row>
    <row r="27" spans="1:7" s="368" customFormat="1" ht="24.75">
      <c r="A27" s="411" t="s">
        <v>2345</v>
      </c>
      <c r="B27" s="430" t="s">
        <v>2748</v>
      </c>
      <c r="C27" s="431">
        <f>C28</f>
        <v>3153</v>
      </c>
      <c r="D27" s="417">
        <f>C29</f>
        <v>3.0000000000000001E-3</v>
      </c>
      <c r="E27" s="418" t="s">
        <v>2738</v>
      </c>
      <c r="F27" s="432">
        <f>'数据-取费表'!Q16</f>
        <v>0.15</v>
      </c>
      <c r="G27" s="433" t="s">
        <v>2749</v>
      </c>
    </row>
    <row r="28" spans="1:7" s="368" customFormat="1" ht="13.5" customHeight="1">
      <c r="A28" s="422" t="s">
        <v>1570</v>
      </c>
      <c r="B28" s="434" t="s">
        <v>2750</v>
      </c>
      <c r="C28" s="435">
        <f>ROUND((C5+C19+C20)*F27*'数据-取费表'!B21/'数据-取费表'!B20,0)</f>
        <v>3153</v>
      </c>
      <c r="D28" s="417"/>
      <c r="E28" s="418"/>
      <c r="F28" s="432"/>
      <c r="G28" s="433"/>
    </row>
    <row r="29" spans="1:7" s="368" customFormat="1" ht="13.5" customHeight="1">
      <c r="A29" s="422" t="s">
        <v>1572</v>
      </c>
      <c r="B29" s="434" t="s">
        <v>2751</v>
      </c>
      <c r="C29" s="424">
        <f>ROUND(C21*F27*'数据-取费表'!B21/'数据-取费表'!B20,4)</f>
        <v>3.0000000000000001E-3</v>
      </c>
      <c r="D29" s="417"/>
      <c r="E29" s="418"/>
      <c r="F29" s="432"/>
      <c r="G29" s="433"/>
    </row>
    <row r="30" spans="1:7" s="368" customFormat="1" ht="13.5" customHeight="1">
      <c r="A30" s="411" t="s">
        <v>2752</v>
      </c>
      <c r="B30" s="387" t="s">
        <v>2753</v>
      </c>
      <c r="C30" s="417">
        <f>F30</f>
        <v>5.6000000000000001E-2</v>
      </c>
      <c r="D30" s="418" t="s">
        <v>2754</v>
      </c>
      <c r="E30" s="427"/>
      <c r="F30" s="421">
        <f>'数据-取费表'!B41</f>
        <v>5.6000000000000001E-2</v>
      </c>
      <c r="G30" s="419" t="s">
        <v>2755</v>
      </c>
    </row>
    <row r="31" spans="1:7" ht="16.5" customHeight="1">
      <c r="A31" s="436">
        <v>1</v>
      </c>
      <c r="B31" s="387" t="s">
        <v>2756</v>
      </c>
      <c r="C31" s="388">
        <f ca="1">ROUND((C5+C19+C20+C22+C27)/(1-C21-D22-D27-C30/(1+'数据-取费表'!B42)),0)</f>
        <v>27777</v>
      </c>
      <c r="D31" s="437"/>
      <c r="E31" s="388"/>
      <c r="F31" s="438"/>
      <c r="G31" s="419" t="s">
        <v>2757</v>
      </c>
    </row>
    <row r="32" spans="1:7" s="367" customFormat="1" ht="15.75">
      <c r="A32" s="439" t="s">
        <v>2758</v>
      </c>
      <c r="B32" s="440"/>
      <c r="C32" s="440"/>
      <c r="D32" s="440"/>
      <c r="E32" s="440"/>
      <c r="F32" s="440"/>
      <c r="G32" s="441"/>
    </row>
    <row r="33" spans="1:7" s="368" customFormat="1" ht="13.5" customHeight="1">
      <c r="A33" s="386" t="s">
        <v>1566</v>
      </c>
      <c r="B33" s="387" t="s">
        <v>2759</v>
      </c>
      <c r="C33" s="442">
        <f>SUM(C34:C38)</f>
        <v>20</v>
      </c>
      <c r="D33" s="414"/>
      <c r="E33" s="389"/>
      <c r="F33" s="427"/>
      <c r="G33" s="419"/>
    </row>
    <row r="34" spans="1:7" s="370" customFormat="1" ht="13.5" customHeight="1">
      <c r="A34" s="422" t="s">
        <v>1570</v>
      </c>
      <c r="B34" s="392" t="s">
        <v>2760</v>
      </c>
      <c r="C34" s="397">
        <f>IF(F34=100%,'数据-取费表'!M16-SUMIF('数据-取费表'!C:C,"公共配套",'数据-取费表'!M:M),'数据-取费表'!O16-SUMIF('数据-取费表'!C:C,"公共配套",'数据-取费表'!O:O))</f>
        <v>18</v>
      </c>
      <c r="D34" s="394"/>
      <c r="E34" s="397"/>
      <c r="F34" s="443">
        <f>IF('数据-取费表'!B24=0,1,'数据-取费表'!N16)</f>
        <v>1</v>
      </c>
      <c r="G34" s="396" t="s">
        <v>2761</v>
      </c>
    </row>
    <row r="35" spans="1:7" ht="13.5" customHeight="1">
      <c r="A35" s="422" t="s">
        <v>1572</v>
      </c>
      <c r="B35" s="392" t="s">
        <v>2762</v>
      </c>
      <c r="C35" s="397">
        <f>ROUND(C34*F35,0)</f>
        <v>1</v>
      </c>
      <c r="D35" s="397"/>
      <c r="E35" s="397"/>
      <c r="F35" s="444">
        <f>'数据-取费表'!B33</f>
        <v>0.05</v>
      </c>
      <c r="G35" s="396" t="s">
        <v>2763</v>
      </c>
    </row>
    <row r="36" spans="1:7" ht="24">
      <c r="A36" s="422" t="s">
        <v>1574</v>
      </c>
      <c r="B36" s="392" t="s">
        <v>2764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2765</v>
      </c>
    </row>
    <row r="37" spans="1:7" s="370" customFormat="1" ht="13.5" customHeight="1">
      <c r="A37" s="422" t="s">
        <v>1617</v>
      </c>
      <c r="B37" s="392" t="s">
        <v>2766</v>
      </c>
      <c r="C37" s="435">
        <f>ROUND(E37*D37*F34/10000,0)</f>
        <v>1</v>
      </c>
      <c r="D37" s="394">
        <f>'数据-汇总表'!E3</f>
        <v>38.93</v>
      </c>
      <c r="E37" s="435">
        <f>'数据-取费表'!B35</f>
        <v>200</v>
      </c>
      <c r="F37" s="444"/>
      <c r="G37" s="446" t="s">
        <v>2767</v>
      </c>
    </row>
    <row r="38" spans="1:7" ht="13.5" customHeight="1">
      <c r="A38" s="422" t="s">
        <v>1639</v>
      </c>
      <c r="B38" s="392" t="s">
        <v>2725</v>
      </c>
      <c r="C38" s="397">
        <f>ROUND(C34*F38,0)</f>
        <v>0</v>
      </c>
      <c r="D38" s="397"/>
      <c r="E38" s="397"/>
      <c r="F38" s="444">
        <f>'数据-取费表'!B36</f>
        <v>1.4999999999999999E-2</v>
      </c>
      <c r="G38" s="396" t="s">
        <v>2763</v>
      </c>
    </row>
    <row r="39" spans="1:7" s="368" customFormat="1" ht="13.5" customHeight="1">
      <c r="A39" s="411" t="s">
        <v>2285</v>
      </c>
      <c r="B39" s="387" t="s">
        <v>2735</v>
      </c>
      <c r="C39" s="414">
        <f>ROUND(C33*F20,0)</f>
        <v>0</v>
      </c>
      <c r="D39" s="414"/>
      <c r="E39" s="414"/>
      <c r="F39" s="415"/>
      <c r="G39" s="416" t="s">
        <v>2768</v>
      </c>
    </row>
    <row r="40" spans="1:7" s="368" customFormat="1" ht="13.5" customHeight="1">
      <c r="A40" s="411" t="s">
        <v>2322</v>
      </c>
      <c r="B40" s="387" t="s">
        <v>2737</v>
      </c>
      <c r="C40" s="447">
        <f>F21</f>
        <v>0.02</v>
      </c>
      <c r="D40" s="418" t="s">
        <v>2769</v>
      </c>
      <c r="E40" s="414"/>
      <c r="F40" s="415"/>
      <c r="G40" s="419" t="s">
        <v>2770</v>
      </c>
    </row>
    <row r="41" spans="1:7" s="368" customFormat="1" ht="13.5" customHeight="1">
      <c r="A41" s="411" t="s">
        <v>2327</v>
      </c>
      <c r="B41" s="387" t="s">
        <v>2740</v>
      </c>
      <c r="C41" s="414">
        <f ca="1">ROUND(SUM(C42:C43),0)</f>
        <v>1</v>
      </c>
      <c r="D41" s="417">
        <f ca="1">C44</f>
        <v>6.9999999999999999E-4</v>
      </c>
      <c r="E41" s="418" t="s">
        <v>2769</v>
      </c>
      <c r="F41" s="421"/>
      <c r="G41" s="416" t="str">
        <f>IF('数据-取费表'!B22&lt;=1,"单利计息","复利计息")</f>
        <v>复利计息</v>
      </c>
    </row>
    <row r="42" spans="1:7" ht="13.5" customHeight="1">
      <c r="A42" s="422" t="s">
        <v>1570</v>
      </c>
      <c r="B42" s="392" t="s">
        <v>2741</v>
      </c>
      <c r="C42" s="424">
        <f ca="1">ROUND(IF('数据-取费表'!B22&lt;=1,C33*F22*'数据-取费表'!B21/2,C33*(POWER((1+F22),'数据-取费表'!B21/2)-1)),0)</f>
        <v>1</v>
      </c>
      <c r="D42" s="424"/>
      <c r="E42" s="424"/>
      <c r="F42" s="425"/>
      <c r="G42" s="3783" t="s">
        <v>2771</v>
      </c>
    </row>
    <row r="43" spans="1:7" ht="13.5" customHeight="1">
      <c r="A43" s="422" t="s">
        <v>1572</v>
      </c>
      <c r="B43" s="392" t="s">
        <v>2743</v>
      </c>
      <c r="C43" s="424">
        <f ca="1">ROUND(IF('数据-取费表'!B22&lt;=1,C39*F22*'数据-取费表'!B21/2,C39*(POWER((1+F22),'数据-取费表'!B21/2)-1)),0)</f>
        <v>0</v>
      </c>
      <c r="D43" s="424"/>
      <c r="E43" s="424"/>
      <c r="F43" s="425"/>
      <c r="G43" s="3784"/>
    </row>
    <row r="44" spans="1:7" ht="13.5" customHeight="1">
      <c r="A44" s="422" t="s">
        <v>1574</v>
      </c>
      <c r="B44" s="392" t="s">
        <v>2745</v>
      </c>
      <c r="C44" s="424">
        <f ca="1">ROUND(IF('数据-取费表'!B22&lt;=1,C40*F22*'数据-取费表'!B21/2,C40*(POWER((1+F22),'数据-取费表'!B21/2)-1)),4)</f>
        <v>6.9999999999999999E-4</v>
      </c>
      <c r="D44" s="424"/>
      <c r="E44" s="424"/>
      <c r="F44" s="425"/>
      <c r="G44" s="3785"/>
    </row>
    <row r="45" spans="1:7" s="368" customFormat="1" ht="13.5" customHeight="1">
      <c r="A45" s="411" t="s">
        <v>2336</v>
      </c>
      <c r="B45" s="430" t="s">
        <v>2748</v>
      </c>
      <c r="C45" s="431">
        <f>C46</f>
        <v>3</v>
      </c>
      <c r="D45" s="417">
        <f>C47</f>
        <v>3.0000000000000001E-3</v>
      </c>
      <c r="E45" s="418" t="s">
        <v>2769</v>
      </c>
      <c r="F45" s="432"/>
      <c r="G45" s="433" t="s">
        <v>2772</v>
      </c>
    </row>
    <row r="46" spans="1:7" s="368" customFormat="1" ht="13.5" customHeight="1">
      <c r="A46" s="422" t="s">
        <v>1570</v>
      </c>
      <c r="B46" s="434" t="s">
        <v>2773</v>
      </c>
      <c r="C46" s="435">
        <f>ROUND((C33+C39)*F27,0)</f>
        <v>3</v>
      </c>
      <c r="D46" s="448"/>
      <c r="E46" s="418"/>
      <c r="F46" s="432"/>
      <c r="G46" s="433"/>
    </row>
    <row r="47" spans="1:7" s="368" customFormat="1" ht="13.5" customHeight="1">
      <c r="A47" s="422" t="s">
        <v>1572</v>
      </c>
      <c r="B47" s="434" t="s">
        <v>2774</v>
      </c>
      <c r="C47" s="424">
        <f>ROUND(C40*F27,4)</f>
        <v>3.0000000000000001E-3</v>
      </c>
      <c r="D47" s="448"/>
      <c r="E47" s="418"/>
      <c r="F47" s="432"/>
      <c r="G47" s="433"/>
    </row>
    <row r="48" spans="1:7" s="368" customFormat="1" ht="13.5" customHeight="1">
      <c r="A48" s="411" t="s">
        <v>2345</v>
      </c>
      <c r="B48" s="387" t="s">
        <v>2753</v>
      </c>
      <c r="C48" s="447">
        <f>F30</f>
        <v>5.6000000000000001E-2</v>
      </c>
      <c r="D48" s="418" t="s">
        <v>2775</v>
      </c>
      <c r="E48" s="414"/>
      <c r="F48" s="421"/>
      <c r="G48" s="419" t="s">
        <v>2776</v>
      </c>
    </row>
    <row r="49" spans="1:7" ht="16.5" customHeight="1">
      <c r="A49" s="411" t="s">
        <v>2752</v>
      </c>
      <c r="B49" s="387" t="s">
        <v>2777</v>
      </c>
      <c r="C49" s="414">
        <f ca="1">ROUND((C33+C39+C41+C45)/(1-C40-D41-D45-C48/(1+'数据-取费表'!B42)),0)</f>
        <v>26</v>
      </c>
      <c r="D49" s="414"/>
      <c r="E49" s="414"/>
      <c r="F49" s="449"/>
      <c r="G49" s="419" t="s">
        <v>2778</v>
      </c>
    </row>
    <row r="50" spans="1:7" s="370" customFormat="1" ht="24">
      <c r="A50" s="411" t="s">
        <v>2779</v>
      </c>
      <c r="B50" s="387" t="s">
        <v>2780</v>
      </c>
      <c r="C50" s="414"/>
      <c r="D50" s="414"/>
      <c r="E50" s="414"/>
      <c r="F50" s="449">
        <f>IF('数据-取费表'!B24=0,'数据-取费表'!N16,1)</f>
        <v>0.82</v>
      </c>
      <c r="G50" s="433" t="s">
        <v>2781</v>
      </c>
    </row>
    <row r="51" spans="1:7" ht="16.5" customHeight="1">
      <c r="A51" s="411" t="s">
        <v>2782</v>
      </c>
      <c r="B51" s="387" t="s">
        <v>2783</v>
      </c>
      <c r="C51" s="414">
        <f ca="1">ROUND(C49*F50,0)</f>
        <v>21</v>
      </c>
      <c r="D51" s="414"/>
      <c r="E51" s="414"/>
      <c r="F51" s="449"/>
      <c r="G51" s="419" t="s">
        <v>2784</v>
      </c>
    </row>
    <row r="52" spans="1:7" s="367" customFormat="1" ht="15.75">
      <c r="A52" s="450" t="s">
        <v>2785</v>
      </c>
      <c r="B52" s="451"/>
      <c r="C52" s="452">
        <f ca="1">C31+C51</f>
        <v>27798</v>
      </c>
      <c r="D52" s="451"/>
      <c r="E52" s="451"/>
      <c r="F52" s="451"/>
      <c r="G52" s="453"/>
    </row>
    <row r="55" spans="1:7" ht="15">
      <c r="B55" s="454" t="s">
        <v>2786</v>
      </c>
      <c r="C55" s="455"/>
    </row>
    <row r="56" spans="1:7">
      <c r="B56" s="456" t="s">
        <v>2787</v>
      </c>
      <c r="C56" s="457">
        <f ca="1">ROUND(C51/C52,3)</f>
        <v>1E-3</v>
      </c>
    </row>
    <row r="57" spans="1:7">
      <c r="B57" s="456" t="s">
        <v>2788</v>
      </c>
      <c r="C57" s="458">
        <f ca="1">1-C56</f>
        <v>0.999</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22" t="s">
        <v>2789</v>
      </c>
      <c r="B1" s="3922"/>
      <c r="C1" s="3922"/>
      <c r="D1" s="3922"/>
      <c r="E1" s="3922"/>
      <c r="F1" s="3922"/>
      <c r="G1" s="3923"/>
      <c r="I1" s="358" t="s">
        <v>230</v>
      </c>
      <c r="J1" s="359" t="s">
        <v>241</v>
      </c>
      <c r="K1" s="359" t="s">
        <v>251</v>
      </c>
      <c r="L1" s="359" t="s">
        <v>259</v>
      </c>
      <c r="M1" s="359" t="s">
        <v>266</v>
      </c>
      <c r="N1" s="359" t="s">
        <v>272</v>
      </c>
      <c r="O1" s="359" t="s">
        <v>277</v>
      </c>
      <c r="P1" s="359" t="s">
        <v>283</v>
      </c>
      <c r="Q1" s="359" t="s">
        <v>287</v>
      </c>
      <c r="R1" s="359" t="s">
        <v>291</v>
      </c>
      <c r="S1" s="359" t="s">
        <v>295</v>
      </c>
      <c r="T1" s="360" t="s">
        <v>299</v>
      </c>
    </row>
    <row r="2" spans="1:20">
      <c r="A2" s="338" t="s">
        <v>2790</v>
      </c>
      <c r="B2" s="338"/>
      <c r="C2" s="338"/>
      <c r="D2" s="338"/>
      <c r="E2" s="338"/>
      <c r="F2" s="338"/>
      <c r="G2" s="339" t="s">
        <v>2791</v>
      </c>
      <c r="I2" s="346" t="s">
        <v>2792</v>
      </c>
      <c r="J2" s="346" t="s">
        <v>2793</v>
      </c>
      <c r="K2" s="346" t="s">
        <v>2794</v>
      </c>
      <c r="L2" s="346" t="s">
        <v>2795</v>
      </c>
      <c r="M2" s="346" t="s">
        <v>2796</v>
      </c>
      <c r="N2" s="346" t="s">
        <v>2797</v>
      </c>
      <c r="O2" s="346" t="s">
        <v>2798</v>
      </c>
      <c r="P2" s="346" t="s">
        <v>2799</v>
      </c>
      <c r="Q2" s="346" t="s">
        <v>2800</v>
      </c>
      <c r="R2" s="346" t="s">
        <v>2801</v>
      </c>
      <c r="S2" s="346" t="s">
        <v>2802</v>
      </c>
      <c r="T2" s="346" t="s">
        <v>2803</v>
      </c>
    </row>
    <row r="3" spans="1:20" s="335" customFormat="1">
      <c r="A3" s="3924" t="s">
        <v>2804</v>
      </c>
      <c r="B3" s="340"/>
      <c r="C3" s="341" t="s">
        <v>919</v>
      </c>
      <c r="D3" s="341" t="s">
        <v>2471</v>
      </c>
      <c r="E3" s="341" t="s">
        <v>413</v>
      </c>
      <c r="F3" s="341" t="s">
        <v>409</v>
      </c>
      <c r="G3" s="341" t="s">
        <v>279</v>
      </c>
      <c r="H3" s="342"/>
      <c r="I3" s="347" t="s">
        <v>2805</v>
      </c>
      <c r="J3" s="348" t="s">
        <v>2806</v>
      </c>
      <c r="K3" s="348" t="s">
        <v>2807</v>
      </c>
      <c r="L3" s="347" t="s">
        <v>2808</v>
      </c>
      <c r="M3" s="347" t="s">
        <v>2809</v>
      </c>
      <c r="N3" s="347" t="s">
        <v>2810</v>
      </c>
      <c r="O3" s="347" t="s">
        <v>2811</v>
      </c>
      <c r="P3" s="347" t="s">
        <v>2812</v>
      </c>
      <c r="Q3" s="347" t="s">
        <v>2813</v>
      </c>
      <c r="R3" s="347" t="s">
        <v>2814</v>
      </c>
      <c r="S3" s="347" t="s">
        <v>2815</v>
      </c>
      <c r="T3" s="347" t="s">
        <v>2816</v>
      </c>
    </row>
    <row r="4" spans="1:20" s="335" customFormat="1">
      <c r="A4" s="3925"/>
      <c r="B4" s="343" t="s">
        <v>2817</v>
      </c>
      <c r="C4" s="343" t="s">
        <v>2818</v>
      </c>
      <c r="D4" s="343" t="s">
        <v>2818</v>
      </c>
      <c r="E4" s="343" t="s">
        <v>2818</v>
      </c>
      <c r="F4" s="344" t="s">
        <v>2818</v>
      </c>
      <c r="G4" s="344" t="s">
        <v>2818</v>
      </c>
      <c r="H4" s="342"/>
      <c r="I4" s="348" t="s">
        <v>2819</v>
      </c>
      <c r="J4" s="348" t="s">
        <v>2820</v>
      </c>
      <c r="K4" s="348" t="s">
        <v>2821</v>
      </c>
      <c r="L4" s="347" t="s">
        <v>2822</v>
      </c>
      <c r="M4" s="347" t="s">
        <v>2823</v>
      </c>
      <c r="N4" s="347" t="s">
        <v>2824</v>
      </c>
      <c r="O4" s="347" t="s">
        <v>2825</v>
      </c>
      <c r="P4" s="347" t="s">
        <v>2826</v>
      </c>
      <c r="Q4" s="347" t="s">
        <v>2827</v>
      </c>
      <c r="R4" s="347" t="s">
        <v>2828</v>
      </c>
      <c r="S4" s="347" t="s">
        <v>2829</v>
      </c>
      <c r="T4" s="347" t="s">
        <v>2830</v>
      </c>
    </row>
    <row r="5" spans="1:20">
      <c r="A5" s="345" t="s">
        <v>230</v>
      </c>
      <c r="B5" s="346" t="s">
        <v>2792</v>
      </c>
      <c r="C5" s="346">
        <v>34550</v>
      </c>
      <c r="D5" s="346">
        <v>34470</v>
      </c>
      <c r="E5" s="346">
        <v>34330</v>
      </c>
      <c r="F5" s="346">
        <v>13400</v>
      </c>
      <c r="G5" s="346">
        <v>25450</v>
      </c>
      <c r="H5" s="342"/>
      <c r="I5" s="347" t="s">
        <v>2831</v>
      </c>
      <c r="J5" s="348" t="s">
        <v>2832</v>
      </c>
      <c r="K5" s="348" t="s">
        <v>2833</v>
      </c>
      <c r="L5" s="347" t="s">
        <v>2834</v>
      </c>
      <c r="M5" s="347" t="s">
        <v>2835</v>
      </c>
      <c r="N5" s="347" t="s">
        <v>2836</v>
      </c>
      <c r="O5" s="347" t="s">
        <v>2837</v>
      </c>
      <c r="P5" s="347" t="s">
        <v>2838</v>
      </c>
      <c r="Q5" s="347" t="s">
        <v>2839</v>
      </c>
      <c r="R5" s="347" t="s">
        <v>2840</v>
      </c>
      <c r="S5" s="347" t="s">
        <v>2841</v>
      </c>
      <c r="T5" s="347" t="s">
        <v>2842</v>
      </c>
    </row>
    <row r="6" spans="1:20">
      <c r="A6" s="347" t="s">
        <v>230</v>
      </c>
      <c r="B6" s="347" t="s">
        <v>2805</v>
      </c>
      <c r="C6" s="347">
        <v>36990</v>
      </c>
      <c r="D6" s="347">
        <v>36850</v>
      </c>
      <c r="E6" s="347">
        <v>36700</v>
      </c>
      <c r="F6" s="347">
        <v>14590</v>
      </c>
      <c r="G6" s="347">
        <v>27450</v>
      </c>
      <c r="H6" s="342"/>
      <c r="I6" s="350" t="s">
        <v>2843</v>
      </c>
      <c r="J6" s="348" t="s">
        <v>2844</v>
      </c>
      <c r="K6" s="348" t="s">
        <v>2845</v>
      </c>
      <c r="L6" s="347" t="s">
        <v>2846</v>
      </c>
      <c r="M6" s="347" t="s">
        <v>2847</v>
      </c>
      <c r="N6" s="347" t="s">
        <v>2848</v>
      </c>
      <c r="O6" s="347" t="s">
        <v>2849</v>
      </c>
      <c r="P6" s="347" t="s">
        <v>2850</v>
      </c>
      <c r="Q6" s="347" t="s">
        <v>2851</v>
      </c>
      <c r="R6" s="347" t="s">
        <v>2852</v>
      </c>
      <c r="S6" s="347" t="s">
        <v>2853</v>
      </c>
      <c r="T6" s="347" t="s">
        <v>2854</v>
      </c>
    </row>
    <row r="7" spans="1:20">
      <c r="A7" s="347" t="s">
        <v>230</v>
      </c>
      <c r="B7" s="348" t="s">
        <v>2819</v>
      </c>
      <c r="C7" s="347">
        <v>34850</v>
      </c>
      <c r="D7" s="347">
        <v>34690</v>
      </c>
      <c r="E7" s="347">
        <v>34550</v>
      </c>
      <c r="F7" s="347">
        <v>14360</v>
      </c>
      <c r="G7" s="347">
        <v>25620</v>
      </c>
      <c r="H7" s="342"/>
      <c r="J7" s="348" t="s">
        <v>2855</v>
      </c>
      <c r="K7" s="348" t="s">
        <v>2856</v>
      </c>
      <c r="L7" s="347" t="s">
        <v>2857</v>
      </c>
      <c r="M7" s="347" t="s">
        <v>2858</v>
      </c>
      <c r="N7" s="347" t="s">
        <v>2859</v>
      </c>
      <c r="O7" s="347" t="s">
        <v>2860</v>
      </c>
      <c r="P7" s="347" t="s">
        <v>2861</v>
      </c>
      <c r="Q7" s="347" t="s">
        <v>2862</v>
      </c>
      <c r="R7" s="347" t="s">
        <v>2863</v>
      </c>
      <c r="S7" s="347" t="s">
        <v>2864</v>
      </c>
      <c r="T7" s="347" t="s">
        <v>2865</v>
      </c>
    </row>
    <row r="8" spans="1:20">
      <c r="A8" s="347" t="s">
        <v>230</v>
      </c>
      <c r="B8" s="347" t="s">
        <v>2831</v>
      </c>
      <c r="C8" s="347">
        <v>32630</v>
      </c>
      <c r="D8" s="347">
        <v>32510</v>
      </c>
      <c r="E8" s="347">
        <v>32420</v>
      </c>
      <c r="F8" s="347">
        <v>13300</v>
      </c>
      <c r="G8" s="347">
        <v>24010</v>
      </c>
      <c r="H8" s="342"/>
      <c r="J8" s="348" t="s">
        <v>2866</v>
      </c>
      <c r="K8" s="348" t="s">
        <v>2867</v>
      </c>
      <c r="L8" s="347" t="s">
        <v>2868</v>
      </c>
      <c r="M8" s="347" t="s">
        <v>2869</v>
      </c>
      <c r="N8" s="347" t="s">
        <v>2870</v>
      </c>
      <c r="O8" s="347" t="s">
        <v>2871</v>
      </c>
      <c r="P8" s="347" t="s">
        <v>2872</v>
      </c>
      <c r="Q8" s="347" t="s">
        <v>2873</v>
      </c>
      <c r="R8" s="347" t="s">
        <v>2874</v>
      </c>
      <c r="S8" s="347" t="s">
        <v>2875</v>
      </c>
      <c r="T8" s="351" t="s">
        <v>2876</v>
      </c>
    </row>
    <row r="9" spans="1:20">
      <c r="A9" s="349" t="s">
        <v>230</v>
      </c>
      <c r="B9" s="350" t="s">
        <v>2843</v>
      </c>
      <c r="C9" s="351">
        <v>36370</v>
      </c>
      <c r="D9" s="351">
        <v>36210</v>
      </c>
      <c r="E9" s="351">
        <v>36050</v>
      </c>
      <c r="F9" s="351"/>
      <c r="G9" s="351">
        <v>26740</v>
      </c>
      <c r="H9" s="342"/>
      <c r="J9" s="348" t="s">
        <v>2877</v>
      </c>
      <c r="K9" s="348" t="s">
        <v>2878</v>
      </c>
      <c r="L9" s="347" t="s">
        <v>2879</v>
      </c>
      <c r="M9" s="347" t="s">
        <v>2880</v>
      </c>
      <c r="N9" s="347" t="s">
        <v>2881</v>
      </c>
      <c r="O9" s="347" t="s">
        <v>2882</v>
      </c>
      <c r="P9" s="347" t="s">
        <v>2883</v>
      </c>
      <c r="Q9" s="347" t="s">
        <v>2884</v>
      </c>
      <c r="R9" s="347" t="s">
        <v>2885</v>
      </c>
      <c r="S9" s="347" t="s">
        <v>2886</v>
      </c>
    </row>
    <row r="10" spans="1:20">
      <c r="A10" s="345" t="s">
        <v>241</v>
      </c>
      <c r="B10" s="346" t="s">
        <v>2793</v>
      </c>
      <c r="C10" s="347">
        <v>32350</v>
      </c>
      <c r="D10" s="347">
        <v>31430</v>
      </c>
      <c r="E10" s="347">
        <v>31320</v>
      </c>
      <c r="F10" s="347">
        <v>10850</v>
      </c>
      <c r="G10" s="347">
        <v>22860</v>
      </c>
      <c r="H10" s="342"/>
      <c r="J10" s="348" t="s">
        <v>2887</v>
      </c>
      <c r="K10" s="348" t="s">
        <v>2888</v>
      </c>
      <c r="L10" s="347" t="s">
        <v>2889</v>
      </c>
      <c r="M10" s="347" t="s">
        <v>2890</v>
      </c>
      <c r="N10" s="347" t="s">
        <v>2891</v>
      </c>
      <c r="O10" s="347" t="s">
        <v>2892</v>
      </c>
      <c r="P10" s="347" t="s">
        <v>2893</v>
      </c>
      <c r="Q10" s="347" t="s">
        <v>2894</v>
      </c>
      <c r="R10" s="347" t="s">
        <v>2895</v>
      </c>
      <c r="S10" s="347" t="s">
        <v>2896</v>
      </c>
    </row>
    <row r="11" spans="1:20">
      <c r="A11" s="347" t="s">
        <v>241</v>
      </c>
      <c r="B11" s="348" t="s">
        <v>2806</v>
      </c>
      <c r="C11" s="347">
        <v>31590</v>
      </c>
      <c r="D11" s="347">
        <v>29490</v>
      </c>
      <c r="E11" s="347">
        <v>28700</v>
      </c>
      <c r="F11" s="347">
        <v>10410</v>
      </c>
      <c r="G11" s="347">
        <v>21460</v>
      </c>
      <c r="H11" s="342"/>
      <c r="J11" s="348" t="s">
        <v>2897</v>
      </c>
      <c r="K11" s="348" t="s">
        <v>2898</v>
      </c>
      <c r="L11" s="347" t="s">
        <v>2899</v>
      </c>
      <c r="M11" s="347" t="s">
        <v>2900</v>
      </c>
      <c r="N11" s="347" t="s">
        <v>2901</v>
      </c>
      <c r="O11" s="347" t="s">
        <v>2902</v>
      </c>
      <c r="P11" s="347" t="s">
        <v>2903</v>
      </c>
      <c r="Q11" s="347" t="s">
        <v>2904</v>
      </c>
      <c r="R11" s="347" t="s">
        <v>2905</v>
      </c>
      <c r="S11" s="347" t="s">
        <v>2906</v>
      </c>
    </row>
    <row r="12" spans="1:20">
      <c r="A12" s="347" t="s">
        <v>241</v>
      </c>
      <c r="B12" s="348" t="s">
        <v>2820</v>
      </c>
      <c r="C12" s="347">
        <v>29640</v>
      </c>
      <c r="D12" s="347">
        <v>27550</v>
      </c>
      <c r="E12" s="347">
        <v>28010</v>
      </c>
      <c r="F12" s="347">
        <v>8730</v>
      </c>
      <c r="G12" s="347">
        <v>20050</v>
      </c>
      <c r="H12" s="342"/>
      <c r="J12" s="348" t="s">
        <v>2907</v>
      </c>
      <c r="K12" s="348" t="s">
        <v>2908</v>
      </c>
      <c r="L12" s="347" t="s">
        <v>2909</v>
      </c>
      <c r="M12" s="347" t="s">
        <v>2910</v>
      </c>
      <c r="N12" s="347" t="s">
        <v>2911</v>
      </c>
      <c r="O12" s="347" t="s">
        <v>2912</v>
      </c>
      <c r="P12" s="347" t="s">
        <v>2913</v>
      </c>
      <c r="Q12" s="347" t="s">
        <v>2914</v>
      </c>
      <c r="R12" s="347" t="s">
        <v>2915</v>
      </c>
      <c r="S12" s="347" t="s">
        <v>2916</v>
      </c>
    </row>
    <row r="13" spans="1:20">
      <c r="A13" s="347" t="s">
        <v>241</v>
      </c>
      <c r="B13" s="348" t="s">
        <v>2832</v>
      </c>
      <c r="C13" s="347">
        <v>29680</v>
      </c>
      <c r="D13" s="347">
        <v>27660</v>
      </c>
      <c r="E13" s="347">
        <v>28210</v>
      </c>
      <c r="F13" s="347">
        <v>9590</v>
      </c>
      <c r="G13" s="347">
        <v>20120</v>
      </c>
      <c r="H13" s="342"/>
      <c r="J13" s="348" t="s">
        <v>2917</v>
      </c>
      <c r="K13" s="348" t="s">
        <v>2918</v>
      </c>
      <c r="L13" s="347" t="s">
        <v>2919</v>
      </c>
      <c r="M13" s="347" t="s">
        <v>2920</v>
      </c>
      <c r="N13" s="347" t="s">
        <v>2921</v>
      </c>
      <c r="O13" s="347" t="s">
        <v>2922</v>
      </c>
      <c r="P13" s="347" t="s">
        <v>2923</v>
      </c>
      <c r="Q13" s="347" t="s">
        <v>2924</v>
      </c>
      <c r="R13" s="347" t="s">
        <v>2925</v>
      </c>
      <c r="S13" s="347" t="s">
        <v>2926</v>
      </c>
    </row>
    <row r="14" spans="1:20">
      <c r="A14" s="347" t="s">
        <v>241</v>
      </c>
      <c r="B14" s="348" t="s">
        <v>2844</v>
      </c>
      <c r="C14" s="347">
        <v>30520</v>
      </c>
      <c r="D14" s="347">
        <v>29510</v>
      </c>
      <c r="E14" s="347">
        <v>29400</v>
      </c>
      <c r="F14" s="347">
        <v>9630</v>
      </c>
      <c r="G14" s="347">
        <v>21480</v>
      </c>
      <c r="H14" s="342"/>
      <c r="J14" s="348" t="s">
        <v>2927</v>
      </c>
      <c r="K14" s="348" t="s">
        <v>2928</v>
      </c>
      <c r="L14" s="347" t="s">
        <v>2929</v>
      </c>
      <c r="M14" s="347" t="s">
        <v>2930</v>
      </c>
      <c r="N14" s="347" t="s">
        <v>2931</v>
      </c>
      <c r="O14" s="347" t="s">
        <v>2932</v>
      </c>
      <c r="P14" s="347" t="s">
        <v>2933</v>
      </c>
      <c r="Q14" s="347" t="s">
        <v>2934</v>
      </c>
      <c r="R14" s="347" t="s">
        <v>2935</v>
      </c>
      <c r="S14" s="347" t="s">
        <v>2936</v>
      </c>
    </row>
    <row r="15" spans="1:20">
      <c r="A15" s="347" t="s">
        <v>241</v>
      </c>
      <c r="B15" s="348" t="s">
        <v>2855</v>
      </c>
      <c r="C15" s="347">
        <v>29090</v>
      </c>
      <c r="D15" s="347">
        <v>27590</v>
      </c>
      <c r="E15" s="347">
        <v>28120</v>
      </c>
      <c r="F15" s="347">
        <v>9110</v>
      </c>
      <c r="G15" s="347">
        <v>20070</v>
      </c>
      <c r="H15" s="342"/>
      <c r="J15" s="348" t="s">
        <v>2937</v>
      </c>
      <c r="K15" s="348" t="s">
        <v>2938</v>
      </c>
      <c r="L15" s="347" t="s">
        <v>2939</v>
      </c>
      <c r="M15" s="347" t="s">
        <v>2940</v>
      </c>
      <c r="N15" s="347" t="s">
        <v>2941</v>
      </c>
      <c r="O15" s="347" t="s">
        <v>2942</v>
      </c>
      <c r="P15" s="347" t="s">
        <v>2943</v>
      </c>
      <c r="Q15" s="347" t="s">
        <v>2944</v>
      </c>
      <c r="R15" s="347" t="s">
        <v>2945</v>
      </c>
      <c r="S15" s="347" t="s">
        <v>2946</v>
      </c>
    </row>
    <row r="16" spans="1:20">
      <c r="A16" s="347" t="s">
        <v>241</v>
      </c>
      <c r="B16" s="348" t="s">
        <v>2866</v>
      </c>
      <c r="C16" s="347">
        <v>26790</v>
      </c>
      <c r="D16" s="347">
        <v>30370</v>
      </c>
      <c r="E16" s="347">
        <v>30240</v>
      </c>
      <c r="F16" s="347">
        <v>11590</v>
      </c>
      <c r="G16" s="347">
        <v>22090</v>
      </c>
      <c r="H16" s="342"/>
      <c r="J16" s="348" t="s">
        <v>2947</v>
      </c>
      <c r="K16" s="348" t="s">
        <v>2948</v>
      </c>
      <c r="L16" s="347" t="s">
        <v>2949</v>
      </c>
      <c r="M16" s="347" t="s">
        <v>2950</v>
      </c>
      <c r="N16" s="347" t="s">
        <v>2951</v>
      </c>
      <c r="O16" s="347" t="s">
        <v>2952</v>
      </c>
      <c r="P16" s="347" t="s">
        <v>2953</v>
      </c>
      <c r="Q16" s="347" t="s">
        <v>2954</v>
      </c>
      <c r="R16" s="347" t="s">
        <v>2955</v>
      </c>
      <c r="S16" s="347" t="s">
        <v>2956</v>
      </c>
    </row>
    <row r="17" spans="1:19" ht="14.25" customHeight="1">
      <c r="A17" s="347" t="s">
        <v>241</v>
      </c>
      <c r="B17" s="348" t="s">
        <v>2877</v>
      </c>
      <c r="C17" s="347">
        <v>29180</v>
      </c>
      <c r="D17" s="347">
        <v>27620</v>
      </c>
      <c r="E17" s="347">
        <v>28180</v>
      </c>
      <c r="F17" s="347">
        <v>10790</v>
      </c>
      <c r="G17" s="347">
        <v>20090</v>
      </c>
      <c r="H17" s="342"/>
      <c r="J17" s="348" t="s">
        <v>2957</v>
      </c>
      <c r="K17" s="348" t="s">
        <v>2958</v>
      </c>
      <c r="L17" s="347" t="s">
        <v>2959</v>
      </c>
      <c r="M17" s="347" t="s">
        <v>2960</v>
      </c>
      <c r="N17" s="347" t="s">
        <v>2961</v>
      </c>
      <c r="O17" s="347" t="s">
        <v>2962</v>
      </c>
      <c r="P17" s="347" t="s">
        <v>2963</v>
      </c>
      <c r="Q17" s="347" t="s">
        <v>2964</v>
      </c>
      <c r="R17" s="347" t="s">
        <v>2965</v>
      </c>
      <c r="S17" s="347" t="s">
        <v>2966</v>
      </c>
    </row>
    <row r="18" spans="1:19" ht="14.25" customHeight="1">
      <c r="A18" s="347" t="s">
        <v>241</v>
      </c>
      <c r="B18" s="348" t="s">
        <v>2887</v>
      </c>
      <c r="C18" s="347">
        <v>26840</v>
      </c>
      <c r="D18" s="347">
        <v>28930</v>
      </c>
      <c r="E18" s="347">
        <v>28820</v>
      </c>
      <c r="F18" s="347"/>
      <c r="G18" s="347">
        <v>21050</v>
      </c>
      <c r="H18" s="342"/>
      <c r="J18" s="348" t="s">
        <v>2967</v>
      </c>
      <c r="K18" s="348" t="s">
        <v>2968</v>
      </c>
      <c r="L18" s="347" t="s">
        <v>2969</v>
      </c>
      <c r="M18" s="347" t="s">
        <v>2970</v>
      </c>
      <c r="N18" s="347" t="s">
        <v>2971</v>
      </c>
      <c r="O18" s="347" t="s">
        <v>2972</v>
      </c>
      <c r="P18" s="347" t="s">
        <v>2973</v>
      </c>
      <c r="Q18" s="347" t="s">
        <v>2974</v>
      </c>
      <c r="R18" s="347" t="s">
        <v>2975</v>
      </c>
      <c r="S18" s="347" t="s">
        <v>2976</v>
      </c>
    </row>
    <row r="19" spans="1:19" ht="14.25" customHeight="1">
      <c r="A19" s="347" t="s">
        <v>241</v>
      </c>
      <c r="B19" s="348" t="s">
        <v>2897</v>
      </c>
      <c r="C19" s="347">
        <v>27750</v>
      </c>
      <c r="D19" s="347">
        <v>26680</v>
      </c>
      <c r="E19" s="347">
        <v>26590</v>
      </c>
      <c r="F19" s="347"/>
      <c r="G19" s="347">
        <v>19420</v>
      </c>
      <c r="H19" s="342"/>
      <c r="J19" s="348" t="s">
        <v>2977</v>
      </c>
      <c r="K19" s="348" t="s">
        <v>2978</v>
      </c>
      <c r="L19" s="347" t="s">
        <v>2979</v>
      </c>
      <c r="M19" s="347" t="s">
        <v>2980</v>
      </c>
      <c r="N19" s="347" t="s">
        <v>2981</v>
      </c>
      <c r="O19" s="347" t="s">
        <v>2982</v>
      </c>
      <c r="P19" s="347" t="s">
        <v>2983</v>
      </c>
      <c r="Q19" s="347" t="s">
        <v>2984</v>
      </c>
      <c r="R19" s="347" t="s">
        <v>2985</v>
      </c>
      <c r="S19" s="347" t="s">
        <v>2986</v>
      </c>
    </row>
    <row r="20" spans="1:19" ht="14.25" customHeight="1">
      <c r="A20" s="347" t="s">
        <v>241</v>
      </c>
      <c r="B20" s="348" t="s">
        <v>2907</v>
      </c>
      <c r="C20" s="347">
        <v>27050</v>
      </c>
      <c r="D20" s="347">
        <v>29010</v>
      </c>
      <c r="E20" s="347">
        <v>28910</v>
      </c>
      <c r="F20" s="347"/>
      <c r="G20" s="347">
        <v>21110</v>
      </c>
      <c r="J20" s="348" t="s">
        <v>2987</v>
      </c>
      <c r="K20" s="348" t="s">
        <v>2988</v>
      </c>
      <c r="L20" s="347" t="s">
        <v>2989</v>
      </c>
      <c r="M20" s="347" t="s">
        <v>2990</v>
      </c>
      <c r="N20" s="347" t="s">
        <v>2991</v>
      </c>
      <c r="O20" s="347" t="s">
        <v>2992</v>
      </c>
      <c r="P20" s="347" t="s">
        <v>2993</v>
      </c>
      <c r="Q20" s="347" t="s">
        <v>2994</v>
      </c>
      <c r="R20" s="347" t="s">
        <v>2995</v>
      </c>
      <c r="S20" s="347" t="s">
        <v>2996</v>
      </c>
    </row>
    <row r="21" spans="1:19" ht="14.25" customHeight="1">
      <c r="A21" s="347" t="s">
        <v>241</v>
      </c>
      <c r="B21" s="348" t="s">
        <v>2917</v>
      </c>
      <c r="C21" s="347">
        <v>32370</v>
      </c>
      <c r="D21" s="347">
        <v>26730</v>
      </c>
      <c r="E21" s="347">
        <v>26640</v>
      </c>
      <c r="F21" s="347"/>
      <c r="G21" s="347">
        <v>19440</v>
      </c>
      <c r="J21" s="351" t="s">
        <v>2997</v>
      </c>
      <c r="K21" s="348" t="s">
        <v>2998</v>
      </c>
      <c r="L21" s="347" t="s">
        <v>2999</v>
      </c>
      <c r="M21" s="347" t="s">
        <v>3000</v>
      </c>
      <c r="N21" s="347" t="s">
        <v>3001</v>
      </c>
      <c r="O21" s="347" t="s">
        <v>3002</v>
      </c>
      <c r="P21" s="347" t="s">
        <v>3003</v>
      </c>
      <c r="Q21" s="347" t="s">
        <v>3004</v>
      </c>
      <c r="R21" s="347" t="s">
        <v>3005</v>
      </c>
      <c r="S21" s="351" t="s">
        <v>3006</v>
      </c>
    </row>
    <row r="22" spans="1:19" ht="14.25" customHeight="1">
      <c r="A22" s="347" t="s">
        <v>241</v>
      </c>
      <c r="B22" s="348" t="s">
        <v>2927</v>
      </c>
      <c r="C22" s="347">
        <v>29830</v>
      </c>
      <c r="D22" s="347">
        <v>27600</v>
      </c>
      <c r="E22" s="347">
        <v>28150</v>
      </c>
      <c r="F22" s="347"/>
      <c r="G22" s="347">
        <v>20080</v>
      </c>
      <c r="K22" s="348" t="s">
        <v>3007</v>
      </c>
      <c r="L22" s="347" t="s">
        <v>3008</v>
      </c>
      <c r="M22" s="347" t="s">
        <v>3009</v>
      </c>
      <c r="N22" s="347" t="s">
        <v>3010</v>
      </c>
      <c r="O22" s="347" t="s">
        <v>3011</v>
      </c>
      <c r="P22" s="347" t="s">
        <v>3012</v>
      </c>
      <c r="Q22" s="347" t="s">
        <v>3013</v>
      </c>
      <c r="R22" s="347" t="s">
        <v>3014</v>
      </c>
    </row>
    <row r="23" spans="1:19" ht="14.25" customHeight="1">
      <c r="A23" s="347" t="s">
        <v>241</v>
      </c>
      <c r="B23" s="348" t="s">
        <v>2937</v>
      </c>
      <c r="C23" s="347">
        <v>27800</v>
      </c>
      <c r="D23" s="347">
        <v>26900</v>
      </c>
      <c r="E23" s="347">
        <v>27170</v>
      </c>
      <c r="F23" s="347"/>
      <c r="G23" s="347">
        <v>19570</v>
      </c>
      <c r="K23" s="348" t="s">
        <v>3015</v>
      </c>
      <c r="L23" s="347" t="s">
        <v>3016</v>
      </c>
      <c r="M23" s="347" t="s">
        <v>3017</v>
      </c>
      <c r="N23" s="347" t="s">
        <v>3018</v>
      </c>
      <c r="O23" s="347" t="s">
        <v>3019</v>
      </c>
      <c r="P23" s="347" t="s">
        <v>3020</v>
      </c>
      <c r="Q23" s="347" t="s">
        <v>3021</v>
      </c>
      <c r="R23" s="347" t="s">
        <v>3022</v>
      </c>
    </row>
    <row r="24" spans="1:19" ht="14.25" customHeight="1">
      <c r="A24" s="347" t="s">
        <v>241</v>
      </c>
      <c r="B24" s="348" t="s">
        <v>2947</v>
      </c>
      <c r="C24" s="347">
        <v>27930</v>
      </c>
      <c r="D24" s="347">
        <v>32260</v>
      </c>
      <c r="E24" s="347">
        <v>32120</v>
      </c>
      <c r="F24" s="347"/>
      <c r="G24" s="347">
        <v>23470</v>
      </c>
      <c r="K24" s="348" t="s">
        <v>3023</v>
      </c>
      <c r="L24" s="347" t="s">
        <v>3024</v>
      </c>
      <c r="M24" s="347" t="s">
        <v>3025</v>
      </c>
      <c r="N24" s="347" t="s">
        <v>3026</v>
      </c>
      <c r="O24" s="347" t="s">
        <v>3027</v>
      </c>
      <c r="P24" s="347" t="s">
        <v>3028</v>
      </c>
      <c r="Q24" s="361" t="s">
        <v>3029</v>
      </c>
      <c r="R24" s="347" t="s">
        <v>3030</v>
      </c>
    </row>
    <row r="25" spans="1:19" ht="14.25" customHeight="1">
      <c r="A25" s="347" t="s">
        <v>241</v>
      </c>
      <c r="B25" s="348" t="s">
        <v>2957</v>
      </c>
      <c r="C25" s="347">
        <v>32230</v>
      </c>
      <c r="D25" s="347">
        <v>29640</v>
      </c>
      <c r="E25" s="347">
        <v>29510</v>
      </c>
      <c r="F25" s="347"/>
      <c r="G25" s="347">
        <v>21560</v>
      </c>
      <c r="K25" s="348" t="s">
        <v>3031</v>
      </c>
      <c r="L25" s="347" t="s">
        <v>3032</v>
      </c>
      <c r="M25" s="347" t="s">
        <v>3033</v>
      </c>
      <c r="N25" s="347" t="s">
        <v>3034</v>
      </c>
      <c r="O25" s="347" t="s">
        <v>3035</v>
      </c>
      <c r="P25" s="347" t="s">
        <v>3036</v>
      </c>
      <c r="Q25" s="361" t="s">
        <v>3037</v>
      </c>
      <c r="R25" s="347" t="s">
        <v>3038</v>
      </c>
    </row>
    <row r="26" spans="1:19" ht="14.25" customHeight="1">
      <c r="A26" s="347" t="s">
        <v>241</v>
      </c>
      <c r="B26" s="348" t="s">
        <v>2967</v>
      </c>
      <c r="C26" s="347">
        <v>31690</v>
      </c>
      <c r="D26" s="347">
        <v>27650</v>
      </c>
      <c r="E26" s="347">
        <v>28200</v>
      </c>
      <c r="F26" s="347"/>
      <c r="G26" s="347">
        <v>20110</v>
      </c>
      <c r="K26" s="350" t="s">
        <v>3039</v>
      </c>
      <c r="L26" s="347" t="s">
        <v>3040</v>
      </c>
      <c r="M26" s="347" t="s">
        <v>3041</v>
      </c>
      <c r="N26" s="347" t="s">
        <v>3042</v>
      </c>
      <c r="O26" s="347" t="s">
        <v>3043</v>
      </c>
      <c r="P26" s="347" t="s">
        <v>3044</v>
      </c>
      <c r="Q26" s="361" t="s">
        <v>3045</v>
      </c>
      <c r="R26" s="347" t="s">
        <v>3046</v>
      </c>
    </row>
    <row r="27" spans="1:19" ht="14.25" customHeight="1">
      <c r="A27" s="347" t="s">
        <v>241</v>
      </c>
      <c r="B27" s="348" t="s">
        <v>2977</v>
      </c>
      <c r="C27" s="347">
        <v>29610</v>
      </c>
      <c r="D27" s="347">
        <v>27770</v>
      </c>
      <c r="E27" s="347">
        <v>28300</v>
      </c>
      <c r="F27" s="347"/>
      <c r="G27" s="347">
        <v>20210</v>
      </c>
      <c r="L27" s="347" t="s">
        <v>3047</v>
      </c>
      <c r="M27" s="347" t="s">
        <v>3048</v>
      </c>
      <c r="N27" s="347" t="s">
        <v>3049</v>
      </c>
      <c r="O27" s="347" t="s">
        <v>3050</v>
      </c>
      <c r="P27" s="347" t="s">
        <v>3051</v>
      </c>
      <c r="Q27" s="347" t="s">
        <v>3052</v>
      </c>
      <c r="R27" s="347" t="s">
        <v>3053</v>
      </c>
    </row>
    <row r="28" spans="1:19" ht="14.25" customHeight="1">
      <c r="A28" s="347" t="s">
        <v>241</v>
      </c>
      <c r="B28" s="348" t="s">
        <v>2987</v>
      </c>
      <c r="C28" s="347"/>
      <c r="D28" s="347">
        <v>31520</v>
      </c>
      <c r="E28" s="347">
        <v>31410</v>
      </c>
      <c r="F28" s="347"/>
      <c r="G28" s="347">
        <v>22940</v>
      </c>
      <c r="L28" s="347" t="s">
        <v>3054</v>
      </c>
      <c r="M28" s="347" t="s">
        <v>3055</v>
      </c>
      <c r="N28" s="347" t="s">
        <v>3056</v>
      </c>
      <c r="O28" s="347" t="s">
        <v>3057</v>
      </c>
      <c r="P28" s="347" t="s">
        <v>3058</v>
      </c>
      <c r="Q28" s="347" t="s">
        <v>3059</v>
      </c>
      <c r="R28" s="347" t="s">
        <v>3060</v>
      </c>
    </row>
    <row r="29" spans="1:19" ht="14.25" customHeight="1">
      <c r="A29" s="349" t="s">
        <v>241</v>
      </c>
      <c r="B29" s="352" t="s">
        <v>2997</v>
      </c>
      <c r="C29" s="353"/>
      <c r="D29" s="353">
        <v>29460</v>
      </c>
      <c r="E29" s="353">
        <v>28640</v>
      </c>
      <c r="F29" s="353"/>
      <c r="G29" s="353">
        <v>21430</v>
      </c>
      <c r="L29" s="347" t="s">
        <v>3061</v>
      </c>
      <c r="M29" s="347" t="s">
        <v>3062</v>
      </c>
      <c r="N29" s="347" t="s">
        <v>3063</v>
      </c>
      <c r="O29" s="347" t="s">
        <v>3064</v>
      </c>
      <c r="P29" s="347" t="s">
        <v>3065</v>
      </c>
      <c r="Q29" s="347" t="s">
        <v>3066</v>
      </c>
      <c r="R29" s="347" t="s">
        <v>3067</v>
      </c>
    </row>
    <row r="30" spans="1:19" ht="14.25" customHeight="1">
      <c r="A30" s="345" t="s">
        <v>251</v>
      </c>
      <c r="B30" s="346" t="s">
        <v>2794</v>
      </c>
      <c r="C30" s="346">
        <v>26890</v>
      </c>
      <c r="D30" s="346">
        <v>26770</v>
      </c>
      <c r="E30" s="346">
        <v>25700</v>
      </c>
      <c r="F30" s="346">
        <v>8180</v>
      </c>
      <c r="G30" s="354">
        <v>18740</v>
      </c>
      <c r="L30" s="347" t="s">
        <v>3068</v>
      </c>
      <c r="M30" s="347" t="s">
        <v>3069</v>
      </c>
      <c r="N30" s="347" t="s">
        <v>3070</v>
      </c>
      <c r="O30" s="347" t="s">
        <v>3071</v>
      </c>
      <c r="P30" s="347" t="s">
        <v>3072</v>
      </c>
      <c r="Q30" s="347" t="s">
        <v>3073</v>
      </c>
      <c r="R30" s="347" t="s">
        <v>3074</v>
      </c>
    </row>
    <row r="31" spans="1:19" ht="14.25" customHeight="1">
      <c r="A31" s="347" t="s">
        <v>251</v>
      </c>
      <c r="B31" s="348" t="s">
        <v>2807</v>
      </c>
      <c r="C31" s="347">
        <v>24550</v>
      </c>
      <c r="D31" s="347">
        <v>23990</v>
      </c>
      <c r="E31" s="347">
        <v>22930</v>
      </c>
      <c r="F31" s="347">
        <v>7470</v>
      </c>
      <c r="G31" s="355">
        <v>16790</v>
      </c>
      <c r="L31" s="347" t="s">
        <v>3075</v>
      </c>
      <c r="M31" s="347" t="s">
        <v>3076</v>
      </c>
      <c r="N31" s="347" t="s">
        <v>3077</v>
      </c>
      <c r="O31" s="347" t="s">
        <v>3078</v>
      </c>
      <c r="P31" s="347" t="s">
        <v>3079</v>
      </c>
      <c r="Q31" s="347" t="s">
        <v>3080</v>
      </c>
      <c r="R31" s="347" t="s">
        <v>3081</v>
      </c>
    </row>
    <row r="32" spans="1:19" ht="14.25" customHeight="1">
      <c r="A32" s="347" t="s">
        <v>251</v>
      </c>
      <c r="B32" s="348" t="s">
        <v>2821</v>
      </c>
      <c r="C32" s="347">
        <v>27210</v>
      </c>
      <c r="D32" s="347">
        <v>23240</v>
      </c>
      <c r="E32" s="347">
        <v>23260</v>
      </c>
      <c r="F32" s="347">
        <v>7130</v>
      </c>
      <c r="G32" s="355">
        <v>16270</v>
      </c>
      <c r="L32" s="347" t="s">
        <v>3082</v>
      </c>
      <c r="M32" s="347" t="s">
        <v>3083</v>
      </c>
      <c r="N32" s="347" t="s">
        <v>3084</v>
      </c>
      <c r="O32" s="347" t="s">
        <v>3085</v>
      </c>
      <c r="P32" s="347" t="s">
        <v>3086</v>
      </c>
      <c r="Q32" s="347" t="s">
        <v>3087</v>
      </c>
      <c r="R32" s="351" t="s">
        <v>3088</v>
      </c>
    </row>
    <row r="33" spans="1:17" ht="14.25" customHeight="1">
      <c r="A33" s="347" t="s">
        <v>251</v>
      </c>
      <c r="B33" s="348" t="s">
        <v>2833</v>
      </c>
      <c r="C33" s="347">
        <v>27300</v>
      </c>
      <c r="D33" s="347">
        <v>22980</v>
      </c>
      <c r="E33" s="347">
        <v>24260</v>
      </c>
      <c r="F33" s="347">
        <v>5860</v>
      </c>
      <c r="G33" s="355">
        <v>16090</v>
      </c>
      <c r="L33" s="351" t="s">
        <v>3089</v>
      </c>
      <c r="M33" s="347" t="s">
        <v>3090</v>
      </c>
      <c r="N33" s="347" t="s">
        <v>3091</v>
      </c>
      <c r="O33" s="347" t="s">
        <v>3092</v>
      </c>
      <c r="P33" s="347" t="s">
        <v>3093</v>
      </c>
      <c r="Q33" s="347" t="s">
        <v>3094</v>
      </c>
    </row>
    <row r="34" spans="1:17" ht="14.25" customHeight="1">
      <c r="A34" s="347" t="s">
        <v>251</v>
      </c>
      <c r="B34" s="348" t="s">
        <v>2845</v>
      </c>
      <c r="C34" s="347">
        <v>23090</v>
      </c>
      <c r="D34" s="347">
        <v>23390</v>
      </c>
      <c r="E34" s="347">
        <v>23510</v>
      </c>
      <c r="F34" s="347">
        <v>6700</v>
      </c>
      <c r="G34" s="355">
        <v>16370</v>
      </c>
      <c r="M34" s="347" t="s">
        <v>3095</v>
      </c>
      <c r="N34" s="347" t="s">
        <v>3096</v>
      </c>
      <c r="O34" s="347" t="s">
        <v>3097</v>
      </c>
      <c r="P34" s="347" t="s">
        <v>3098</v>
      </c>
      <c r="Q34" s="347" t="s">
        <v>3099</v>
      </c>
    </row>
    <row r="35" spans="1:17" ht="14.25" customHeight="1">
      <c r="A35" s="347" t="s">
        <v>251</v>
      </c>
      <c r="B35" s="348" t="s">
        <v>2856</v>
      </c>
      <c r="C35" s="347">
        <v>27270</v>
      </c>
      <c r="D35" s="347">
        <v>24270</v>
      </c>
      <c r="E35" s="347">
        <v>24950</v>
      </c>
      <c r="F35" s="347">
        <v>6600</v>
      </c>
      <c r="G35" s="355">
        <v>16990</v>
      </c>
      <c r="M35" s="347" t="s">
        <v>3100</v>
      </c>
      <c r="N35" s="347" t="s">
        <v>3101</v>
      </c>
      <c r="O35" s="347" t="s">
        <v>3102</v>
      </c>
      <c r="P35" s="347" t="s">
        <v>3103</v>
      </c>
      <c r="Q35" s="347" t="s">
        <v>3104</v>
      </c>
    </row>
    <row r="36" spans="1:17" ht="14.25" customHeight="1">
      <c r="A36" s="347" t="s">
        <v>251</v>
      </c>
      <c r="B36" s="348" t="s">
        <v>2867</v>
      </c>
      <c r="C36" s="347">
        <v>23490</v>
      </c>
      <c r="D36" s="347">
        <v>23020</v>
      </c>
      <c r="E36" s="347">
        <v>25230</v>
      </c>
      <c r="F36" s="347">
        <v>6780</v>
      </c>
      <c r="G36" s="355">
        <v>16120</v>
      </c>
      <c r="M36" s="347" t="s">
        <v>3105</v>
      </c>
      <c r="N36" s="347" t="s">
        <v>3106</v>
      </c>
      <c r="O36" s="347" t="s">
        <v>3107</v>
      </c>
      <c r="P36" s="347" t="s">
        <v>3108</v>
      </c>
      <c r="Q36" s="347" t="s">
        <v>3109</v>
      </c>
    </row>
    <row r="37" spans="1:17" ht="14.25" customHeight="1">
      <c r="A37" s="347" t="s">
        <v>251</v>
      </c>
      <c r="B37" s="348" t="s">
        <v>2878</v>
      </c>
      <c r="C37" s="347">
        <v>24380</v>
      </c>
      <c r="D37" s="347">
        <v>22240</v>
      </c>
      <c r="E37" s="347">
        <v>25980</v>
      </c>
      <c r="F37" s="347">
        <v>8160</v>
      </c>
      <c r="G37" s="355">
        <v>15570</v>
      </c>
      <c r="M37" s="347" t="s">
        <v>3110</v>
      </c>
      <c r="N37" s="347" t="s">
        <v>3111</v>
      </c>
      <c r="O37" s="347" t="s">
        <v>3112</v>
      </c>
      <c r="P37" s="347" t="s">
        <v>3113</v>
      </c>
      <c r="Q37" s="347" t="s">
        <v>3114</v>
      </c>
    </row>
    <row r="38" spans="1:17" ht="14.25" customHeight="1">
      <c r="A38" s="347" t="s">
        <v>251</v>
      </c>
      <c r="B38" s="348" t="s">
        <v>2888</v>
      </c>
      <c r="C38" s="347">
        <v>23120</v>
      </c>
      <c r="D38" s="347">
        <v>24630</v>
      </c>
      <c r="E38" s="347">
        <v>25030</v>
      </c>
      <c r="F38" s="347">
        <v>7710</v>
      </c>
      <c r="G38" s="355">
        <v>17240</v>
      </c>
      <c r="M38" s="347" t="s">
        <v>3115</v>
      </c>
      <c r="N38" s="347" t="s">
        <v>3116</v>
      </c>
      <c r="O38" s="347" t="s">
        <v>3117</v>
      </c>
      <c r="P38" s="347" t="s">
        <v>3118</v>
      </c>
      <c r="Q38" s="347" t="s">
        <v>3119</v>
      </c>
    </row>
    <row r="39" spans="1:17" ht="14.25" customHeight="1">
      <c r="A39" s="347" t="s">
        <v>251</v>
      </c>
      <c r="B39" s="348" t="s">
        <v>2898</v>
      </c>
      <c r="C39" s="347">
        <v>22330</v>
      </c>
      <c r="D39" s="347">
        <v>21140</v>
      </c>
      <c r="E39" s="347">
        <v>23970</v>
      </c>
      <c r="F39" s="347">
        <v>7940</v>
      </c>
      <c r="G39" s="355">
        <v>14790</v>
      </c>
      <c r="M39" s="347" t="s">
        <v>3120</v>
      </c>
      <c r="N39" s="347" t="s">
        <v>3121</v>
      </c>
      <c r="O39" s="347" t="s">
        <v>3122</v>
      </c>
      <c r="P39" s="347" t="s">
        <v>3123</v>
      </c>
      <c r="Q39" s="347" t="s">
        <v>3124</v>
      </c>
    </row>
    <row r="40" spans="1:17" ht="14.25" customHeight="1">
      <c r="A40" s="347" t="s">
        <v>251</v>
      </c>
      <c r="B40" s="348" t="s">
        <v>2908</v>
      </c>
      <c r="C40" s="347">
        <v>24740</v>
      </c>
      <c r="D40" s="347">
        <v>24690</v>
      </c>
      <c r="E40" s="347">
        <v>22610</v>
      </c>
      <c r="F40" s="347"/>
      <c r="G40" s="355">
        <v>17280</v>
      </c>
      <c r="M40" s="347" t="s">
        <v>3125</v>
      </c>
      <c r="N40" s="347" t="s">
        <v>500</v>
      </c>
      <c r="O40" s="347" t="s">
        <v>3126</v>
      </c>
      <c r="P40" s="347" t="s">
        <v>3127</v>
      </c>
      <c r="Q40" s="347" t="s">
        <v>3128</v>
      </c>
    </row>
    <row r="41" spans="1:17" ht="14.25" customHeight="1">
      <c r="A41" s="347" t="s">
        <v>251</v>
      </c>
      <c r="B41" s="348" t="s">
        <v>2918</v>
      </c>
      <c r="C41" s="347">
        <v>21220</v>
      </c>
      <c r="D41" s="347">
        <v>21120</v>
      </c>
      <c r="E41" s="347">
        <v>22590</v>
      </c>
      <c r="F41" s="347"/>
      <c r="G41" s="355">
        <v>14780</v>
      </c>
      <c r="M41" s="351" t="s">
        <v>3129</v>
      </c>
      <c r="N41" s="347" t="s">
        <v>3130</v>
      </c>
      <c r="O41" s="347" t="s">
        <v>3131</v>
      </c>
      <c r="P41" s="347" t="s">
        <v>3132</v>
      </c>
      <c r="Q41" s="347" t="s">
        <v>3133</v>
      </c>
    </row>
    <row r="42" spans="1:17" ht="14.25" customHeight="1">
      <c r="A42" s="347" t="s">
        <v>251</v>
      </c>
      <c r="B42" s="348" t="s">
        <v>2928</v>
      </c>
      <c r="C42" s="347">
        <v>24800</v>
      </c>
      <c r="D42" s="347">
        <v>22280</v>
      </c>
      <c r="E42" s="347">
        <v>24350</v>
      </c>
      <c r="F42" s="347"/>
      <c r="G42" s="355">
        <v>15590</v>
      </c>
      <c r="N42" s="347" t="s">
        <v>3134</v>
      </c>
      <c r="O42" s="347" t="s">
        <v>3135</v>
      </c>
      <c r="P42" s="347" t="s">
        <v>3136</v>
      </c>
      <c r="Q42" s="347" t="s">
        <v>3137</v>
      </c>
    </row>
    <row r="43" spans="1:17" ht="14.25" customHeight="1">
      <c r="A43" s="347" t="s">
        <v>251</v>
      </c>
      <c r="B43" s="348" t="s">
        <v>2938</v>
      </c>
      <c r="C43" s="347">
        <v>21210</v>
      </c>
      <c r="D43" s="347">
        <v>21160</v>
      </c>
      <c r="E43" s="347">
        <v>22650</v>
      </c>
      <c r="F43" s="347"/>
      <c r="G43" s="355">
        <v>14800</v>
      </c>
      <c r="N43" s="347" t="s">
        <v>3138</v>
      </c>
      <c r="O43" s="347" t="s">
        <v>3139</v>
      </c>
      <c r="P43" s="347" t="s">
        <v>3140</v>
      </c>
      <c r="Q43" s="347" t="s">
        <v>3141</v>
      </c>
    </row>
    <row r="44" spans="1:17" ht="14.25" customHeight="1">
      <c r="A44" s="347" t="s">
        <v>251</v>
      </c>
      <c r="B44" s="348" t="s">
        <v>2948</v>
      </c>
      <c r="C44" s="347">
        <v>22370</v>
      </c>
      <c r="D44" s="347">
        <v>23140</v>
      </c>
      <c r="E44" s="347">
        <v>25090</v>
      </c>
      <c r="F44" s="347"/>
      <c r="G44" s="355">
        <v>16190</v>
      </c>
      <c r="N44" s="347" t="s">
        <v>3142</v>
      </c>
      <c r="O44" s="347" t="s">
        <v>3143</v>
      </c>
      <c r="P44" s="351" t="s">
        <v>3144</v>
      </c>
      <c r="Q44" s="347" t="s">
        <v>3145</v>
      </c>
    </row>
    <row r="45" spans="1:17" ht="14.25" customHeight="1">
      <c r="A45" s="347" t="s">
        <v>251</v>
      </c>
      <c r="B45" s="348" t="s">
        <v>2958</v>
      </c>
      <c r="C45" s="347">
        <v>21240</v>
      </c>
      <c r="D45" s="347">
        <v>27050</v>
      </c>
      <c r="E45" s="347">
        <v>28000</v>
      </c>
      <c r="F45" s="347"/>
      <c r="G45" s="355">
        <v>18940</v>
      </c>
      <c r="N45" s="347" t="s">
        <v>3146</v>
      </c>
      <c r="O45" s="351" t="s">
        <v>3147</v>
      </c>
      <c r="Q45" s="347" t="s">
        <v>3148</v>
      </c>
    </row>
    <row r="46" spans="1:17" ht="14.25" customHeight="1">
      <c r="A46" s="347" t="s">
        <v>251</v>
      </c>
      <c r="B46" s="348" t="s">
        <v>2968</v>
      </c>
      <c r="C46" s="347">
        <v>23240</v>
      </c>
      <c r="D46" s="347">
        <v>23000</v>
      </c>
      <c r="E46" s="347">
        <v>24980</v>
      </c>
      <c r="F46" s="347"/>
      <c r="G46" s="355">
        <v>16100</v>
      </c>
      <c r="N46" s="347" t="s">
        <v>3149</v>
      </c>
      <c r="Q46" s="347" t="s">
        <v>3150</v>
      </c>
    </row>
    <row r="47" spans="1:17" ht="14.25" customHeight="1">
      <c r="A47" s="347" t="s">
        <v>251</v>
      </c>
      <c r="B47" s="348" t="s">
        <v>2978</v>
      </c>
      <c r="C47" s="347">
        <v>27150</v>
      </c>
      <c r="D47" s="347">
        <v>23310</v>
      </c>
      <c r="E47" s="347">
        <v>25150</v>
      </c>
      <c r="F47" s="347"/>
      <c r="G47" s="355">
        <v>16310</v>
      </c>
      <c r="N47" s="347" t="s">
        <v>3151</v>
      </c>
      <c r="Q47" s="347" t="s">
        <v>3152</v>
      </c>
    </row>
    <row r="48" spans="1:17" ht="14.25" customHeight="1">
      <c r="A48" s="347" t="s">
        <v>251</v>
      </c>
      <c r="B48" s="348" t="s">
        <v>2988</v>
      </c>
      <c r="C48" s="347">
        <v>23100</v>
      </c>
      <c r="D48" s="347">
        <v>21110</v>
      </c>
      <c r="E48" s="347">
        <v>23080</v>
      </c>
      <c r="F48" s="347"/>
      <c r="G48" s="355">
        <v>14780</v>
      </c>
      <c r="N48" s="347" t="s">
        <v>3153</v>
      </c>
      <c r="Q48" s="347" t="s">
        <v>3154</v>
      </c>
    </row>
    <row r="49" spans="1:17" ht="14.25" customHeight="1">
      <c r="A49" s="347" t="s">
        <v>251</v>
      </c>
      <c r="B49" s="348" t="s">
        <v>2998</v>
      </c>
      <c r="C49" s="347">
        <v>23400</v>
      </c>
      <c r="D49" s="347">
        <v>22920</v>
      </c>
      <c r="E49" s="347">
        <v>24900</v>
      </c>
      <c r="F49" s="347"/>
      <c r="G49" s="355">
        <v>16040</v>
      </c>
      <c r="N49" s="347" t="s">
        <v>3155</v>
      </c>
      <c r="Q49" s="347" t="s">
        <v>3156</v>
      </c>
    </row>
    <row r="50" spans="1:17" ht="14.25" customHeight="1">
      <c r="A50" s="347" t="s">
        <v>251</v>
      </c>
      <c r="B50" s="348" t="s">
        <v>3007</v>
      </c>
      <c r="C50" s="347">
        <v>21200</v>
      </c>
      <c r="D50" s="347">
        <v>26540</v>
      </c>
      <c r="E50" s="347">
        <v>23200</v>
      </c>
      <c r="F50" s="347"/>
      <c r="G50" s="355">
        <v>18580</v>
      </c>
      <c r="N50" s="347" t="s">
        <v>3157</v>
      </c>
      <c r="Q50" s="348" t="s">
        <v>3158</v>
      </c>
    </row>
    <row r="51" spans="1:17" ht="14.25" customHeight="1">
      <c r="A51" s="347" t="s">
        <v>251</v>
      </c>
      <c r="B51" s="348" t="s">
        <v>3015</v>
      </c>
      <c r="C51" s="347">
        <v>23000</v>
      </c>
      <c r="D51" s="347">
        <v>23460</v>
      </c>
      <c r="E51" s="347">
        <v>25290</v>
      </c>
      <c r="F51" s="347"/>
      <c r="G51" s="355">
        <v>16420</v>
      </c>
      <c r="N51" s="347" t="s">
        <v>3159</v>
      </c>
      <c r="Q51" s="351" t="s">
        <v>3160</v>
      </c>
    </row>
    <row r="52" spans="1:17" ht="14.25" customHeight="1">
      <c r="A52" s="347" t="s">
        <v>251</v>
      </c>
      <c r="B52" s="348" t="s">
        <v>3023</v>
      </c>
      <c r="C52" s="347">
        <v>26660</v>
      </c>
      <c r="D52" s="347">
        <v>22350</v>
      </c>
      <c r="E52" s="347">
        <v>22920</v>
      </c>
      <c r="F52" s="347"/>
      <c r="G52" s="355">
        <v>15640</v>
      </c>
      <c r="N52" s="347" t="s">
        <v>3161</v>
      </c>
    </row>
    <row r="53" spans="1:17" ht="14.25" customHeight="1">
      <c r="A53" s="347" t="s">
        <v>251</v>
      </c>
      <c r="B53" s="348" t="s">
        <v>3031</v>
      </c>
      <c r="C53" s="347">
        <v>23580</v>
      </c>
      <c r="D53" s="347"/>
      <c r="E53" s="347">
        <v>24280</v>
      </c>
      <c r="F53" s="347"/>
      <c r="G53" s="355"/>
      <c r="N53" s="347" t="s">
        <v>3162</v>
      </c>
    </row>
    <row r="54" spans="1:17" ht="14.25" customHeight="1">
      <c r="A54" s="356" t="s">
        <v>251</v>
      </c>
      <c r="B54" s="350" t="s">
        <v>3039</v>
      </c>
      <c r="C54" s="351">
        <v>22460</v>
      </c>
      <c r="D54" s="351"/>
      <c r="E54" s="351"/>
      <c r="F54" s="351"/>
      <c r="G54" s="357"/>
      <c r="N54" s="347" t="s">
        <v>3163</v>
      </c>
    </row>
    <row r="55" spans="1:17" ht="14.25" customHeight="1">
      <c r="A55" s="345" t="s">
        <v>259</v>
      </c>
      <c r="B55" s="346" t="s">
        <v>2795</v>
      </c>
      <c r="C55" s="347">
        <v>21970</v>
      </c>
      <c r="D55" s="347">
        <v>20370</v>
      </c>
      <c r="E55" s="347">
        <v>20180</v>
      </c>
      <c r="F55" s="347">
        <v>5730</v>
      </c>
      <c r="G55" s="347">
        <v>13820</v>
      </c>
      <c r="N55" s="347" t="s">
        <v>3164</v>
      </c>
    </row>
    <row r="56" spans="1:17" ht="14.25" customHeight="1">
      <c r="A56" s="347" t="s">
        <v>259</v>
      </c>
      <c r="B56" s="347" t="s">
        <v>2808</v>
      </c>
      <c r="C56" s="347">
        <v>20470</v>
      </c>
      <c r="D56" s="347">
        <v>20700</v>
      </c>
      <c r="E56" s="347">
        <v>20380</v>
      </c>
      <c r="F56" s="347">
        <v>4760</v>
      </c>
      <c r="G56" s="347">
        <v>14050</v>
      </c>
      <c r="N56" s="347" t="s">
        <v>3165</v>
      </c>
    </row>
    <row r="57" spans="1:17" ht="14.25" customHeight="1">
      <c r="A57" s="347" t="s">
        <v>259</v>
      </c>
      <c r="B57" s="347" t="s">
        <v>2822</v>
      </c>
      <c r="C57" s="347">
        <v>20790</v>
      </c>
      <c r="D57" s="347">
        <v>21370</v>
      </c>
      <c r="E57" s="347">
        <v>20890</v>
      </c>
      <c r="F57" s="347">
        <v>4910</v>
      </c>
      <c r="G57" s="347">
        <v>14510</v>
      </c>
      <c r="N57" s="347" t="s">
        <v>3166</v>
      </c>
    </row>
    <row r="58" spans="1:17" ht="14.25" customHeight="1">
      <c r="A58" s="347" t="s">
        <v>259</v>
      </c>
      <c r="B58" s="347" t="s">
        <v>2834</v>
      </c>
      <c r="C58" s="347">
        <v>21460</v>
      </c>
      <c r="D58" s="347">
        <v>20920</v>
      </c>
      <c r="E58" s="347">
        <v>23410</v>
      </c>
      <c r="F58" s="347">
        <v>5100</v>
      </c>
      <c r="G58" s="347">
        <v>14200</v>
      </c>
      <c r="N58" s="347" t="s">
        <v>3167</v>
      </c>
    </row>
    <row r="59" spans="1:17" ht="14.25" customHeight="1">
      <c r="A59" s="347" t="s">
        <v>259</v>
      </c>
      <c r="B59" s="347" t="s">
        <v>2846</v>
      </c>
      <c r="C59" s="347">
        <v>21000</v>
      </c>
      <c r="D59" s="347">
        <v>21550</v>
      </c>
      <c r="E59" s="347">
        <v>21150</v>
      </c>
      <c r="F59" s="347">
        <v>5250</v>
      </c>
      <c r="G59" s="347">
        <v>14630</v>
      </c>
      <c r="N59" s="347" t="s">
        <v>3168</v>
      </c>
    </row>
    <row r="60" spans="1:17" ht="14.25" customHeight="1">
      <c r="A60" s="347" t="s">
        <v>259</v>
      </c>
      <c r="B60" s="347" t="s">
        <v>2857</v>
      </c>
      <c r="C60" s="347">
        <v>21640</v>
      </c>
      <c r="D60" s="347">
        <v>21260</v>
      </c>
      <c r="E60" s="347">
        <v>24040</v>
      </c>
      <c r="F60" s="347">
        <v>4470</v>
      </c>
      <c r="G60" s="347">
        <v>14430</v>
      </c>
      <c r="N60" s="347" t="s">
        <v>3169</v>
      </c>
    </row>
    <row r="61" spans="1:17" ht="14.25" customHeight="1">
      <c r="A61" s="347" t="s">
        <v>259</v>
      </c>
      <c r="B61" s="347" t="s">
        <v>2868</v>
      </c>
      <c r="C61" s="347">
        <v>21330</v>
      </c>
      <c r="D61" s="347">
        <v>18640</v>
      </c>
      <c r="E61" s="347">
        <v>21190</v>
      </c>
      <c r="F61" s="347">
        <v>4180</v>
      </c>
      <c r="G61" s="347">
        <v>12650</v>
      </c>
      <c r="N61" s="347" t="s">
        <v>3170</v>
      </c>
    </row>
    <row r="62" spans="1:17" ht="14.25" customHeight="1">
      <c r="A62" s="347" t="s">
        <v>259</v>
      </c>
      <c r="B62" s="347" t="s">
        <v>2879</v>
      </c>
      <c r="C62" s="347">
        <v>18710</v>
      </c>
      <c r="D62" s="347">
        <v>19400</v>
      </c>
      <c r="E62" s="347">
        <v>23750</v>
      </c>
      <c r="F62" s="347">
        <v>4860</v>
      </c>
      <c r="G62" s="347">
        <v>13170</v>
      </c>
      <c r="N62" s="347" t="s">
        <v>3171</v>
      </c>
    </row>
    <row r="63" spans="1:17" ht="14.25" customHeight="1">
      <c r="A63" s="347" t="s">
        <v>259</v>
      </c>
      <c r="B63" s="347" t="s">
        <v>2889</v>
      </c>
      <c r="C63" s="347">
        <v>19480</v>
      </c>
      <c r="D63" s="347">
        <v>16830</v>
      </c>
      <c r="E63" s="347">
        <v>21590</v>
      </c>
      <c r="F63" s="347">
        <v>4560</v>
      </c>
      <c r="G63" s="347">
        <v>11420</v>
      </c>
      <c r="N63" s="347" t="s">
        <v>501</v>
      </c>
    </row>
    <row r="64" spans="1:17" ht="14.25" customHeight="1">
      <c r="A64" s="347" t="s">
        <v>259</v>
      </c>
      <c r="B64" s="347" t="s">
        <v>2899</v>
      </c>
      <c r="C64" s="347">
        <v>16920</v>
      </c>
      <c r="D64" s="347">
        <v>19190</v>
      </c>
      <c r="E64" s="347">
        <v>22200</v>
      </c>
      <c r="F64" s="347">
        <v>4390</v>
      </c>
      <c r="G64" s="347">
        <v>13030</v>
      </c>
      <c r="N64" s="351" t="s">
        <v>3172</v>
      </c>
    </row>
    <row r="65" spans="1:7" s="336" customFormat="1" ht="14.25" customHeight="1">
      <c r="A65" s="347" t="s">
        <v>259</v>
      </c>
      <c r="B65" s="347" t="s">
        <v>2909</v>
      </c>
      <c r="C65" s="347">
        <v>19290</v>
      </c>
      <c r="D65" s="347">
        <v>17020</v>
      </c>
      <c r="E65" s="347">
        <v>19880</v>
      </c>
      <c r="F65" s="347">
        <v>4070</v>
      </c>
      <c r="G65" s="347">
        <v>11550</v>
      </c>
    </row>
    <row r="66" spans="1:7" s="336" customFormat="1" ht="14.25" customHeight="1">
      <c r="A66" s="347" t="s">
        <v>259</v>
      </c>
      <c r="B66" s="347" t="s">
        <v>2919</v>
      </c>
      <c r="C66" s="347">
        <v>17090</v>
      </c>
      <c r="D66" s="347">
        <v>18340</v>
      </c>
      <c r="E66" s="347">
        <v>21830</v>
      </c>
      <c r="F66" s="347">
        <v>4690</v>
      </c>
      <c r="G66" s="347">
        <v>12450</v>
      </c>
    </row>
    <row r="67" spans="1:7" s="336" customFormat="1" ht="14.25" customHeight="1">
      <c r="A67" s="347" t="s">
        <v>259</v>
      </c>
      <c r="B67" s="347" t="s">
        <v>2929</v>
      </c>
      <c r="C67" s="347">
        <v>18420</v>
      </c>
      <c r="D67" s="347">
        <v>16360</v>
      </c>
      <c r="E67" s="347">
        <v>20020</v>
      </c>
      <c r="F67" s="347">
        <v>5150</v>
      </c>
      <c r="G67" s="347">
        <v>11110</v>
      </c>
    </row>
    <row r="68" spans="1:7" s="336" customFormat="1" ht="14.25" customHeight="1">
      <c r="A68" s="347" t="s">
        <v>259</v>
      </c>
      <c r="B68" s="347" t="s">
        <v>2939</v>
      </c>
      <c r="C68" s="347">
        <v>16450</v>
      </c>
      <c r="D68" s="347">
        <v>18430</v>
      </c>
      <c r="E68" s="347">
        <v>21010</v>
      </c>
      <c r="F68" s="347">
        <v>4720</v>
      </c>
      <c r="G68" s="347">
        <v>12510</v>
      </c>
    </row>
    <row r="69" spans="1:7" s="336" customFormat="1" ht="14.25" customHeight="1">
      <c r="A69" s="347" t="s">
        <v>259</v>
      </c>
      <c r="B69" s="347" t="s">
        <v>2949</v>
      </c>
      <c r="C69" s="347">
        <v>18510</v>
      </c>
      <c r="D69" s="347">
        <v>16300</v>
      </c>
      <c r="E69" s="347">
        <v>18830</v>
      </c>
      <c r="F69" s="347">
        <v>5400</v>
      </c>
      <c r="G69" s="347">
        <v>11070</v>
      </c>
    </row>
    <row r="70" spans="1:7" s="336" customFormat="1" ht="14.25" customHeight="1">
      <c r="A70" s="347" t="s">
        <v>259</v>
      </c>
      <c r="B70" s="347" t="s">
        <v>2959</v>
      </c>
      <c r="C70" s="347">
        <v>16370</v>
      </c>
      <c r="D70" s="347">
        <v>18620</v>
      </c>
      <c r="E70" s="347">
        <v>21100</v>
      </c>
      <c r="F70" s="347">
        <v>5700</v>
      </c>
      <c r="G70" s="347">
        <v>12640</v>
      </c>
    </row>
    <row r="71" spans="1:7" s="336" customFormat="1" ht="14.25" customHeight="1">
      <c r="A71" s="347" t="s">
        <v>259</v>
      </c>
      <c r="B71" s="347" t="s">
        <v>2969</v>
      </c>
      <c r="C71" s="347">
        <v>18700</v>
      </c>
      <c r="D71" s="347">
        <v>16290</v>
      </c>
      <c r="E71" s="347">
        <v>18760</v>
      </c>
      <c r="F71" s="347">
        <v>4780</v>
      </c>
      <c r="G71" s="347">
        <v>11050</v>
      </c>
    </row>
    <row r="72" spans="1:7" s="336" customFormat="1" ht="14.25" customHeight="1">
      <c r="A72" s="347" t="s">
        <v>259</v>
      </c>
      <c r="B72" s="347" t="s">
        <v>2979</v>
      </c>
      <c r="C72" s="347">
        <v>16340</v>
      </c>
      <c r="D72" s="347">
        <v>17520</v>
      </c>
      <c r="E72" s="347">
        <v>21170</v>
      </c>
      <c r="F72" s="347"/>
      <c r="G72" s="347">
        <v>11900</v>
      </c>
    </row>
    <row r="73" spans="1:7" s="336" customFormat="1" ht="14.25" customHeight="1">
      <c r="A73" s="347" t="s">
        <v>259</v>
      </c>
      <c r="B73" s="347" t="s">
        <v>2989</v>
      </c>
      <c r="C73" s="347">
        <v>17610</v>
      </c>
      <c r="D73" s="347">
        <v>18520</v>
      </c>
      <c r="E73" s="347">
        <v>18720</v>
      </c>
      <c r="F73" s="347"/>
      <c r="G73" s="347">
        <v>12570</v>
      </c>
    </row>
    <row r="74" spans="1:7" s="336" customFormat="1" ht="14.25" customHeight="1">
      <c r="A74" s="347" t="s">
        <v>259</v>
      </c>
      <c r="B74" s="347" t="s">
        <v>2999</v>
      </c>
      <c r="C74" s="347">
        <v>18600</v>
      </c>
      <c r="D74" s="347">
        <v>16480</v>
      </c>
      <c r="E74" s="347">
        <v>20100</v>
      </c>
      <c r="F74" s="347"/>
      <c r="G74" s="347">
        <v>11190</v>
      </c>
    </row>
    <row r="75" spans="1:7" s="336" customFormat="1" ht="14.25" customHeight="1">
      <c r="A75" s="347" t="s">
        <v>259</v>
      </c>
      <c r="B75" s="347" t="s">
        <v>3008</v>
      </c>
      <c r="C75" s="347">
        <v>16570</v>
      </c>
      <c r="D75" s="347">
        <v>17530</v>
      </c>
      <c r="E75" s="347">
        <v>21030</v>
      </c>
      <c r="F75" s="347"/>
      <c r="G75" s="347">
        <v>11900</v>
      </c>
    </row>
    <row r="76" spans="1:7" s="336" customFormat="1" ht="14.25" customHeight="1">
      <c r="A76" s="347" t="s">
        <v>259</v>
      </c>
      <c r="B76" s="347" t="s">
        <v>3016</v>
      </c>
      <c r="C76" s="347">
        <v>17610</v>
      </c>
      <c r="D76" s="347">
        <v>20800</v>
      </c>
      <c r="E76" s="347">
        <v>18920</v>
      </c>
      <c r="F76" s="347"/>
      <c r="G76" s="347">
        <v>14120</v>
      </c>
    </row>
    <row r="77" spans="1:7" s="336" customFormat="1" ht="14.25" customHeight="1">
      <c r="A77" s="347" t="s">
        <v>259</v>
      </c>
      <c r="B77" s="347" t="s">
        <v>3024</v>
      </c>
      <c r="C77" s="347">
        <v>20890</v>
      </c>
      <c r="D77" s="347">
        <v>19740</v>
      </c>
      <c r="E77" s="347">
        <v>20110</v>
      </c>
      <c r="F77" s="347"/>
      <c r="G77" s="347">
        <v>13400</v>
      </c>
    </row>
    <row r="78" spans="1:7" s="336" customFormat="1" ht="14.25" customHeight="1">
      <c r="A78" s="347" t="s">
        <v>259</v>
      </c>
      <c r="B78" s="347" t="s">
        <v>3032</v>
      </c>
      <c r="C78" s="347">
        <v>19820</v>
      </c>
      <c r="D78" s="347">
        <v>19780</v>
      </c>
      <c r="E78" s="347">
        <v>18560</v>
      </c>
      <c r="F78" s="347"/>
      <c r="G78" s="347">
        <v>13430</v>
      </c>
    </row>
    <row r="79" spans="1:7" s="336" customFormat="1" ht="14.25" customHeight="1">
      <c r="A79" s="347" t="s">
        <v>259</v>
      </c>
      <c r="B79" s="347" t="s">
        <v>3040</v>
      </c>
      <c r="C79" s="347">
        <v>21660</v>
      </c>
      <c r="D79" s="347">
        <v>18000</v>
      </c>
      <c r="E79" s="347">
        <v>22570</v>
      </c>
      <c r="F79" s="347"/>
      <c r="G79" s="347">
        <v>12220</v>
      </c>
    </row>
    <row r="80" spans="1:7" s="336" customFormat="1" ht="14.25" customHeight="1">
      <c r="A80" s="347" t="s">
        <v>259</v>
      </c>
      <c r="B80" s="347" t="s">
        <v>3047</v>
      </c>
      <c r="C80" s="347">
        <v>19850</v>
      </c>
      <c r="D80" s="347"/>
      <c r="E80" s="347">
        <v>21700</v>
      </c>
      <c r="F80" s="347"/>
      <c r="G80" s="347"/>
    </row>
    <row r="81" spans="1:7" s="336" customFormat="1" ht="14.25" customHeight="1">
      <c r="A81" s="347" t="s">
        <v>259</v>
      </c>
      <c r="B81" s="347" t="s">
        <v>3054</v>
      </c>
      <c r="C81" s="347">
        <v>18080</v>
      </c>
      <c r="D81" s="347"/>
      <c r="E81" s="347">
        <v>20900</v>
      </c>
      <c r="F81" s="347"/>
      <c r="G81" s="347"/>
    </row>
    <row r="82" spans="1:7" s="336" customFormat="1" ht="14.25" customHeight="1">
      <c r="A82" s="347" t="s">
        <v>259</v>
      </c>
      <c r="B82" s="347" t="s">
        <v>3061</v>
      </c>
      <c r="C82" s="347"/>
      <c r="D82" s="347"/>
      <c r="E82" s="347">
        <v>20840</v>
      </c>
      <c r="F82" s="347"/>
      <c r="G82" s="347"/>
    </row>
    <row r="83" spans="1:7" s="336" customFormat="1" ht="14.25" customHeight="1">
      <c r="A83" s="347" t="s">
        <v>259</v>
      </c>
      <c r="B83" s="347" t="s">
        <v>3068</v>
      </c>
      <c r="C83" s="347"/>
      <c r="D83" s="347"/>
      <c r="E83" s="347"/>
      <c r="F83" s="347">
        <v>4770</v>
      </c>
      <c r="G83" s="347"/>
    </row>
    <row r="84" spans="1:7" s="336" customFormat="1" ht="14.25" customHeight="1">
      <c r="A84" s="347" t="s">
        <v>259</v>
      </c>
      <c r="B84" s="347" t="s">
        <v>3075</v>
      </c>
      <c r="C84" s="347"/>
      <c r="D84" s="347"/>
      <c r="E84" s="347"/>
      <c r="F84" s="347">
        <v>4600</v>
      </c>
      <c r="G84" s="347"/>
    </row>
    <row r="85" spans="1:7" s="336" customFormat="1" ht="14.25" customHeight="1">
      <c r="A85" s="347" t="s">
        <v>259</v>
      </c>
      <c r="B85" s="347" t="s">
        <v>3082</v>
      </c>
      <c r="C85" s="347"/>
      <c r="D85" s="347"/>
      <c r="E85" s="347"/>
      <c r="F85" s="347">
        <v>4680</v>
      </c>
      <c r="G85" s="347"/>
    </row>
    <row r="86" spans="1:7" s="336" customFormat="1" ht="14.25" customHeight="1">
      <c r="A86" s="349" t="s">
        <v>259</v>
      </c>
      <c r="B86" s="352" t="s">
        <v>3089</v>
      </c>
      <c r="C86" s="353">
        <v>16610</v>
      </c>
      <c r="D86" s="353">
        <v>16540</v>
      </c>
      <c r="E86" s="353">
        <v>18850</v>
      </c>
      <c r="F86" s="353"/>
      <c r="G86" s="353">
        <v>11220</v>
      </c>
    </row>
    <row r="87" spans="1:7" s="336" customFormat="1" ht="14.25" customHeight="1">
      <c r="A87" s="345" t="s">
        <v>266</v>
      </c>
      <c r="B87" s="346" t="s">
        <v>2796</v>
      </c>
      <c r="C87" s="346">
        <v>15240</v>
      </c>
      <c r="D87" s="346">
        <v>15170</v>
      </c>
      <c r="E87" s="346">
        <v>18260</v>
      </c>
      <c r="F87" s="346">
        <v>3830</v>
      </c>
      <c r="G87" s="354">
        <v>10020</v>
      </c>
    </row>
    <row r="88" spans="1:7" s="336" customFormat="1" ht="14.25" customHeight="1">
      <c r="A88" s="347" t="s">
        <v>266</v>
      </c>
      <c r="B88" s="347" t="s">
        <v>2809</v>
      </c>
      <c r="C88" s="347">
        <v>17310</v>
      </c>
      <c r="D88" s="347">
        <v>17220</v>
      </c>
      <c r="E88" s="347">
        <v>18610</v>
      </c>
      <c r="F88" s="347">
        <v>3990</v>
      </c>
      <c r="G88" s="355">
        <v>11380</v>
      </c>
    </row>
    <row r="89" spans="1:7" s="336" customFormat="1" ht="14.25" customHeight="1">
      <c r="A89" s="347" t="s">
        <v>266</v>
      </c>
      <c r="B89" s="347" t="s">
        <v>2823</v>
      </c>
      <c r="C89" s="347">
        <v>15600</v>
      </c>
      <c r="D89" s="347">
        <v>15550</v>
      </c>
      <c r="E89" s="347">
        <v>19200</v>
      </c>
      <c r="F89" s="347">
        <v>4110</v>
      </c>
      <c r="G89" s="355">
        <v>10270</v>
      </c>
    </row>
    <row r="90" spans="1:7" s="336" customFormat="1" ht="14.25" customHeight="1">
      <c r="A90" s="347" t="s">
        <v>266</v>
      </c>
      <c r="B90" s="347" t="s">
        <v>2835</v>
      </c>
      <c r="C90" s="347">
        <v>17330</v>
      </c>
      <c r="D90" s="347">
        <v>17240</v>
      </c>
      <c r="E90" s="347">
        <v>18570</v>
      </c>
      <c r="F90" s="347">
        <v>4070</v>
      </c>
      <c r="G90" s="355">
        <v>11390</v>
      </c>
    </row>
    <row r="91" spans="1:7" s="336" customFormat="1" ht="14.25" customHeight="1">
      <c r="A91" s="347" t="s">
        <v>266</v>
      </c>
      <c r="B91" s="347" t="s">
        <v>2847</v>
      </c>
      <c r="C91" s="347">
        <v>16330</v>
      </c>
      <c r="D91" s="347">
        <v>16260</v>
      </c>
      <c r="E91" s="347">
        <v>16800</v>
      </c>
      <c r="F91" s="347">
        <v>3410</v>
      </c>
      <c r="G91" s="355">
        <v>10740</v>
      </c>
    </row>
    <row r="92" spans="1:7" s="336" customFormat="1" ht="14.25" customHeight="1">
      <c r="A92" s="347" t="s">
        <v>266</v>
      </c>
      <c r="B92" s="347" t="s">
        <v>2858</v>
      </c>
      <c r="C92" s="347">
        <v>15570</v>
      </c>
      <c r="D92" s="347">
        <v>15500</v>
      </c>
      <c r="E92" s="347">
        <v>17360</v>
      </c>
      <c r="F92" s="347">
        <v>3510</v>
      </c>
      <c r="G92" s="355">
        <v>10240</v>
      </c>
    </row>
    <row r="93" spans="1:7" s="336" customFormat="1" ht="14.25" customHeight="1">
      <c r="A93" s="347" t="s">
        <v>266</v>
      </c>
      <c r="B93" s="347" t="s">
        <v>2869</v>
      </c>
      <c r="C93" s="347">
        <v>14000</v>
      </c>
      <c r="D93" s="347">
        <v>13930</v>
      </c>
      <c r="E93" s="347">
        <v>18200</v>
      </c>
      <c r="F93" s="347">
        <v>3640</v>
      </c>
      <c r="G93" s="355">
        <v>9210</v>
      </c>
    </row>
    <row r="94" spans="1:7" s="336" customFormat="1" ht="14.25" customHeight="1">
      <c r="A94" s="347" t="s">
        <v>266</v>
      </c>
      <c r="B94" s="347" t="s">
        <v>2880</v>
      </c>
      <c r="C94" s="347">
        <v>14530</v>
      </c>
      <c r="D94" s="347">
        <v>14470</v>
      </c>
      <c r="E94" s="347">
        <v>18240</v>
      </c>
      <c r="F94" s="347">
        <v>3180</v>
      </c>
      <c r="G94" s="355">
        <v>9560</v>
      </c>
    </row>
    <row r="95" spans="1:7" s="336" customFormat="1" ht="14.25" customHeight="1">
      <c r="A95" s="347" t="s">
        <v>266</v>
      </c>
      <c r="B95" s="347" t="s">
        <v>2890</v>
      </c>
      <c r="C95" s="347">
        <v>17330</v>
      </c>
      <c r="D95" s="347">
        <v>17260</v>
      </c>
      <c r="E95" s="347">
        <v>18420</v>
      </c>
      <c r="F95" s="347">
        <v>3060</v>
      </c>
      <c r="G95" s="355">
        <v>11410</v>
      </c>
    </row>
    <row r="96" spans="1:7" s="336" customFormat="1" ht="14.25" customHeight="1">
      <c r="A96" s="347" t="s">
        <v>266</v>
      </c>
      <c r="B96" s="347" t="s">
        <v>2900</v>
      </c>
      <c r="C96" s="347">
        <v>15030</v>
      </c>
      <c r="D96" s="347">
        <v>14970</v>
      </c>
      <c r="E96" s="347">
        <v>17580</v>
      </c>
      <c r="F96" s="347">
        <v>2970</v>
      </c>
      <c r="G96" s="355">
        <v>9890</v>
      </c>
    </row>
    <row r="97" spans="1:7" s="336" customFormat="1" ht="14.25" customHeight="1">
      <c r="A97" s="347" t="s">
        <v>266</v>
      </c>
      <c r="B97" s="347" t="s">
        <v>2910</v>
      </c>
      <c r="C97" s="347">
        <v>17400</v>
      </c>
      <c r="D97" s="347">
        <v>17330</v>
      </c>
      <c r="E97" s="347">
        <v>16430</v>
      </c>
      <c r="F97" s="347">
        <v>2950</v>
      </c>
      <c r="G97" s="355">
        <v>11450</v>
      </c>
    </row>
    <row r="98" spans="1:7" s="336" customFormat="1" ht="14.25" customHeight="1">
      <c r="A98" s="347" t="s">
        <v>266</v>
      </c>
      <c r="B98" s="347" t="s">
        <v>2920</v>
      </c>
      <c r="C98" s="347">
        <v>15200</v>
      </c>
      <c r="D98" s="347">
        <v>15120</v>
      </c>
      <c r="E98" s="347">
        <v>17550</v>
      </c>
      <c r="F98" s="347">
        <v>3080</v>
      </c>
      <c r="G98" s="355">
        <v>9990</v>
      </c>
    </row>
    <row r="99" spans="1:7" s="336" customFormat="1" ht="14.25" customHeight="1">
      <c r="A99" s="347" t="s">
        <v>266</v>
      </c>
      <c r="B99" s="347" t="s">
        <v>2930</v>
      </c>
      <c r="C99" s="347">
        <v>17520</v>
      </c>
      <c r="D99" s="347">
        <v>17430</v>
      </c>
      <c r="E99" s="347">
        <v>16350</v>
      </c>
      <c r="F99" s="347">
        <v>3260</v>
      </c>
      <c r="G99" s="355">
        <v>11510</v>
      </c>
    </row>
    <row r="100" spans="1:7" s="336" customFormat="1" ht="14.25" customHeight="1">
      <c r="A100" s="347" t="s">
        <v>266</v>
      </c>
      <c r="B100" s="347" t="s">
        <v>2940</v>
      </c>
      <c r="C100" s="347">
        <v>15340</v>
      </c>
      <c r="D100" s="347">
        <v>15260</v>
      </c>
      <c r="E100" s="347">
        <v>15930</v>
      </c>
      <c r="F100" s="347">
        <v>2740</v>
      </c>
      <c r="G100" s="355">
        <v>10080</v>
      </c>
    </row>
    <row r="101" spans="1:7" s="336" customFormat="1" ht="14.25" customHeight="1">
      <c r="A101" s="347" t="s">
        <v>266</v>
      </c>
      <c r="B101" s="347" t="s">
        <v>2950</v>
      </c>
      <c r="C101" s="347">
        <v>14620</v>
      </c>
      <c r="D101" s="347">
        <v>14560</v>
      </c>
      <c r="E101" s="347">
        <v>15570</v>
      </c>
      <c r="F101" s="347">
        <v>3500</v>
      </c>
      <c r="G101" s="355">
        <v>9630</v>
      </c>
    </row>
    <row r="102" spans="1:7" s="336" customFormat="1" ht="14.25" customHeight="1">
      <c r="A102" s="347" t="s">
        <v>266</v>
      </c>
      <c r="B102" s="347" t="s">
        <v>2960</v>
      </c>
      <c r="C102" s="347">
        <v>13680</v>
      </c>
      <c r="D102" s="347">
        <v>13610</v>
      </c>
      <c r="E102" s="347">
        <v>15690</v>
      </c>
      <c r="F102" s="347">
        <v>2870</v>
      </c>
      <c r="G102" s="355">
        <v>8990</v>
      </c>
    </row>
    <row r="103" spans="1:7" s="336" customFormat="1" ht="14.25" customHeight="1">
      <c r="A103" s="347" t="s">
        <v>266</v>
      </c>
      <c r="B103" s="347" t="s">
        <v>2970</v>
      </c>
      <c r="C103" s="347">
        <v>14620</v>
      </c>
      <c r="D103" s="347">
        <v>14540</v>
      </c>
      <c r="E103" s="347">
        <v>15240</v>
      </c>
      <c r="F103" s="347">
        <v>2840</v>
      </c>
      <c r="G103" s="355">
        <v>9610</v>
      </c>
    </row>
    <row r="104" spans="1:7" s="336" customFormat="1" ht="14.25" customHeight="1">
      <c r="A104" s="347" t="s">
        <v>266</v>
      </c>
      <c r="B104" s="347" t="s">
        <v>2980</v>
      </c>
      <c r="C104" s="347">
        <v>13610</v>
      </c>
      <c r="D104" s="347">
        <v>13540</v>
      </c>
      <c r="E104" s="347">
        <v>15750</v>
      </c>
      <c r="F104" s="347">
        <v>2770</v>
      </c>
      <c r="G104" s="355">
        <v>8940</v>
      </c>
    </row>
    <row r="105" spans="1:7" s="336" customFormat="1" ht="14.25" customHeight="1">
      <c r="A105" s="347" t="s">
        <v>266</v>
      </c>
      <c r="B105" s="347" t="s">
        <v>2990</v>
      </c>
      <c r="C105" s="347">
        <v>13310</v>
      </c>
      <c r="D105" s="347">
        <v>13240</v>
      </c>
      <c r="E105" s="347">
        <v>16280</v>
      </c>
      <c r="F105" s="347">
        <v>3210</v>
      </c>
      <c r="G105" s="355">
        <v>8750</v>
      </c>
    </row>
    <row r="106" spans="1:7" s="336" customFormat="1" ht="14.25" customHeight="1">
      <c r="A106" s="347" t="s">
        <v>266</v>
      </c>
      <c r="B106" s="347" t="s">
        <v>3000</v>
      </c>
      <c r="C106" s="347">
        <v>13010</v>
      </c>
      <c r="D106" s="347">
        <v>12930</v>
      </c>
      <c r="E106" s="347">
        <v>14960</v>
      </c>
      <c r="F106" s="347">
        <v>3530</v>
      </c>
      <c r="G106" s="355">
        <v>8550</v>
      </c>
    </row>
    <row r="107" spans="1:7" s="336" customFormat="1" ht="14.25" customHeight="1">
      <c r="A107" s="347" t="s">
        <v>266</v>
      </c>
      <c r="B107" s="347" t="s">
        <v>3009</v>
      </c>
      <c r="C107" s="347">
        <v>13070</v>
      </c>
      <c r="D107" s="347">
        <v>13000</v>
      </c>
      <c r="E107" s="347">
        <v>15910</v>
      </c>
      <c r="F107" s="347">
        <v>3990</v>
      </c>
      <c r="G107" s="355">
        <v>8580</v>
      </c>
    </row>
    <row r="108" spans="1:7" s="336" customFormat="1" ht="14.25" customHeight="1">
      <c r="A108" s="347" t="s">
        <v>266</v>
      </c>
      <c r="B108" s="347" t="s">
        <v>3017</v>
      </c>
      <c r="C108" s="347">
        <v>12640</v>
      </c>
      <c r="D108" s="347">
        <v>12580</v>
      </c>
      <c r="E108" s="347">
        <v>15730</v>
      </c>
      <c r="F108" s="347"/>
      <c r="G108" s="355">
        <v>8310</v>
      </c>
    </row>
    <row r="109" spans="1:7" s="336" customFormat="1" ht="14.25" customHeight="1">
      <c r="A109" s="347" t="s">
        <v>266</v>
      </c>
      <c r="B109" s="347" t="s">
        <v>3025</v>
      </c>
      <c r="C109" s="347">
        <v>13130</v>
      </c>
      <c r="D109" s="347">
        <v>13070</v>
      </c>
      <c r="E109" s="347">
        <v>15000</v>
      </c>
      <c r="F109" s="347"/>
      <c r="G109" s="355">
        <v>8630</v>
      </c>
    </row>
    <row r="110" spans="1:7" s="336" customFormat="1" ht="14.25" customHeight="1">
      <c r="A110" s="347" t="s">
        <v>266</v>
      </c>
      <c r="B110" s="347" t="s">
        <v>3033</v>
      </c>
      <c r="C110" s="347">
        <v>13560</v>
      </c>
      <c r="D110" s="347">
        <v>13490</v>
      </c>
      <c r="E110" s="347">
        <v>16300</v>
      </c>
      <c r="F110" s="347"/>
      <c r="G110" s="355">
        <v>8920</v>
      </c>
    </row>
    <row r="111" spans="1:7" s="336" customFormat="1" ht="14.25" customHeight="1">
      <c r="A111" s="347" t="s">
        <v>266</v>
      </c>
      <c r="B111" s="347" t="s">
        <v>3041</v>
      </c>
      <c r="C111" s="347">
        <v>12440</v>
      </c>
      <c r="D111" s="347">
        <v>12380</v>
      </c>
      <c r="E111" s="347">
        <v>17850</v>
      </c>
      <c r="F111" s="347"/>
      <c r="G111" s="355">
        <v>8180</v>
      </c>
    </row>
    <row r="112" spans="1:7" s="336" customFormat="1" ht="14.25" customHeight="1">
      <c r="A112" s="347" t="s">
        <v>266</v>
      </c>
      <c r="B112" s="347" t="s">
        <v>3048</v>
      </c>
      <c r="C112" s="347">
        <v>13260</v>
      </c>
      <c r="D112" s="347">
        <v>13180</v>
      </c>
      <c r="E112" s="347">
        <v>19740</v>
      </c>
      <c r="F112" s="347"/>
      <c r="G112" s="355">
        <v>8710</v>
      </c>
    </row>
    <row r="113" spans="1:7" s="336" customFormat="1" ht="14.25" customHeight="1">
      <c r="A113" s="347" t="s">
        <v>266</v>
      </c>
      <c r="B113" s="347" t="s">
        <v>3055</v>
      </c>
      <c r="C113" s="347">
        <v>15520</v>
      </c>
      <c r="D113" s="347">
        <v>15450</v>
      </c>
      <c r="E113" s="347"/>
      <c r="F113" s="347"/>
      <c r="G113" s="355">
        <v>10210</v>
      </c>
    </row>
    <row r="114" spans="1:7" s="336" customFormat="1" ht="14.25" customHeight="1">
      <c r="A114" s="347" t="s">
        <v>266</v>
      </c>
      <c r="B114" s="347" t="s">
        <v>3062</v>
      </c>
      <c r="C114" s="347">
        <v>13110</v>
      </c>
      <c r="D114" s="347">
        <v>13050</v>
      </c>
      <c r="E114" s="347"/>
      <c r="F114" s="347"/>
      <c r="G114" s="355">
        <v>8620</v>
      </c>
    </row>
    <row r="115" spans="1:7" s="336" customFormat="1" ht="14.25" customHeight="1">
      <c r="A115" s="347" t="s">
        <v>266</v>
      </c>
      <c r="B115" s="347" t="s">
        <v>3069</v>
      </c>
      <c r="C115" s="347">
        <v>12460</v>
      </c>
      <c r="D115" s="347">
        <v>12390</v>
      </c>
      <c r="E115" s="347"/>
      <c r="F115" s="347"/>
      <c r="G115" s="355">
        <v>8190</v>
      </c>
    </row>
    <row r="116" spans="1:7" s="336" customFormat="1" ht="14.25" customHeight="1">
      <c r="A116" s="347" t="s">
        <v>266</v>
      </c>
      <c r="B116" s="347" t="s">
        <v>3076</v>
      </c>
      <c r="C116" s="347">
        <v>13580</v>
      </c>
      <c r="D116" s="347">
        <v>13520</v>
      </c>
      <c r="E116" s="347"/>
      <c r="F116" s="347"/>
      <c r="G116" s="355">
        <v>8930</v>
      </c>
    </row>
    <row r="117" spans="1:7" s="336" customFormat="1" ht="14.25" customHeight="1">
      <c r="A117" s="347" t="s">
        <v>266</v>
      </c>
      <c r="B117" s="347" t="s">
        <v>3083</v>
      </c>
      <c r="C117" s="347">
        <v>17120</v>
      </c>
      <c r="D117" s="347">
        <v>17040</v>
      </c>
      <c r="E117" s="347"/>
      <c r="F117" s="347"/>
      <c r="G117" s="355">
        <v>11260</v>
      </c>
    </row>
    <row r="118" spans="1:7" s="336" customFormat="1" ht="14.25" customHeight="1">
      <c r="A118" s="347" t="s">
        <v>266</v>
      </c>
      <c r="B118" s="347" t="s">
        <v>3090</v>
      </c>
      <c r="C118" s="347">
        <v>14860</v>
      </c>
      <c r="D118" s="347">
        <v>14790</v>
      </c>
      <c r="E118" s="347"/>
      <c r="F118" s="347"/>
      <c r="G118" s="355">
        <v>9780</v>
      </c>
    </row>
    <row r="119" spans="1:7" s="336" customFormat="1" ht="14.25" customHeight="1">
      <c r="A119" s="347" t="s">
        <v>266</v>
      </c>
      <c r="B119" s="347" t="s">
        <v>3095</v>
      </c>
      <c r="C119" s="347">
        <v>16470</v>
      </c>
      <c r="D119" s="347">
        <v>16400</v>
      </c>
      <c r="E119" s="347"/>
      <c r="F119" s="347"/>
      <c r="G119" s="355">
        <v>10840</v>
      </c>
    </row>
    <row r="120" spans="1:7" s="336" customFormat="1" ht="14.25" customHeight="1">
      <c r="A120" s="347" t="s">
        <v>266</v>
      </c>
      <c r="B120" s="347" t="s">
        <v>3100</v>
      </c>
      <c r="C120" s="347"/>
      <c r="D120" s="347"/>
      <c r="E120" s="347"/>
      <c r="F120" s="347">
        <v>4160</v>
      </c>
      <c r="G120" s="355"/>
    </row>
    <row r="121" spans="1:7" s="336" customFormat="1" ht="14.25" customHeight="1">
      <c r="A121" s="347" t="s">
        <v>266</v>
      </c>
      <c r="B121" s="347" t="s">
        <v>3105</v>
      </c>
      <c r="C121" s="347"/>
      <c r="D121" s="347"/>
      <c r="E121" s="347"/>
      <c r="F121" s="347">
        <v>3880</v>
      </c>
      <c r="G121" s="355"/>
    </row>
    <row r="122" spans="1:7" s="336" customFormat="1" ht="14.25" customHeight="1">
      <c r="A122" s="347" t="s">
        <v>266</v>
      </c>
      <c r="B122" s="347" t="s">
        <v>3110</v>
      </c>
      <c r="C122" s="347">
        <v>13750</v>
      </c>
      <c r="D122" s="347">
        <v>13680</v>
      </c>
      <c r="E122" s="347">
        <v>16460</v>
      </c>
      <c r="F122" s="347">
        <v>2880</v>
      </c>
      <c r="G122" s="355">
        <v>9040</v>
      </c>
    </row>
    <row r="123" spans="1:7" s="336" customFormat="1" ht="14.25" customHeight="1">
      <c r="A123" s="347" t="s">
        <v>266</v>
      </c>
      <c r="B123" s="347" t="s">
        <v>3115</v>
      </c>
      <c r="C123" s="347">
        <v>13590</v>
      </c>
      <c r="D123" s="347">
        <v>13520</v>
      </c>
      <c r="E123" s="347">
        <v>16290</v>
      </c>
      <c r="F123" s="347">
        <v>2790</v>
      </c>
      <c r="G123" s="355">
        <v>8930</v>
      </c>
    </row>
    <row r="124" spans="1:7" s="336" customFormat="1" ht="14.25" customHeight="1">
      <c r="A124" s="347" t="s">
        <v>266</v>
      </c>
      <c r="B124" s="347" t="s">
        <v>3120</v>
      </c>
      <c r="C124" s="347">
        <v>13400</v>
      </c>
      <c r="D124" s="347">
        <v>13320</v>
      </c>
      <c r="E124" s="347">
        <v>16100</v>
      </c>
      <c r="F124" s="347">
        <v>2320</v>
      </c>
      <c r="G124" s="355">
        <v>8800</v>
      </c>
    </row>
    <row r="125" spans="1:7" s="336" customFormat="1" ht="14.25" customHeight="1">
      <c r="A125" s="347" t="s">
        <v>266</v>
      </c>
      <c r="B125" s="347" t="s">
        <v>3125</v>
      </c>
      <c r="C125" s="347">
        <v>12860</v>
      </c>
      <c r="D125" s="347">
        <v>12790</v>
      </c>
      <c r="E125" s="347">
        <v>15370</v>
      </c>
      <c r="F125" s="347">
        <v>2280</v>
      </c>
      <c r="G125" s="355">
        <v>8450</v>
      </c>
    </row>
    <row r="126" spans="1:7" s="336" customFormat="1" ht="14.25" customHeight="1">
      <c r="A126" s="356" t="s">
        <v>266</v>
      </c>
      <c r="B126" s="351" t="s">
        <v>3129</v>
      </c>
      <c r="C126" s="351">
        <v>12960</v>
      </c>
      <c r="D126" s="351">
        <v>12890</v>
      </c>
      <c r="E126" s="351">
        <v>15530</v>
      </c>
      <c r="F126" s="351">
        <v>2910</v>
      </c>
      <c r="G126" s="357">
        <v>8520</v>
      </c>
    </row>
    <row r="127" spans="1:7" s="336" customFormat="1" ht="14.25" customHeight="1">
      <c r="A127" s="345" t="s">
        <v>272</v>
      </c>
      <c r="B127" s="346" t="s">
        <v>2797</v>
      </c>
      <c r="C127" s="347">
        <v>12280</v>
      </c>
      <c r="D127" s="347">
        <v>12250</v>
      </c>
      <c r="E127" s="347">
        <v>15130</v>
      </c>
      <c r="F127" s="347">
        <v>2710</v>
      </c>
      <c r="G127" s="347">
        <v>7870</v>
      </c>
    </row>
    <row r="128" spans="1:7" s="336" customFormat="1" ht="14.25" customHeight="1">
      <c r="A128" s="347" t="s">
        <v>272</v>
      </c>
      <c r="B128" s="347" t="s">
        <v>2810</v>
      </c>
      <c r="C128" s="347">
        <v>13180</v>
      </c>
      <c r="D128" s="347">
        <v>13150</v>
      </c>
      <c r="E128" s="347">
        <v>16190</v>
      </c>
      <c r="F128" s="347">
        <v>2820</v>
      </c>
      <c r="G128" s="347">
        <v>8460</v>
      </c>
    </row>
    <row r="129" spans="1:7" s="336" customFormat="1" ht="14.25" customHeight="1">
      <c r="A129" s="347" t="s">
        <v>272</v>
      </c>
      <c r="B129" s="347" t="s">
        <v>2824</v>
      </c>
      <c r="C129" s="347">
        <v>10950</v>
      </c>
      <c r="D129" s="347">
        <v>10920</v>
      </c>
      <c r="E129" s="347">
        <v>13820</v>
      </c>
      <c r="F129" s="347">
        <v>2500</v>
      </c>
      <c r="G129" s="347">
        <v>7020</v>
      </c>
    </row>
    <row r="130" spans="1:7" s="336" customFormat="1" ht="14.25" customHeight="1">
      <c r="A130" s="347" t="s">
        <v>272</v>
      </c>
      <c r="B130" s="347" t="s">
        <v>2836</v>
      </c>
      <c r="C130" s="347">
        <v>10910</v>
      </c>
      <c r="D130" s="347">
        <v>10860</v>
      </c>
      <c r="E130" s="347">
        <v>13730</v>
      </c>
      <c r="F130" s="347">
        <v>2760</v>
      </c>
      <c r="G130" s="347">
        <v>6990</v>
      </c>
    </row>
    <row r="131" spans="1:7" s="336" customFormat="1" ht="14.25" customHeight="1">
      <c r="A131" s="347" t="s">
        <v>272</v>
      </c>
      <c r="B131" s="347" t="s">
        <v>2848</v>
      </c>
      <c r="C131" s="347">
        <v>12910</v>
      </c>
      <c r="D131" s="347">
        <v>12870</v>
      </c>
      <c r="E131" s="347">
        <v>15720</v>
      </c>
      <c r="F131" s="347">
        <v>2750</v>
      </c>
      <c r="G131" s="347">
        <v>8280</v>
      </c>
    </row>
    <row r="132" spans="1:7" s="336" customFormat="1" ht="14.25" customHeight="1">
      <c r="A132" s="347" t="s">
        <v>272</v>
      </c>
      <c r="B132" s="347" t="s">
        <v>2859</v>
      </c>
      <c r="C132" s="347">
        <v>11910</v>
      </c>
      <c r="D132" s="347">
        <v>11860</v>
      </c>
      <c r="E132" s="347">
        <v>14730</v>
      </c>
      <c r="F132" s="347">
        <v>2360</v>
      </c>
      <c r="G132" s="347">
        <v>7630</v>
      </c>
    </row>
    <row r="133" spans="1:7" s="336" customFormat="1" ht="14.25" customHeight="1">
      <c r="A133" s="347" t="s">
        <v>272</v>
      </c>
      <c r="B133" s="347" t="s">
        <v>2870</v>
      </c>
      <c r="C133" s="347">
        <v>12270</v>
      </c>
      <c r="D133" s="347">
        <v>12210</v>
      </c>
      <c r="E133" s="347">
        <v>15010</v>
      </c>
      <c r="F133" s="347">
        <v>2580</v>
      </c>
      <c r="G133" s="347">
        <v>7860</v>
      </c>
    </row>
    <row r="134" spans="1:7" s="336" customFormat="1" ht="14.25" customHeight="1">
      <c r="A134" s="347" t="s">
        <v>272</v>
      </c>
      <c r="B134" s="347" t="s">
        <v>2881</v>
      </c>
      <c r="C134" s="347">
        <v>10800</v>
      </c>
      <c r="D134" s="347">
        <v>10780</v>
      </c>
      <c r="E134" s="347">
        <v>13640</v>
      </c>
      <c r="F134" s="347">
        <v>2110</v>
      </c>
      <c r="G134" s="347">
        <v>6930</v>
      </c>
    </row>
    <row r="135" spans="1:7" s="336" customFormat="1" ht="14.25" customHeight="1">
      <c r="A135" s="347" t="s">
        <v>272</v>
      </c>
      <c r="B135" s="347" t="s">
        <v>2891</v>
      </c>
      <c r="C135" s="347">
        <v>10430</v>
      </c>
      <c r="D135" s="347">
        <v>10390</v>
      </c>
      <c r="E135" s="347">
        <v>13140</v>
      </c>
      <c r="F135" s="347">
        <v>2240</v>
      </c>
      <c r="G135" s="347">
        <v>6680</v>
      </c>
    </row>
    <row r="136" spans="1:7" s="336" customFormat="1" ht="14.25" customHeight="1">
      <c r="A136" s="347" t="s">
        <v>272</v>
      </c>
      <c r="B136" s="347" t="s">
        <v>2901</v>
      </c>
      <c r="C136" s="347">
        <v>11930</v>
      </c>
      <c r="D136" s="347">
        <v>11880</v>
      </c>
      <c r="E136" s="347">
        <v>14770</v>
      </c>
      <c r="F136" s="347">
        <v>1970</v>
      </c>
      <c r="G136" s="347">
        <v>7640</v>
      </c>
    </row>
    <row r="137" spans="1:7" s="336" customFormat="1" ht="14.25" customHeight="1">
      <c r="A137" s="347" t="s">
        <v>272</v>
      </c>
      <c r="B137" s="347" t="s">
        <v>2911</v>
      </c>
      <c r="C137" s="347">
        <v>10470</v>
      </c>
      <c r="D137" s="347">
        <v>10430</v>
      </c>
      <c r="E137" s="347">
        <v>13190</v>
      </c>
      <c r="F137" s="347">
        <v>1990</v>
      </c>
      <c r="G137" s="347">
        <v>6710</v>
      </c>
    </row>
    <row r="138" spans="1:7" s="336" customFormat="1" ht="14.25" customHeight="1">
      <c r="A138" s="347" t="s">
        <v>272</v>
      </c>
      <c r="B138" s="347" t="s">
        <v>2921</v>
      </c>
      <c r="C138" s="347">
        <v>10410</v>
      </c>
      <c r="D138" s="347">
        <v>10380</v>
      </c>
      <c r="E138" s="347">
        <v>13130</v>
      </c>
      <c r="F138" s="347">
        <v>2030</v>
      </c>
      <c r="G138" s="347">
        <v>6680</v>
      </c>
    </row>
    <row r="139" spans="1:7" s="336" customFormat="1" ht="14.25" customHeight="1">
      <c r="A139" s="347" t="s">
        <v>272</v>
      </c>
      <c r="B139" s="347" t="s">
        <v>2931</v>
      </c>
      <c r="C139" s="347">
        <v>9460</v>
      </c>
      <c r="D139" s="347">
        <v>9410</v>
      </c>
      <c r="E139" s="347">
        <v>12050</v>
      </c>
      <c r="F139" s="347">
        <v>2140</v>
      </c>
      <c r="G139" s="347">
        <v>6050</v>
      </c>
    </row>
    <row r="140" spans="1:7" s="336" customFormat="1" ht="14.25" customHeight="1">
      <c r="A140" s="347" t="s">
        <v>272</v>
      </c>
      <c r="B140" s="347" t="s">
        <v>2941</v>
      </c>
      <c r="C140" s="347">
        <v>11030</v>
      </c>
      <c r="D140" s="347">
        <v>10980</v>
      </c>
      <c r="E140" s="347">
        <v>13880</v>
      </c>
      <c r="F140" s="347">
        <v>2210</v>
      </c>
      <c r="G140" s="347">
        <v>7060</v>
      </c>
    </row>
    <row r="141" spans="1:7" s="336" customFormat="1" ht="14.25" customHeight="1">
      <c r="A141" s="347" t="s">
        <v>272</v>
      </c>
      <c r="B141" s="347" t="s">
        <v>2951</v>
      </c>
      <c r="C141" s="347">
        <v>11200</v>
      </c>
      <c r="D141" s="347">
        <v>11150</v>
      </c>
      <c r="E141" s="347">
        <v>14100</v>
      </c>
      <c r="F141" s="347">
        <v>2470</v>
      </c>
      <c r="G141" s="347">
        <v>7170</v>
      </c>
    </row>
    <row r="142" spans="1:7" s="336" customFormat="1" ht="14.25" customHeight="1">
      <c r="A142" s="347" t="s">
        <v>272</v>
      </c>
      <c r="B142" s="347" t="s">
        <v>2961</v>
      </c>
      <c r="C142" s="347">
        <v>10780</v>
      </c>
      <c r="D142" s="347">
        <v>10730</v>
      </c>
      <c r="E142" s="347">
        <v>13540</v>
      </c>
      <c r="F142" s="347">
        <v>2280</v>
      </c>
      <c r="G142" s="347">
        <v>6900</v>
      </c>
    </row>
    <row r="143" spans="1:7" s="336" customFormat="1" ht="14.25" customHeight="1">
      <c r="A143" s="347" t="s">
        <v>272</v>
      </c>
      <c r="B143" s="347" t="s">
        <v>2971</v>
      </c>
      <c r="C143" s="347">
        <v>11550</v>
      </c>
      <c r="D143" s="347">
        <v>11490</v>
      </c>
      <c r="E143" s="347">
        <v>14480</v>
      </c>
      <c r="F143" s="347">
        <v>2070</v>
      </c>
      <c r="G143" s="347">
        <v>7390</v>
      </c>
    </row>
    <row r="144" spans="1:7" s="336" customFormat="1" ht="14.25" customHeight="1">
      <c r="A144" s="347" t="s">
        <v>272</v>
      </c>
      <c r="B144" s="347" t="s">
        <v>2981</v>
      </c>
      <c r="C144" s="347">
        <v>10720</v>
      </c>
      <c r="D144" s="347">
        <v>10680</v>
      </c>
      <c r="E144" s="347">
        <v>13480</v>
      </c>
      <c r="F144" s="347">
        <v>2440</v>
      </c>
      <c r="G144" s="347">
        <v>6870</v>
      </c>
    </row>
    <row r="145" spans="1:7" s="336" customFormat="1" ht="14.25" customHeight="1">
      <c r="A145" s="347" t="s">
        <v>272</v>
      </c>
      <c r="B145" s="347" t="s">
        <v>2991</v>
      </c>
      <c r="C145" s="347">
        <v>10340</v>
      </c>
      <c r="D145" s="347">
        <v>10290</v>
      </c>
      <c r="E145" s="347">
        <v>12880</v>
      </c>
      <c r="F145" s="347">
        <v>2650</v>
      </c>
      <c r="G145" s="347">
        <v>6620</v>
      </c>
    </row>
    <row r="146" spans="1:7" s="336" customFormat="1" ht="14.25" customHeight="1">
      <c r="A146" s="347" t="s">
        <v>272</v>
      </c>
      <c r="B146" s="347" t="s">
        <v>3001</v>
      </c>
      <c r="C146" s="347">
        <v>11890</v>
      </c>
      <c r="D146" s="347">
        <v>11830</v>
      </c>
      <c r="E146" s="347">
        <v>14670</v>
      </c>
      <c r="F146" s="347"/>
      <c r="G146" s="347">
        <v>7610</v>
      </c>
    </row>
    <row r="147" spans="1:7" s="336" customFormat="1" ht="14.25" customHeight="1">
      <c r="A147" s="347" t="s">
        <v>272</v>
      </c>
      <c r="B147" s="347" t="s">
        <v>3010</v>
      </c>
      <c r="C147" s="347">
        <v>12650</v>
      </c>
      <c r="D147" s="347">
        <v>12600</v>
      </c>
      <c r="E147" s="347">
        <v>15440</v>
      </c>
      <c r="F147" s="347"/>
      <c r="G147" s="347">
        <v>8110</v>
      </c>
    </row>
    <row r="148" spans="1:7" s="336" customFormat="1" ht="14.25" customHeight="1">
      <c r="A148" s="347" t="s">
        <v>272</v>
      </c>
      <c r="B148" s="347" t="s">
        <v>3018</v>
      </c>
      <c r="C148" s="347">
        <v>10370</v>
      </c>
      <c r="D148" s="347">
        <v>10310</v>
      </c>
      <c r="E148" s="347">
        <v>12970</v>
      </c>
      <c r="F148" s="347"/>
      <c r="G148" s="347">
        <v>6630</v>
      </c>
    </row>
    <row r="149" spans="1:7" s="336" customFormat="1" ht="14.25" customHeight="1">
      <c r="A149" s="347" t="s">
        <v>272</v>
      </c>
      <c r="B149" s="347" t="s">
        <v>3026</v>
      </c>
      <c r="C149" s="347">
        <v>11600</v>
      </c>
      <c r="D149" s="347">
        <v>11560</v>
      </c>
      <c r="E149" s="347">
        <v>14540</v>
      </c>
      <c r="F149" s="347">
        <v>2390</v>
      </c>
      <c r="G149" s="347">
        <v>7430</v>
      </c>
    </row>
    <row r="150" spans="1:7" s="336" customFormat="1" ht="14.25" customHeight="1">
      <c r="A150" s="347" t="s">
        <v>272</v>
      </c>
      <c r="B150" s="347" t="s">
        <v>3034</v>
      </c>
      <c r="C150" s="347">
        <v>9950</v>
      </c>
      <c r="D150" s="347">
        <v>9890</v>
      </c>
      <c r="E150" s="347">
        <v>12590</v>
      </c>
      <c r="F150" s="347">
        <v>1970</v>
      </c>
      <c r="G150" s="347">
        <v>6360</v>
      </c>
    </row>
    <row r="151" spans="1:7" s="336" customFormat="1" ht="14.25" customHeight="1">
      <c r="A151" s="347" t="s">
        <v>272</v>
      </c>
      <c r="B151" s="347" t="s">
        <v>3042</v>
      </c>
      <c r="C151" s="347">
        <v>10700</v>
      </c>
      <c r="D151" s="347">
        <v>10650</v>
      </c>
      <c r="E151" s="347">
        <v>13420</v>
      </c>
      <c r="F151" s="347">
        <v>2020</v>
      </c>
      <c r="G151" s="347">
        <v>6850</v>
      </c>
    </row>
    <row r="152" spans="1:7" s="336" customFormat="1" ht="14.25" customHeight="1">
      <c r="A152" s="347" t="s">
        <v>272</v>
      </c>
      <c r="B152" s="347" t="s">
        <v>3049</v>
      </c>
      <c r="C152" s="347">
        <v>10310</v>
      </c>
      <c r="D152" s="347">
        <v>10260</v>
      </c>
      <c r="E152" s="347">
        <v>12820</v>
      </c>
      <c r="F152" s="347">
        <v>1980</v>
      </c>
      <c r="G152" s="347">
        <v>6600</v>
      </c>
    </row>
    <row r="153" spans="1:7" s="336" customFormat="1" ht="14.25" customHeight="1">
      <c r="A153" s="347" t="s">
        <v>272</v>
      </c>
      <c r="B153" s="347" t="s">
        <v>3056</v>
      </c>
      <c r="C153" s="347">
        <v>10880</v>
      </c>
      <c r="D153" s="347">
        <v>10820</v>
      </c>
      <c r="E153" s="347">
        <v>13660</v>
      </c>
      <c r="F153" s="347">
        <v>2260</v>
      </c>
      <c r="G153" s="347">
        <v>6970</v>
      </c>
    </row>
    <row r="154" spans="1:7" s="336" customFormat="1" ht="14.25" customHeight="1">
      <c r="A154" s="347" t="s">
        <v>272</v>
      </c>
      <c r="B154" s="347" t="s">
        <v>3063</v>
      </c>
      <c r="C154" s="347">
        <v>11220</v>
      </c>
      <c r="D154" s="347">
        <v>11160</v>
      </c>
      <c r="E154" s="347">
        <v>14130</v>
      </c>
      <c r="F154" s="347">
        <v>2230</v>
      </c>
      <c r="G154" s="347">
        <v>7180</v>
      </c>
    </row>
    <row r="155" spans="1:7" s="336" customFormat="1" ht="14.25" customHeight="1">
      <c r="A155" s="347" t="s">
        <v>272</v>
      </c>
      <c r="B155" s="347" t="s">
        <v>3070</v>
      </c>
      <c r="C155" s="347">
        <v>10430</v>
      </c>
      <c r="D155" s="347">
        <v>10380</v>
      </c>
      <c r="E155" s="347">
        <v>13140</v>
      </c>
      <c r="F155" s="347">
        <v>2080</v>
      </c>
      <c r="G155" s="347">
        <v>6650</v>
      </c>
    </row>
    <row r="156" spans="1:7" s="336" customFormat="1" ht="14.25" customHeight="1">
      <c r="A156" s="347" t="s">
        <v>272</v>
      </c>
      <c r="B156" s="347" t="s">
        <v>3077</v>
      </c>
      <c r="C156" s="347">
        <v>10440</v>
      </c>
      <c r="D156" s="347">
        <v>10400</v>
      </c>
      <c r="E156" s="347">
        <v>13150</v>
      </c>
      <c r="F156" s="347">
        <v>2490</v>
      </c>
      <c r="G156" s="347">
        <v>6690</v>
      </c>
    </row>
    <row r="157" spans="1:7" s="336" customFormat="1" ht="14.25" customHeight="1">
      <c r="A157" s="347" t="s">
        <v>272</v>
      </c>
      <c r="B157" s="347" t="s">
        <v>3084</v>
      </c>
      <c r="C157" s="347">
        <v>10970</v>
      </c>
      <c r="D157" s="347">
        <v>10920</v>
      </c>
      <c r="E157" s="347">
        <v>13840</v>
      </c>
      <c r="F157" s="347">
        <v>2420</v>
      </c>
      <c r="G157" s="347">
        <v>7020</v>
      </c>
    </row>
    <row r="158" spans="1:7" s="336" customFormat="1" ht="14.25" customHeight="1">
      <c r="A158" s="347" t="s">
        <v>272</v>
      </c>
      <c r="B158" s="347" t="s">
        <v>3091</v>
      </c>
      <c r="C158" s="347">
        <v>9590</v>
      </c>
      <c r="D158" s="347">
        <v>9540</v>
      </c>
      <c r="E158" s="347">
        <v>12210</v>
      </c>
      <c r="F158" s="347">
        <v>2100</v>
      </c>
      <c r="G158" s="347">
        <v>6130</v>
      </c>
    </row>
    <row r="159" spans="1:7" s="336" customFormat="1" ht="14.25" customHeight="1">
      <c r="A159" s="347" t="s">
        <v>272</v>
      </c>
      <c r="B159" s="347" t="s">
        <v>3096</v>
      </c>
      <c r="C159" s="347">
        <v>11190</v>
      </c>
      <c r="D159" s="347">
        <v>11140</v>
      </c>
      <c r="E159" s="347">
        <v>14090</v>
      </c>
      <c r="F159" s="347">
        <v>2470</v>
      </c>
      <c r="G159" s="347">
        <v>7170</v>
      </c>
    </row>
    <row r="160" spans="1:7" s="336" customFormat="1" ht="14.25" customHeight="1">
      <c r="A160" s="347" t="s">
        <v>272</v>
      </c>
      <c r="B160" s="347" t="s">
        <v>3101</v>
      </c>
      <c r="C160" s="347">
        <v>11180</v>
      </c>
      <c r="D160" s="347">
        <v>11140</v>
      </c>
      <c r="E160" s="347">
        <v>14050</v>
      </c>
      <c r="F160" s="347">
        <v>2270</v>
      </c>
      <c r="G160" s="347">
        <v>7170</v>
      </c>
    </row>
    <row r="161" spans="1:7" s="336" customFormat="1" ht="14.25" customHeight="1">
      <c r="A161" s="347" t="s">
        <v>272</v>
      </c>
      <c r="B161" s="347" t="s">
        <v>3106</v>
      </c>
      <c r="C161" s="347">
        <v>11160</v>
      </c>
      <c r="D161" s="347">
        <v>11120</v>
      </c>
      <c r="E161" s="347">
        <v>14020</v>
      </c>
      <c r="F161" s="347">
        <v>2150</v>
      </c>
      <c r="G161" s="347">
        <v>7160</v>
      </c>
    </row>
    <row r="162" spans="1:7" s="336" customFormat="1" ht="14.25" customHeight="1">
      <c r="A162" s="347" t="s">
        <v>272</v>
      </c>
      <c r="B162" s="347" t="s">
        <v>3111</v>
      </c>
      <c r="C162" s="347">
        <v>9620</v>
      </c>
      <c r="D162" s="347">
        <v>9570</v>
      </c>
      <c r="E162" s="347">
        <v>12320</v>
      </c>
      <c r="F162" s="347">
        <v>2010</v>
      </c>
      <c r="G162" s="347">
        <v>6160</v>
      </c>
    </row>
    <row r="163" spans="1:7" s="336" customFormat="1" ht="14.25" customHeight="1">
      <c r="A163" s="347" t="s">
        <v>272</v>
      </c>
      <c r="B163" s="347" t="s">
        <v>3116</v>
      </c>
      <c r="C163" s="347">
        <v>9320</v>
      </c>
      <c r="D163" s="347">
        <v>9270</v>
      </c>
      <c r="E163" s="347">
        <v>11790</v>
      </c>
      <c r="F163" s="347">
        <v>1920</v>
      </c>
      <c r="G163" s="347">
        <v>5960</v>
      </c>
    </row>
    <row r="164" spans="1:7" s="336" customFormat="1" ht="14.25" customHeight="1">
      <c r="A164" s="347" t="s">
        <v>272</v>
      </c>
      <c r="B164" s="347" t="s">
        <v>3121</v>
      </c>
      <c r="C164" s="347"/>
      <c r="D164" s="347"/>
      <c r="E164" s="347"/>
      <c r="F164" s="347">
        <v>1980</v>
      </c>
      <c r="G164" s="347"/>
    </row>
    <row r="165" spans="1:7" s="336" customFormat="1" ht="14.25" customHeight="1">
      <c r="A165" s="347" t="s">
        <v>272</v>
      </c>
      <c r="B165" s="347" t="s">
        <v>500</v>
      </c>
      <c r="C165" s="347">
        <v>11060</v>
      </c>
      <c r="D165" s="347">
        <v>11030</v>
      </c>
      <c r="E165" s="347">
        <v>13850</v>
      </c>
      <c r="F165" s="347">
        <v>2170</v>
      </c>
      <c r="G165" s="347">
        <v>7090</v>
      </c>
    </row>
    <row r="166" spans="1:7" s="336" customFormat="1" ht="14.25" customHeight="1">
      <c r="A166" s="347" t="s">
        <v>272</v>
      </c>
      <c r="B166" s="347" t="s">
        <v>3130</v>
      </c>
      <c r="C166" s="347">
        <v>11050</v>
      </c>
      <c r="D166" s="347">
        <v>11010</v>
      </c>
      <c r="E166" s="347">
        <v>13920</v>
      </c>
      <c r="F166" s="347">
        <v>2140</v>
      </c>
      <c r="G166" s="347">
        <v>7080</v>
      </c>
    </row>
    <row r="167" spans="1:7" s="336" customFormat="1" ht="14.25" customHeight="1">
      <c r="A167" s="347" t="s">
        <v>272</v>
      </c>
      <c r="B167" s="347" t="s">
        <v>3134</v>
      </c>
      <c r="C167" s="347">
        <v>10930</v>
      </c>
      <c r="D167" s="347">
        <v>10890</v>
      </c>
      <c r="E167" s="347">
        <v>13790</v>
      </c>
      <c r="F167" s="347">
        <v>2010</v>
      </c>
      <c r="G167" s="347">
        <v>7000</v>
      </c>
    </row>
    <row r="168" spans="1:7" s="336" customFormat="1" ht="14.25" customHeight="1">
      <c r="A168" s="347" t="s">
        <v>272</v>
      </c>
      <c r="B168" s="347" t="s">
        <v>3138</v>
      </c>
      <c r="C168" s="347">
        <v>9420</v>
      </c>
      <c r="D168" s="347">
        <v>9380</v>
      </c>
      <c r="E168" s="347">
        <v>11970</v>
      </c>
      <c r="F168" s="347"/>
      <c r="G168" s="347">
        <v>6040</v>
      </c>
    </row>
    <row r="169" spans="1:7" s="336" customFormat="1" ht="14.25" customHeight="1">
      <c r="A169" s="347" t="s">
        <v>272</v>
      </c>
      <c r="B169" s="347" t="s">
        <v>3142</v>
      </c>
      <c r="C169" s="347"/>
      <c r="D169" s="347"/>
      <c r="E169" s="347"/>
      <c r="F169" s="347">
        <v>2880</v>
      </c>
      <c r="G169" s="347"/>
    </row>
    <row r="170" spans="1:7" s="336" customFormat="1" ht="14.25" customHeight="1">
      <c r="A170" s="347" t="s">
        <v>272</v>
      </c>
      <c r="B170" s="347" t="s">
        <v>3146</v>
      </c>
      <c r="C170" s="347"/>
      <c r="D170" s="347"/>
      <c r="E170" s="347"/>
      <c r="F170" s="347">
        <v>2880</v>
      </c>
      <c r="G170" s="347"/>
    </row>
    <row r="171" spans="1:7" s="336" customFormat="1" ht="14.25" customHeight="1">
      <c r="A171" s="347" t="s">
        <v>272</v>
      </c>
      <c r="B171" s="347" t="s">
        <v>3149</v>
      </c>
      <c r="C171" s="347"/>
      <c r="D171" s="347"/>
      <c r="E171" s="347"/>
      <c r="F171" s="347">
        <v>2880</v>
      </c>
      <c r="G171" s="347"/>
    </row>
    <row r="172" spans="1:7" s="336" customFormat="1" ht="14.25" customHeight="1">
      <c r="A172" s="347" t="s">
        <v>272</v>
      </c>
      <c r="B172" s="347" t="s">
        <v>3151</v>
      </c>
      <c r="C172" s="347"/>
      <c r="D172" s="347"/>
      <c r="E172" s="347"/>
      <c r="F172" s="347">
        <v>2880</v>
      </c>
      <c r="G172" s="347"/>
    </row>
    <row r="173" spans="1:7" s="336" customFormat="1" ht="14.25" customHeight="1">
      <c r="A173" s="347" t="s">
        <v>272</v>
      </c>
      <c r="B173" s="347" t="s">
        <v>3153</v>
      </c>
      <c r="C173" s="347"/>
      <c r="D173" s="347"/>
      <c r="E173" s="347"/>
      <c r="F173" s="347">
        <v>2150</v>
      </c>
      <c r="G173" s="347"/>
    </row>
    <row r="174" spans="1:7" s="336" customFormat="1" ht="14.25" customHeight="1">
      <c r="A174" s="347" t="s">
        <v>272</v>
      </c>
      <c r="B174" s="347" t="s">
        <v>3155</v>
      </c>
      <c r="C174" s="347"/>
      <c r="D174" s="347"/>
      <c r="E174" s="347"/>
      <c r="F174" s="347">
        <v>2030</v>
      </c>
      <c r="G174" s="347"/>
    </row>
    <row r="175" spans="1:7" s="336" customFormat="1" ht="14.25" customHeight="1">
      <c r="A175" s="347" t="s">
        <v>272</v>
      </c>
      <c r="B175" s="347" t="s">
        <v>3157</v>
      </c>
      <c r="C175" s="347"/>
      <c r="D175" s="347"/>
      <c r="E175" s="347"/>
      <c r="F175" s="347">
        <v>2780</v>
      </c>
      <c r="G175" s="347"/>
    </row>
    <row r="176" spans="1:7" s="336" customFormat="1" ht="14.25" customHeight="1">
      <c r="A176" s="347" t="s">
        <v>272</v>
      </c>
      <c r="B176" s="347" t="s">
        <v>3159</v>
      </c>
      <c r="C176" s="347"/>
      <c r="D176" s="347"/>
      <c r="E176" s="347"/>
      <c r="F176" s="347">
        <v>2780</v>
      </c>
      <c r="G176" s="347"/>
    </row>
    <row r="177" spans="1:7" s="336" customFormat="1" ht="14.25" customHeight="1">
      <c r="A177" s="347" t="s">
        <v>272</v>
      </c>
      <c r="B177" s="347" t="s">
        <v>3161</v>
      </c>
      <c r="C177" s="347"/>
      <c r="D177" s="347"/>
      <c r="E177" s="347"/>
      <c r="F177" s="347">
        <v>2780</v>
      </c>
      <c r="G177" s="347"/>
    </row>
    <row r="178" spans="1:7" s="336" customFormat="1" ht="14.25" customHeight="1">
      <c r="A178" s="347" t="s">
        <v>272</v>
      </c>
      <c r="B178" s="347" t="s">
        <v>3162</v>
      </c>
      <c r="C178" s="347"/>
      <c r="D178" s="347"/>
      <c r="E178" s="347"/>
      <c r="F178" s="347">
        <v>2060</v>
      </c>
      <c r="G178" s="347"/>
    </row>
    <row r="179" spans="1:7" s="336" customFormat="1" ht="14.25" customHeight="1">
      <c r="A179" s="347" t="s">
        <v>272</v>
      </c>
      <c r="B179" s="347" t="s">
        <v>3163</v>
      </c>
      <c r="C179" s="347"/>
      <c r="D179" s="347"/>
      <c r="E179" s="347"/>
      <c r="F179" s="347">
        <v>2120</v>
      </c>
      <c r="G179" s="347"/>
    </row>
    <row r="180" spans="1:7" s="336" customFormat="1" ht="14.25" customHeight="1">
      <c r="A180" s="347" t="s">
        <v>272</v>
      </c>
      <c r="B180" s="347" t="s">
        <v>3164</v>
      </c>
      <c r="C180" s="347"/>
      <c r="D180" s="347"/>
      <c r="E180" s="347"/>
      <c r="F180" s="347">
        <v>2340</v>
      </c>
      <c r="G180" s="347"/>
    </row>
    <row r="181" spans="1:7" s="336" customFormat="1" ht="14.25" customHeight="1">
      <c r="A181" s="347" t="s">
        <v>272</v>
      </c>
      <c r="B181" s="347" t="s">
        <v>3165</v>
      </c>
      <c r="C181" s="347"/>
      <c r="D181" s="347"/>
      <c r="E181" s="347"/>
      <c r="F181" s="347">
        <v>2340</v>
      </c>
      <c r="G181" s="347"/>
    </row>
    <row r="182" spans="1:7" s="336" customFormat="1" ht="14.25" customHeight="1">
      <c r="A182" s="347" t="s">
        <v>272</v>
      </c>
      <c r="B182" s="347" t="s">
        <v>3166</v>
      </c>
      <c r="C182" s="347"/>
      <c r="D182" s="347"/>
      <c r="E182" s="347"/>
      <c r="F182" s="347">
        <v>2340</v>
      </c>
      <c r="G182" s="347"/>
    </row>
    <row r="183" spans="1:7" s="336" customFormat="1" ht="14.25" customHeight="1">
      <c r="A183" s="347" t="s">
        <v>272</v>
      </c>
      <c r="B183" s="347" t="s">
        <v>3167</v>
      </c>
      <c r="C183" s="347"/>
      <c r="D183" s="347"/>
      <c r="E183" s="347"/>
      <c r="F183" s="347">
        <v>2340</v>
      </c>
      <c r="G183" s="347"/>
    </row>
    <row r="184" spans="1:7" s="336" customFormat="1" ht="14.25" customHeight="1">
      <c r="A184" s="347" t="s">
        <v>272</v>
      </c>
      <c r="B184" s="347" t="s">
        <v>3168</v>
      </c>
      <c r="C184" s="347"/>
      <c r="D184" s="347"/>
      <c r="E184" s="347"/>
      <c r="F184" s="347">
        <v>2340</v>
      </c>
      <c r="G184" s="347"/>
    </row>
    <row r="185" spans="1:7" s="336" customFormat="1" ht="14.25" customHeight="1">
      <c r="A185" s="347" t="s">
        <v>272</v>
      </c>
      <c r="B185" s="347" t="s">
        <v>3169</v>
      </c>
      <c r="C185" s="347"/>
      <c r="D185" s="347"/>
      <c r="E185" s="347"/>
      <c r="F185" s="347">
        <v>2530</v>
      </c>
      <c r="G185" s="347"/>
    </row>
    <row r="186" spans="1:7" s="336" customFormat="1" ht="14.25" customHeight="1">
      <c r="A186" s="347" t="s">
        <v>272</v>
      </c>
      <c r="B186" s="347" t="s">
        <v>3170</v>
      </c>
      <c r="C186" s="347"/>
      <c r="D186" s="347"/>
      <c r="E186" s="347"/>
      <c r="F186" s="347">
        <v>2550</v>
      </c>
      <c r="G186" s="347"/>
    </row>
    <row r="187" spans="1:7" s="336" customFormat="1" ht="14.25" customHeight="1">
      <c r="A187" s="347" t="s">
        <v>272</v>
      </c>
      <c r="B187" s="347" t="s">
        <v>3171</v>
      </c>
      <c r="C187" s="347"/>
      <c r="D187" s="347"/>
      <c r="E187" s="347"/>
      <c r="F187" s="347">
        <v>2070</v>
      </c>
      <c r="G187" s="347"/>
    </row>
    <row r="188" spans="1:7" s="336" customFormat="1" ht="14.25" customHeight="1">
      <c r="A188" s="347" t="s">
        <v>272</v>
      </c>
      <c r="B188" s="347" t="s">
        <v>501</v>
      </c>
      <c r="C188" s="347"/>
      <c r="D188" s="347"/>
      <c r="E188" s="347"/>
      <c r="F188" s="347">
        <v>2340</v>
      </c>
      <c r="G188" s="347"/>
    </row>
    <row r="189" spans="1:7" s="336" customFormat="1" ht="14.25" customHeight="1">
      <c r="A189" s="349" t="s">
        <v>272</v>
      </c>
      <c r="B189" s="353" t="s">
        <v>3172</v>
      </c>
      <c r="C189" s="353"/>
      <c r="D189" s="353"/>
      <c r="E189" s="353"/>
      <c r="F189" s="353">
        <v>2050</v>
      </c>
      <c r="G189" s="353"/>
    </row>
    <row r="190" spans="1:7" s="336" customFormat="1" ht="14.25" customHeight="1">
      <c r="A190" s="345" t="s">
        <v>277</v>
      </c>
      <c r="B190" s="346" t="s">
        <v>2798</v>
      </c>
      <c r="C190" s="346">
        <v>8830</v>
      </c>
      <c r="D190" s="346">
        <v>8790</v>
      </c>
      <c r="E190" s="346">
        <v>11630</v>
      </c>
      <c r="F190" s="346">
        <v>1790</v>
      </c>
      <c r="G190" s="354">
        <v>5550</v>
      </c>
    </row>
    <row r="191" spans="1:7" s="336" customFormat="1" ht="14.25" customHeight="1">
      <c r="A191" s="347" t="s">
        <v>277</v>
      </c>
      <c r="B191" s="347" t="s">
        <v>2811</v>
      </c>
      <c r="C191" s="347">
        <v>9780</v>
      </c>
      <c r="D191" s="347">
        <v>9710</v>
      </c>
      <c r="E191" s="347">
        <v>12550</v>
      </c>
      <c r="F191" s="347">
        <v>1980</v>
      </c>
      <c r="G191" s="355">
        <v>6130</v>
      </c>
    </row>
    <row r="192" spans="1:7" s="336" customFormat="1" ht="14.25" customHeight="1">
      <c r="A192" s="347" t="s">
        <v>277</v>
      </c>
      <c r="B192" s="347" t="s">
        <v>2825</v>
      </c>
      <c r="C192" s="347">
        <v>8180</v>
      </c>
      <c r="D192" s="347">
        <v>8140</v>
      </c>
      <c r="E192" s="347">
        <v>10870</v>
      </c>
      <c r="F192" s="347">
        <v>1690</v>
      </c>
      <c r="G192" s="355">
        <v>5140</v>
      </c>
    </row>
    <row r="193" spans="1:7" s="336" customFormat="1" ht="14.25" customHeight="1">
      <c r="A193" s="347" t="s">
        <v>277</v>
      </c>
      <c r="B193" s="347" t="s">
        <v>2837</v>
      </c>
      <c r="C193" s="347">
        <v>8440</v>
      </c>
      <c r="D193" s="347">
        <v>8390</v>
      </c>
      <c r="E193" s="347">
        <v>11210</v>
      </c>
      <c r="F193" s="347">
        <v>1600</v>
      </c>
      <c r="G193" s="355">
        <v>5300</v>
      </c>
    </row>
    <row r="194" spans="1:7" s="336" customFormat="1" ht="14.25" customHeight="1">
      <c r="A194" s="347" t="s">
        <v>277</v>
      </c>
      <c r="B194" s="347" t="s">
        <v>2849</v>
      </c>
      <c r="C194" s="347">
        <v>8780</v>
      </c>
      <c r="D194" s="347">
        <v>8730</v>
      </c>
      <c r="E194" s="347">
        <v>11550</v>
      </c>
      <c r="F194" s="347">
        <v>1660</v>
      </c>
      <c r="G194" s="355">
        <v>5520</v>
      </c>
    </row>
    <row r="195" spans="1:7" s="336" customFormat="1" ht="14.25" customHeight="1">
      <c r="A195" s="347" t="s">
        <v>277</v>
      </c>
      <c r="B195" s="347" t="s">
        <v>2860</v>
      </c>
      <c r="C195" s="347">
        <v>8720</v>
      </c>
      <c r="D195" s="347">
        <v>8670</v>
      </c>
      <c r="E195" s="347">
        <v>11450</v>
      </c>
      <c r="F195" s="347">
        <v>1720</v>
      </c>
      <c r="G195" s="355">
        <v>5480</v>
      </c>
    </row>
    <row r="196" spans="1:7" s="336" customFormat="1" ht="14.25" customHeight="1">
      <c r="A196" s="347" t="s">
        <v>277</v>
      </c>
      <c r="B196" s="347" t="s">
        <v>2871</v>
      </c>
      <c r="C196" s="347">
        <v>8460</v>
      </c>
      <c r="D196" s="347">
        <v>8410</v>
      </c>
      <c r="E196" s="347">
        <v>11230</v>
      </c>
      <c r="F196" s="347">
        <v>1730</v>
      </c>
      <c r="G196" s="355">
        <v>5310</v>
      </c>
    </row>
    <row r="197" spans="1:7" s="336" customFormat="1" ht="14.25" customHeight="1">
      <c r="A197" s="347" t="s">
        <v>277</v>
      </c>
      <c r="B197" s="347" t="s">
        <v>2882</v>
      </c>
      <c r="C197" s="347">
        <v>8790</v>
      </c>
      <c r="D197" s="347">
        <v>8730</v>
      </c>
      <c r="E197" s="347">
        <v>11560</v>
      </c>
      <c r="F197" s="347">
        <v>1750</v>
      </c>
      <c r="G197" s="355">
        <v>5520</v>
      </c>
    </row>
    <row r="198" spans="1:7" s="336" customFormat="1" ht="14.25" customHeight="1">
      <c r="A198" s="347" t="s">
        <v>277</v>
      </c>
      <c r="B198" s="347" t="s">
        <v>2892</v>
      </c>
      <c r="C198" s="347">
        <v>8720</v>
      </c>
      <c r="D198" s="347">
        <v>8680</v>
      </c>
      <c r="E198" s="347">
        <v>11470</v>
      </c>
      <c r="F198" s="347"/>
      <c r="G198" s="355">
        <v>5480</v>
      </c>
    </row>
    <row r="199" spans="1:7" s="336" customFormat="1" ht="14.25" customHeight="1">
      <c r="A199" s="347" t="s">
        <v>277</v>
      </c>
      <c r="B199" s="347" t="s">
        <v>2902</v>
      </c>
      <c r="C199" s="347">
        <v>8690</v>
      </c>
      <c r="D199" s="347">
        <v>8630</v>
      </c>
      <c r="E199" s="347">
        <v>11350</v>
      </c>
      <c r="F199" s="347">
        <v>1600</v>
      </c>
      <c r="G199" s="355">
        <v>5450</v>
      </c>
    </row>
    <row r="200" spans="1:7" s="336" customFormat="1" ht="14.25" customHeight="1">
      <c r="A200" s="347" t="s">
        <v>277</v>
      </c>
      <c r="B200" s="347" t="s">
        <v>2912</v>
      </c>
      <c r="C200" s="347"/>
      <c r="D200" s="347"/>
      <c r="E200" s="347"/>
      <c r="F200" s="347">
        <v>1510</v>
      </c>
      <c r="G200" s="355"/>
    </row>
    <row r="201" spans="1:7" s="336" customFormat="1" ht="14.25" customHeight="1">
      <c r="A201" s="347" t="s">
        <v>277</v>
      </c>
      <c r="B201" s="347" t="s">
        <v>2922</v>
      </c>
      <c r="C201" s="347">
        <v>8440</v>
      </c>
      <c r="D201" s="347">
        <v>8390</v>
      </c>
      <c r="E201" s="347">
        <v>10930</v>
      </c>
      <c r="F201" s="347">
        <v>1500</v>
      </c>
      <c r="G201" s="355">
        <v>5300</v>
      </c>
    </row>
    <row r="202" spans="1:7" s="336" customFormat="1" ht="14.25" customHeight="1">
      <c r="A202" s="347" t="s">
        <v>277</v>
      </c>
      <c r="B202" s="347" t="s">
        <v>2932</v>
      </c>
      <c r="C202" s="347">
        <v>8530</v>
      </c>
      <c r="D202" s="347">
        <v>8490</v>
      </c>
      <c r="E202" s="347">
        <v>11160</v>
      </c>
      <c r="F202" s="347">
        <v>1580</v>
      </c>
      <c r="G202" s="355">
        <v>5360</v>
      </c>
    </row>
    <row r="203" spans="1:7" s="336" customFormat="1" ht="14.25" customHeight="1">
      <c r="A203" s="347" t="s">
        <v>277</v>
      </c>
      <c r="B203" s="347" t="s">
        <v>2942</v>
      </c>
      <c r="C203" s="347">
        <v>8130</v>
      </c>
      <c r="D203" s="347">
        <v>8070</v>
      </c>
      <c r="E203" s="347">
        <v>10820</v>
      </c>
      <c r="F203" s="347">
        <v>1690</v>
      </c>
      <c r="G203" s="355">
        <v>5100</v>
      </c>
    </row>
    <row r="204" spans="1:7" s="336" customFormat="1" ht="14.25" customHeight="1">
      <c r="A204" s="347" t="s">
        <v>277</v>
      </c>
      <c r="B204" s="347" t="s">
        <v>2952</v>
      </c>
      <c r="C204" s="347">
        <v>8350</v>
      </c>
      <c r="D204" s="347">
        <v>8290</v>
      </c>
      <c r="E204" s="347">
        <v>11080</v>
      </c>
      <c r="F204" s="347">
        <v>1450</v>
      </c>
      <c r="G204" s="355">
        <v>5240</v>
      </c>
    </row>
    <row r="205" spans="1:7" s="336" customFormat="1" ht="14.25" customHeight="1">
      <c r="A205" s="347" t="s">
        <v>277</v>
      </c>
      <c r="B205" s="347" t="s">
        <v>2962</v>
      </c>
      <c r="C205" s="347">
        <v>7190</v>
      </c>
      <c r="D205" s="347">
        <v>7130</v>
      </c>
      <c r="E205" s="347">
        <v>9490</v>
      </c>
      <c r="F205" s="347">
        <v>1470</v>
      </c>
      <c r="G205" s="355">
        <v>4510</v>
      </c>
    </row>
    <row r="206" spans="1:7" s="336" customFormat="1" ht="14.25" customHeight="1">
      <c r="A206" s="347" t="s">
        <v>277</v>
      </c>
      <c r="B206" s="347" t="s">
        <v>2972</v>
      </c>
      <c r="C206" s="347">
        <v>7000</v>
      </c>
      <c r="D206" s="347">
        <v>6950</v>
      </c>
      <c r="E206" s="347">
        <v>9170</v>
      </c>
      <c r="F206" s="347">
        <v>1400</v>
      </c>
      <c r="G206" s="355">
        <v>4380</v>
      </c>
    </row>
    <row r="207" spans="1:7" s="336" customFormat="1" ht="14.25" customHeight="1">
      <c r="A207" s="347" t="s">
        <v>277</v>
      </c>
      <c r="B207" s="347" t="s">
        <v>2982</v>
      </c>
      <c r="C207" s="347">
        <v>6950</v>
      </c>
      <c r="D207" s="347">
        <v>6900</v>
      </c>
      <c r="E207" s="347">
        <v>9110</v>
      </c>
      <c r="F207" s="347">
        <v>1790</v>
      </c>
      <c r="G207" s="355">
        <v>4360</v>
      </c>
    </row>
    <row r="208" spans="1:7" s="336" customFormat="1" ht="14.25" customHeight="1">
      <c r="A208" s="347" t="s">
        <v>277</v>
      </c>
      <c r="B208" s="347" t="s">
        <v>2992</v>
      </c>
      <c r="C208" s="347">
        <v>9470</v>
      </c>
      <c r="D208" s="347">
        <v>9410</v>
      </c>
      <c r="E208" s="347">
        <v>12330</v>
      </c>
      <c r="F208" s="347">
        <v>1770</v>
      </c>
      <c r="G208" s="355">
        <v>5940</v>
      </c>
    </row>
    <row r="209" spans="1:7" s="336" customFormat="1" ht="14.25" customHeight="1">
      <c r="A209" s="347" t="s">
        <v>277</v>
      </c>
      <c r="B209" s="347" t="s">
        <v>3002</v>
      </c>
      <c r="C209" s="347">
        <v>8740</v>
      </c>
      <c r="D209" s="347">
        <v>8700</v>
      </c>
      <c r="E209" s="347">
        <v>11500</v>
      </c>
      <c r="F209" s="347">
        <v>1730</v>
      </c>
      <c r="G209" s="355">
        <v>5490</v>
      </c>
    </row>
    <row r="210" spans="1:7" s="336" customFormat="1" ht="14.25" customHeight="1">
      <c r="A210" s="347" t="s">
        <v>277</v>
      </c>
      <c r="B210" s="347" t="s">
        <v>3011</v>
      </c>
      <c r="C210" s="347">
        <v>8710</v>
      </c>
      <c r="D210" s="347">
        <v>8660</v>
      </c>
      <c r="E210" s="347">
        <v>11440</v>
      </c>
      <c r="F210" s="347">
        <v>1740</v>
      </c>
      <c r="G210" s="355">
        <v>5470</v>
      </c>
    </row>
    <row r="211" spans="1:7" s="336" customFormat="1" ht="14.25" customHeight="1">
      <c r="A211" s="347" t="s">
        <v>277</v>
      </c>
      <c r="B211" s="347" t="s">
        <v>3019</v>
      </c>
      <c r="C211" s="347">
        <v>9480</v>
      </c>
      <c r="D211" s="347">
        <v>9430</v>
      </c>
      <c r="E211" s="347">
        <v>12360</v>
      </c>
      <c r="F211" s="347">
        <v>1820</v>
      </c>
      <c r="G211" s="355">
        <v>5950</v>
      </c>
    </row>
    <row r="212" spans="1:7" s="336" customFormat="1" ht="14.25" customHeight="1">
      <c r="A212" s="347" t="s">
        <v>277</v>
      </c>
      <c r="B212" s="347" t="s">
        <v>3027</v>
      </c>
      <c r="C212" s="347">
        <v>9070</v>
      </c>
      <c r="D212" s="347">
        <v>9020</v>
      </c>
      <c r="E212" s="347">
        <v>11720</v>
      </c>
      <c r="F212" s="347">
        <v>1850</v>
      </c>
      <c r="G212" s="355">
        <v>5700</v>
      </c>
    </row>
    <row r="213" spans="1:7" s="336" customFormat="1" ht="14.25" customHeight="1">
      <c r="A213" s="347" t="s">
        <v>277</v>
      </c>
      <c r="B213" s="347" t="s">
        <v>3035</v>
      </c>
      <c r="C213" s="347">
        <v>9030</v>
      </c>
      <c r="D213" s="347">
        <v>8980</v>
      </c>
      <c r="E213" s="347">
        <v>11670</v>
      </c>
      <c r="F213" s="347">
        <v>1690</v>
      </c>
      <c r="G213" s="355">
        <v>5670</v>
      </c>
    </row>
    <row r="214" spans="1:7" s="336" customFormat="1" ht="14.25" customHeight="1">
      <c r="A214" s="347" t="s">
        <v>277</v>
      </c>
      <c r="B214" s="347" t="s">
        <v>3043</v>
      </c>
      <c r="C214" s="347">
        <v>8090</v>
      </c>
      <c r="D214" s="347">
        <v>8030</v>
      </c>
      <c r="E214" s="347">
        <v>10780</v>
      </c>
      <c r="F214" s="347">
        <v>1570</v>
      </c>
      <c r="G214" s="355">
        <v>5070</v>
      </c>
    </row>
    <row r="215" spans="1:7" s="336" customFormat="1" ht="14.25" customHeight="1">
      <c r="A215" s="347" t="s">
        <v>277</v>
      </c>
      <c r="B215" s="347" t="s">
        <v>3050</v>
      </c>
      <c r="C215" s="347">
        <v>7950</v>
      </c>
      <c r="D215" s="347">
        <v>7900</v>
      </c>
      <c r="E215" s="347">
        <v>10560</v>
      </c>
      <c r="F215" s="347">
        <v>1630</v>
      </c>
      <c r="G215" s="355">
        <v>4990</v>
      </c>
    </row>
    <row r="216" spans="1:7" s="336" customFormat="1" ht="14.25" customHeight="1">
      <c r="A216" s="347" t="s">
        <v>277</v>
      </c>
      <c r="B216" s="347" t="s">
        <v>3057</v>
      </c>
      <c r="C216" s="347">
        <v>8490</v>
      </c>
      <c r="D216" s="347">
        <v>8440</v>
      </c>
      <c r="E216" s="347">
        <v>11260</v>
      </c>
      <c r="F216" s="347">
        <v>1690</v>
      </c>
      <c r="G216" s="355">
        <v>5330</v>
      </c>
    </row>
    <row r="217" spans="1:7" s="336" customFormat="1" ht="14.25" customHeight="1">
      <c r="A217" s="347" t="s">
        <v>277</v>
      </c>
      <c r="B217" s="347" t="s">
        <v>3064</v>
      </c>
      <c r="C217" s="347">
        <v>8200</v>
      </c>
      <c r="D217" s="347">
        <v>8150</v>
      </c>
      <c r="E217" s="347">
        <v>10910</v>
      </c>
      <c r="F217" s="347">
        <v>1670</v>
      </c>
      <c r="G217" s="355">
        <v>5150</v>
      </c>
    </row>
    <row r="218" spans="1:7" s="336" customFormat="1" ht="14.25" customHeight="1">
      <c r="A218" s="347" t="s">
        <v>277</v>
      </c>
      <c r="B218" s="347" t="s">
        <v>3071</v>
      </c>
      <c r="C218" s="347"/>
      <c r="D218" s="347"/>
      <c r="E218" s="347"/>
      <c r="F218" s="347">
        <v>2040</v>
      </c>
      <c r="G218" s="355"/>
    </row>
    <row r="219" spans="1:7" s="336" customFormat="1" ht="14.25" customHeight="1">
      <c r="A219" s="347" t="s">
        <v>277</v>
      </c>
      <c r="B219" s="347" t="s">
        <v>3078</v>
      </c>
      <c r="C219" s="347"/>
      <c r="D219" s="347"/>
      <c r="E219" s="347"/>
      <c r="F219" s="347">
        <v>2040</v>
      </c>
      <c r="G219" s="355"/>
    </row>
    <row r="220" spans="1:7" s="336" customFormat="1" ht="14.25" customHeight="1">
      <c r="A220" s="347" t="s">
        <v>277</v>
      </c>
      <c r="B220" s="347" t="s">
        <v>3085</v>
      </c>
      <c r="C220" s="347"/>
      <c r="D220" s="347"/>
      <c r="E220" s="347"/>
      <c r="F220" s="347">
        <v>2040</v>
      </c>
      <c r="G220" s="355"/>
    </row>
    <row r="221" spans="1:7" s="336" customFormat="1" ht="14.25" customHeight="1">
      <c r="A221" s="347" t="s">
        <v>277</v>
      </c>
      <c r="B221" s="347" t="s">
        <v>3092</v>
      </c>
      <c r="C221" s="347"/>
      <c r="D221" s="347"/>
      <c r="E221" s="347"/>
      <c r="F221" s="347">
        <v>2040</v>
      </c>
      <c r="G221" s="355"/>
    </row>
    <row r="222" spans="1:7" s="336" customFormat="1" ht="14.25" customHeight="1">
      <c r="A222" s="347" t="s">
        <v>277</v>
      </c>
      <c r="B222" s="347" t="s">
        <v>3097</v>
      </c>
      <c r="C222" s="347"/>
      <c r="D222" s="347"/>
      <c r="E222" s="347"/>
      <c r="F222" s="347">
        <v>2040</v>
      </c>
      <c r="G222" s="355"/>
    </row>
    <row r="223" spans="1:7" s="336" customFormat="1" ht="14.25" customHeight="1">
      <c r="A223" s="347" t="s">
        <v>277</v>
      </c>
      <c r="B223" s="347" t="s">
        <v>3102</v>
      </c>
      <c r="C223" s="347"/>
      <c r="D223" s="347"/>
      <c r="E223" s="347"/>
      <c r="F223" s="347">
        <v>1930</v>
      </c>
      <c r="G223" s="355"/>
    </row>
    <row r="224" spans="1:7" s="336" customFormat="1" ht="14.25" customHeight="1">
      <c r="A224" s="347" t="s">
        <v>277</v>
      </c>
      <c r="B224" s="347" t="s">
        <v>3107</v>
      </c>
      <c r="C224" s="347"/>
      <c r="D224" s="347"/>
      <c r="E224" s="347"/>
      <c r="F224" s="347">
        <v>1930</v>
      </c>
      <c r="G224" s="355"/>
    </row>
    <row r="225" spans="1:7" s="336" customFormat="1" ht="14.25" customHeight="1">
      <c r="A225" s="347" t="s">
        <v>277</v>
      </c>
      <c r="B225" s="347" t="s">
        <v>3112</v>
      </c>
      <c r="C225" s="347"/>
      <c r="D225" s="347"/>
      <c r="E225" s="347"/>
      <c r="F225" s="347">
        <v>1930</v>
      </c>
      <c r="G225" s="355"/>
    </row>
    <row r="226" spans="1:7" s="336" customFormat="1" ht="14.25" customHeight="1">
      <c r="A226" s="347" t="s">
        <v>277</v>
      </c>
      <c r="B226" s="347" t="s">
        <v>3117</v>
      </c>
      <c r="C226" s="347"/>
      <c r="D226" s="347"/>
      <c r="E226" s="347"/>
      <c r="F226" s="347">
        <v>1700</v>
      </c>
      <c r="G226" s="355"/>
    </row>
    <row r="227" spans="1:7" s="336" customFormat="1" ht="14.25" customHeight="1">
      <c r="A227" s="347" t="s">
        <v>277</v>
      </c>
      <c r="B227" s="347" t="s">
        <v>3122</v>
      </c>
      <c r="C227" s="347"/>
      <c r="D227" s="347"/>
      <c r="E227" s="347"/>
      <c r="F227" s="347">
        <v>1520</v>
      </c>
      <c r="G227" s="355"/>
    </row>
    <row r="228" spans="1:7" s="336" customFormat="1" ht="14.25" customHeight="1">
      <c r="A228" s="347" t="s">
        <v>277</v>
      </c>
      <c r="B228" s="347" t="s">
        <v>3126</v>
      </c>
      <c r="C228" s="347"/>
      <c r="D228" s="347"/>
      <c r="E228" s="347"/>
      <c r="F228" s="347">
        <v>1520</v>
      </c>
      <c r="G228" s="355"/>
    </row>
    <row r="229" spans="1:7" s="336" customFormat="1" ht="14.25" customHeight="1">
      <c r="A229" s="347" t="s">
        <v>277</v>
      </c>
      <c r="B229" s="347" t="s">
        <v>3131</v>
      </c>
      <c r="C229" s="347"/>
      <c r="D229" s="347"/>
      <c r="E229" s="347"/>
      <c r="F229" s="347">
        <v>1520</v>
      </c>
      <c r="G229" s="355"/>
    </row>
    <row r="230" spans="1:7" s="336" customFormat="1" ht="14.25" customHeight="1">
      <c r="A230" s="347" t="s">
        <v>277</v>
      </c>
      <c r="B230" s="347" t="s">
        <v>3135</v>
      </c>
      <c r="C230" s="347"/>
      <c r="D230" s="347"/>
      <c r="E230" s="347"/>
      <c r="F230" s="347">
        <v>1820</v>
      </c>
      <c r="G230" s="355"/>
    </row>
    <row r="231" spans="1:7" s="336" customFormat="1" ht="14.25" customHeight="1">
      <c r="A231" s="347" t="s">
        <v>277</v>
      </c>
      <c r="B231" s="347" t="s">
        <v>3139</v>
      </c>
      <c r="C231" s="347"/>
      <c r="D231" s="347"/>
      <c r="E231" s="347"/>
      <c r="F231" s="347">
        <v>1760</v>
      </c>
      <c r="G231" s="355"/>
    </row>
    <row r="232" spans="1:7" s="336" customFormat="1" ht="14.25" customHeight="1">
      <c r="A232" s="347" t="s">
        <v>277</v>
      </c>
      <c r="B232" s="347" t="s">
        <v>3143</v>
      </c>
      <c r="C232" s="347"/>
      <c r="D232" s="347"/>
      <c r="E232" s="347"/>
      <c r="F232" s="347">
        <v>1840</v>
      </c>
      <c r="G232" s="355"/>
    </row>
    <row r="233" spans="1:7" s="336" customFormat="1" ht="14.25" customHeight="1">
      <c r="A233" s="356" t="s">
        <v>277</v>
      </c>
      <c r="B233" s="351" t="s">
        <v>3147</v>
      </c>
      <c r="C233" s="351"/>
      <c r="D233" s="351"/>
      <c r="E233" s="351"/>
      <c r="F233" s="351">
        <v>1770</v>
      </c>
      <c r="G233" s="357"/>
    </row>
    <row r="234" spans="1:7" s="336" customFormat="1" ht="14.25" customHeight="1">
      <c r="A234" s="345" t="s">
        <v>283</v>
      </c>
      <c r="B234" s="346" t="s">
        <v>2799</v>
      </c>
      <c r="C234" s="347">
        <v>6980</v>
      </c>
      <c r="D234" s="347">
        <v>6970</v>
      </c>
      <c r="E234" s="347">
        <v>8720</v>
      </c>
      <c r="F234" s="347">
        <v>1350</v>
      </c>
      <c r="G234" s="347">
        <v>4280</v>
      </c>
    </row>
    <row r="235" spans="1:7" s="336" customFormat="1" ht="14.25" customHeight="1">
      <c r="A235" s="347" t="s">
        <v>283</v>
      </c>
      <c r="B235" s="347" t="s">
        <v>2812</v>
      </c>
      <c r="C235" s="347">
        <v>7620</v>
      </c>
      <c r="D235" s="347">
        <v>7580</v>
      </c>
      <c r="E235" s="347">
        <v>9360</v>
      </c>
      <c r="F235" s="347">
        <v>1490</v>
      </c>
      <c r="G235" s="347">
        <v>4650</v>
      </c>
    </row>
    <row r="236" spans="1:7" s="336" customFormat="1" ht="14.25" customHeight="1">
      <c r="A236" s="347" t="s">
        <v>283</v>
      </c>
      <c r="B236" s="347" t="s">
        <v>2826</v>
      </c>
      <c r="C236" s="347">
        <v>6650</v>
      </c>
      <c r="D236" s="347">
        <v>6630</v>
      </c>
      <c r="E236" s="347">
        <v>8330</v>
      </c>
      <c r="F236" s="347">
        <v>1250</v>
      </c>
      <c r="G236" s="347">
        <v>4070</v>
      </c>
    </row>
    <row r="237" spans="1:7" s="336" customFormat="1" ht="14.25" customHeight="1">
      <c r="A237" s="347" t="s">
        <v>283</v>
      </c>
      <c r="B237" s="347" t="s">
        <v>2838</v>
      </c>
      <c r="C237" s="347">
        <v>5850</v>
      </c>
      <c r="D237" s="347">
        <v>5820</v>
      </c>
      <c r="E237" s="347">
        <v>7260</v>
      </c>
      <c r="F237" s="347">
        <v>1140</v>
      </c>
      <c r="G237" s="347">
        <v>3570</v>
      </c>
    </row>
    <row r="238" spans="1:7" s="336" customFormat="1" ht="14.25" customHeight="1">
      <c r="A238" s="347" t="s">
        <v>283</v>
      </c>
      <c r="B238" s="347" t="s">
        <v>2850</v>
      </c>
      <c r="C238" s="347">
        <v>6920</v>
      </c>
      <c r="D238" s="347">
        <v>6890</v>
      </c>
      <c r="E238" s="347">
        <v>8640</v>
      </c>
      <c r="F238" s="347">
        <v>1310</v>
      </c>
      <c r="G238" s="347">
        <v>4230</v>
      </c>
    </row>
    <row r="239" spans="1:7" s="336" customFormat="1" ht="14.25" customHeight="1">
      <c r="A239" s="347" t="s">
        <v>283</v>
      </c>
      <c r="B239" s="347" t="s">
        <v>2861</v>
      </c>
      <c r="C239" s="347">
        <v>6780</v>
      </c>
      <c r="D239" s="347">
        <v>6750</v>
      </c>
      <c r="E239" s="347">
        <v>8440</v>
      </c>
      <c r="F239" s="347">
        <v>1160</v>
      </c>
      <c r="G239" s="347">
        <v>4140</v>
      </c>
    </row>
    <row r="240" spans="1:7" s="336" customFormat="1" ht="14.25" customHeight="1">
      <c r="A240" s="347" t="s">
        <v>283</v>
      </c>
      <c r="B240" s="347" t="s">
        <v>2872</v>
      </c>
      <c r="C240" s="347">
        <v>5420</v>
      </c>
      <c r="D240" s="347">
        <v>5380</v>
      </c>
      <c r="E240" s="347">
        <v>6640</v>
      </c>
      <c r="F240" s="347">
        <v>1020</v>
      </c>
      <c r="G240" s="347">
        <v>3300</v>
      </c>
    </row>
    <row r="241" spans="1:7" s="336" customFormat="1" ht="14.25" customHeight="1">
      <c r="A241" s="347" t="s">
        <v>283</v>
      </c>
      <c r="B241" s="347" t="s">
        <v>2883</v>
      </c>
      <c r="C241" s="347">
        <v>6660</v>
      </c>
      <c r="D241" s="347">
        <v>6640</v>
      </c>
      <c r="E241" s="347">
        <v>8340</v>
      </c>
      <c r="F241" s="347">
        <v>1130</v>
      </c>
      <c r="G241" s="347">
        <v>4080</v>
      </c>
    </row>
    <row r="242" spans="1:7" s="336" customFormat="1" ht="14.25" customHeight="1">
      <c r="A242" s="347" t="s">
        <v>283</v>
      </c>
      <c r="B242" s="347" t="s">
        <v>2893</v>
      </c>
      <c r="C242" s="347">
        <v>6580</v>
      </c>
      <c r="D242" s="347">
        <v>6550</v>
      </c>
      <c r="E242" s="347">
        <v>8090</v>
      </c>
      <c r="F242" s="347">
        <v>1240</v>
      </c>
      <c r="G242" s="347">
        <v>4020</v>
      </c>
    </row>
    <row r="243" spans="1:7" s="336" customFormat="1" ht="14.25" customHeight="1">
      <c r="A243" s="347" t="s">
        <v>283</v>
      </c>
      <c r="B243" s="347" t="s">
        <v>2903</v>
      </c>
      <c r="C243" s="347">
        <v>6000</v>
      </c>
      <c r="D243" s="347">
        <v>5970</v>
      </c>
      <c r="E243" s="347">
        <v>7370</v>
      </c>
      <c r="F243" s="347">
        <v>1070</v>
      </c>
      <c r="G243" s="347">
        <v>3670</v>
      </c>
    </row>
    <row r="244" spans="1:7" s="336" customFormat="1" ht="14.25" customHeight="1">
      <c r="A244" s="347" t="s">
        <v>283</v>
      </c>
      <c r="B244" s="347" t="s">
        <v>2913</v>
      </c>
      <c r="C244" s="347">
        <v>5840</v>
      </c>
      <c r="D244" s="347">
        <v>5810</v>
      </c>
      <c r="E244" s="347">
        <v>7240</v>
      </c>
      <c r="F244" s="347">
        <v>1100</v>
      </c>
      <c r="G244" s="347">
        <v>3560</v>
      </c>
    </row>
    <row r="245" spans="1:7" s="336" customFormat="1" ht="14.25" customHeight="1">
      <c r="A245" s="347" t="s">
        <v>283</v>
      </c>
      <c r="B245" s="347" t="s">
        <v>2923</v>
      </c>
      <c r="C245" s="347">
        <v>6040</v>
      </c>
      <c r="D245" s="347">
        <v>6000</v>
      </c>
      <c r="E245" s="347">
        <v>7420</v>
      </c>
      <c r="F245" s="347">
        <v>1140</v>
      </c>
      <c r="G245" s="347">
        <v>3690</v>
      </c>
    </row>
    <row r="246" spans="1:7" s="336" customFormat="1" ht="14.25" customHeight="1">
      <c r="A246" s="347" t="s">
        <v>283</v>
      </c>
      <c r="B246" s="347" t="s">
        <v>2933</v>
      </c>
      <c r="C246" s="347">
        <v>5890</v>
      </c>
      <c r="D246" s="347">
        <v>5860</v>
      </c>
      <c r="E246" s="347">
        <v>7300</v>
      </c>
      <c r="F246" s="347">
        <v>1110</v>
      </c>
      <c r="G246" s="347">
        <v>3590</v>
      </c>
    </row>
    <row r="247" spans="1:7" s="336" customFormat="1" ht="14.25" customHeight="1">
      <c r="A247" s="347" t="s">
        <v>283</v>
      </c>
      <c r="B247" s="347" t="s">
        <v>2943</v>
      </c>
      <c r="C247" s="347">
        <v>6480</v>
      </c>
      <c r="D247" s="347">
        <v>6450</v>
      </c>
      <c r="E247" s="347">
        <v>8010</v>
      </c>
      <c r="F247" s="347">
        <v>1170</v>
      </c>
      <c r="G247" s="347">
        <v>3960</v>
      </c>
    </row>
    <row r="248" spans="1:7" s="336" customFormat="1" ht="14.25" customHeight="1">
      <c r="A248" s="347" t="s">
        <v>283</v>
      </c>
      <c r="B248" s="347" t="s">
        <v>2953</v>
      </c>
      <c r="C248" s="347">
        <v>6860</v>
      </c>
      <c r="D248" s="347">
        <v>6840</v>
      </c>
      <c r="E248" s="347">
        <v>8520</v>
      </c>
      <c r="F248" s="347">
        <v>1240</v>
      </c>
      <c r="G248" s="347">
        <v>4200</v>
      </c>
    </row>
    <row r="249" spans="1:7" s="336" customFormat="1" ht="14.25" customHeight="1">
      <c r="A249" s="347" t="s">
        <v>283</v>
      </c>
      <c r="B249" s="347" t="s">
        <v>2963</v>
      </c>
      <c r="C249" s="347">
        <v>7180</v>
      </c>
      <c r="D249" s="347">
        <v>7140</v>
      </c>
      <c r="E249" s="347">
        <v>8900</v>
      </c>
      <c r="F249" s="347">
        <v>1350</v>
      </c>
      <c r="G249" s="347">
        <v>4380</v>
      </c>
    </row>
    <row r="250" spans="1:7" s="336" customFormat="1" ht="14.25" customHeight="1">
      <c r="A250" s="347" t="s">
        <v>283</v>
      </c>
      <c r="B250" s="347" t="s">
        <v>2973</v>
      </c>
      <c r="C250" s="347">
        <v>6880</v>
      </c>
      <c r="D250" s="347">
        <v>6860</v>
      </c>
      <c r="E250" s="347">
        <v>8550</v>
      </c>
      <c r="F250" s="347">
        <v>1220</v>
      </c>
      <c r="G250" s="347">
        <v>4210</v>
      </c>
    </row>
    <row r="251" spans="1:7" s="336" customFormat="1" ht="14.25" customHeight="1">
      <c r="A251" s="347" t="s">
        <v>283</v>
      </c>
      <c r="B251" s="347" t="s">
        <v>2983</v>
      </c>
      <c r="C251" s="347"/>
      <c r="D251" s="347"/>
      <c r="E251" s="347"/>
      <c r="F251" s="347">
        <v>1100</v>
      </c>
      <c r="G251" s="347"/>
    </row>
    <row r="252" spans="1:7" s="336" customFormat="1" ht="14.25" customHeight="1">
      <c r="A252" s="347" t="s">
        <v>283</v>
      </c>
      <c r="B252" s="347" t="s">
        <v>2993</v>
      </c>
      <c r="C252" s="347">
        <v>7240</v>
      </c>
      <c r="D252" s="347">
        <v>7200</v>
      </c>
      <c r="E252" s="347">
        <v>9040</v>
      </c>
      <c r="F252" s="347">
        <v>1380</v>
      </c>
      <c r="G252" s="347">
        <v>4420</v>
      </c>
    </row>
    <row r="253" spans="1:7" s="336" customFormat="1" ht="14.25" customHeight="1">
      <c r="A253" s="347" t="s">
        <v>283</v>
      </c>
      <c r="B253" s="347" t="s">
        <v>3003</v>
      </c>
      <c r="C253" s="347">
        <v>6670</v>
      </c>
      <c r="D253" s="347">
        <v>6650</v>
      </c>
      <c r="E253" s="347">
        <v>8350</v>
      </c>
      <c r="F253" s="347">
        <v>1260</v>
      </c>
      <c r="G253" s="347">
        <v>4080</v>
      </c>
    </row>
    <row r="254" spans="1:7" s="336" customFormat="1" ht="14.25" customHeight="1">
      <c r="A254" s="347" t="s">
        <v>283</v>
      </c>
      <c r="B254" s="347" t="s">
        <v>3012</v>
      </c>
      <c r="C254" s="347">
        <v>7630</v>
      </c>
      <c r="D254" s="347">
        <v>7590</v>
      </c>
      <c r="E254" s="347">
        <v>9380</v>
      </c>
      <c r="F254" s="347">
        <v>1320</v>
      </c>
      <c r="G254" s="347">
        <v>4660</v>
      </c>
    </row>
    <row r="255" spans="1:7" s="336" customFormat="1" ht="14.25" customHeight="1">
      <c r="A255" s="347" t="s">
        <v>283</v>
      </c>
      <c r="B255" s="347" t="s">
        <v>3020</v>
      </c>
      <c r="C255" s="347">
        <v>6940</v>
      </c>
      <c r="D255" s="347">
        <v>6890</v>
      </c>
      <c r="E255" s="347">
        <v>8650</v>
      </c>
      <c r="F255" s="347">
        <v>1210</v>
      </c>
      <c r="G255" s="347">
        <v>4230</v>
      </c>
    </row>
    <row r="256" spans="1:7" s="336" customFormat="1" ht="14.25" customHeight="1">
      <c r="A256" s="347" t="s">
        <v>283</v>
      </c>
      <c r="B256" s="347" t="s">
        <v>3028</v>
      </c>
      <c r="C256" s="347">
        <v>7520</v>
      </c>
      <c r="D256" s="347">
        <v>7490</v>
      </c>
      <c r="E256" s="347">
        <v>9240</v>
      </c>
      <c r="F256" s="347">
        <v>1270</v>
      </c>
      <c r="G256" s="347">
        <v>4590</v>
      </c>
    </row>
    <row r="257" spans="1:7" s="336" customFormat="1" ht="14.25" customHeight="1">
      <c r="A257" s="347" t="s">
        <v>283</v>
      </c>
      <c r="B257" s="347" t="s">
        <v>3036</v>
      </c>
      <c r="C257" s="347">
        <v>6280</v>
      </c>
      <c r="D257" s="347">
        <v>6230</v>
      </c>
      <c r="E257" s="347">
        <v>7740</v>
      </c>
      <c r="F257" s="347">
        <v>1080</v>
      </c>
      <c r="G257" s="347">
        <v>3830</v>
      </c>
    </row>
    <row r="258" spans="1:7" s="336" customFormat="1" ht="14.25" customHeight="1">
      <c r="A258" s="347" t="s">
        <v>283</v>
      </c>
      <c r="B258" s="347" t="s">
        <v>3044</v>
      </c>
      <c r="C258" s="347">
        <v>6190</v>
      </c>
      <c r="D258" s="347">
        <v>6160</v>
      </c>
      <c r="E258" s="347">
        <v>7680</v>
      </c>
      <c r="F258" s="347">
        <v>1170</v>
      </c>
      <c r="G258" s="347">
        <v>3780</v>
      </c>
    </row>
    <row r="259" spans="1:7" s="336" customFormat="1" ht="14.25" customHeight="1">
      <c r="A259" s="347" t="s">
        <v>283</v>
      </c>
      <c r="B259" s="347" t="s">
        <v>3051</v>
      </c>
      <c r="C259" s="347">
        <v>7610</v>
      </c>
      <c r="D259" s="347">
        <v>7570</v>
      </c>
      <c r="E259" s="347">
        <v>9350</v>
      </c>
      <c r="F259" s="347">
        <v>1350</v>
      </c>
      <c r="G259" s="347">
        <v>4650</v>
      </c>
    </row>
    <row r="260" spans="1:7" s="336" customFormat="1" ht="14.25" customHeight="1">
      <c r="A260" s="347" t="s">
        <v>283</v>
      </c>
      <c r="B260" s="347" t="s">
        <v>3058</v>
      </c>
      <c r="C260" s="347">
        <v>6920</v>
      </c>
      <c r="D260" s="347">
        <v>6880</v>
      </c>
      <c r="E260" s="347">
        <v>8380</v>
      </c>
      <c r="F260" s="347">
        <v>1160</v>
      </c>
      <c r="G260" s="347">
        <v>4220</v>
      </c>
    </row>
    <row r="261" spans="1:7" s="336" customFormat="1" ht="14.25" customHeight="1">
      <c r="A261" s="347" t="s">
        <v>283</v>
      </c>
      <c r="B261" s="347" t="s">
        <v>3065</v>
      </c>
      <c r="C261" s="347">
        <v>6850</v>
      </c>
      <c r="D261" s="347">
        <v>6810</v>
      </c>
      <c r="E261" s="347">
        <v>8290</v>
      </c>
      <c r="F261" s="347">
        <v>1130</v>
      </c>
      <c r="G261" s="347">
        <v>4180</v>
      </c>
    </row>
    <row r="262" spans="1:7" s="336" customFormat="1" ht="14.25" customHeight="1">
      <c r="A262" s="347" t="s">
        <v>283</v>
      </c>
      <c r="B262" s="347" t="s">
        <v>3072</v>
      </c>
      <c r="C262" s="347">
        <v>5860</v>
      </c>
      <c r="D262" s="347">
        <v>5820</v>
      </c>
      <c r="E262" s="347">
        <v>7640</v>
      </c>
      <c r="F262" s="347">
        <v>1070</v>
      </c>
      <c r="G262" s="347">
        <v>3570</v>
      </c>
    </row>
    <row r="263" spans="1:7" s="336" customFormat="1" ht="14.25" customHeight="1">
      <c r="A263" s="347" t="s">
        <v>283</v>
      </c>
      <c r="B263" s="347" t="s">
        <v>3079</v>
      </c>
      <c r="C263" s="347">
        <v>5870</v>
      </c>
      <c r="D263" s="347">
        <v>5840</v>
      </c>
      <c r="E263" s="347">
        <v>7270</v>
      </c>
      <c r="F263" s="347">
        <v>1190</v>
      </c>
      <c r="G263" s="347">
        <v>3580</v>
      </c>
    </row>
    <row r="264" spans="1:7" s="336" customFormat="1" ht="14.25" customHeight="1">
      <c r="A264" s="347" t="s">
        <v>283</v>
      </c>
      <c r="B264" s="347" t="s">
        <v>3086</v>
      </c>
      <c r="C264" s="347">
        <v>6190</v>
      </c>
      <c r="D264" s="347">
        <v>6150</v>
      </c>
      <c r="E264" s="347">
        <v>7660</v>
      </c>
      <c r="F264" s="347">
        <v>1160</v>
      </c>
      <c r="G264" s="347">
        <v>3770</v>
      </c>
    </row>
    <row r="265" spans="1:7" s="336" customFormat="1" ht="14.25" customHeight="1">
      <c r="A265" s="347" t="s">
        <v>283</v>
      </c>
      <c r="B265" s="347" t="s">
        <v>3093</v>
      </c>
      <c r="C265" s="347"/>
      <c r="D265" s="347"/>
      <c r="E265" s="347"/>
      <c r="F265" s="347">
        <v>1500</v>
      </c>
      <c r="G265" s="347"/>
    </row>
    <row r="266" spans="1:7" s="336" customFormat="1" ht="14.25" customHeight="1">
      <c r="A266" s="347" t="s">
        <v>283</v>
      </c>
      <c r="B266" s="347" t="s">
        <v>3098</v>
      </c>
      <c r="C266" s="347"/>
      <c r="D266" s="347"/>
      <c r="E266" s="347"/>
      <c r="F266" s="347">
        <v>1500</v>
      </c>
      <c r="G266" s="347"/>
    </row>
    <row r="267" spans="1:7" s="336" customFormat="1" ht="14.25" customHeight="1">
      <c r="A267" s="347" t="s">
        <v>283</v>
      </c>
      <c r="B267" s="347" t="s">
        <v>3103</v>
      </c>
      <c r="C267" s="347"/>
      <c r="D267" s="347"/>
      <c r="E267" s="347"/>
      <c r="F267" s="347">
        <v>1500</v>
      </c>
      <c r="G267" s="347"/>
    </row>
    <row r="268" spans="1:7" s="336" customFormat="1" ht="14.25" customHeight="1">
      <c r="A268" s="347" t="s">
        <v>283</v>
      </c>
      <c r="B268" s="347" t="s">
        <v>3108</v>
      </c>
      <c r="C268" s="347"/>
      <c r="D268" s="347"/>
      <c r="E268" s="347"/>
      <c r="F268" s="347">
        <v>1290</v>
      </c>
      <c r="G268" s="347"/>
    </row>
    <row r="269" spans="1:7" s="336" customFormat="1" ht="14.25" customHeight="1">
      <c r="A269" s="347" t="s">
        <v>283</v>
      </c>
      <c r="B269" s="347" t="s">
        <v>3113</v>
      </c>
      <c r="C269" s="347"/>
      <c r="D269" s="347"/>
      <c r="E269" s="347"/>
      <c r="F269" s="347">
        <v>1150</v>
      </c>
      <c r="G269" s="347"/>
    </row>
    <row r="270" spans="1:7" s="336" customFormat="1" ht="14.25" customHeight="1">
      <c r="A270" s="347" t="s">
        <v>283</v>
      </c>
      <c r="B270" s="347" t="s">
        <v>3118</v>
      </c>
      <c r="C270" s="347"/>
      <c r="D270" s="347"/>
      <c r="E270" s="347"/>
      <c r="F270" s="347">
        <v>1380</v>
      </c>
      <c r="G270" s="347"/>
    </row>
    <row r="271" spans="1:7" s="336" customFormat="1" ht="14.25" customHeight="1">
      <c r="A271" s="347" t="s">
        <v>283</v>
      </c>
      <c r="B271" s="347" t="s">
        <v>3123</v>
      </c>
      <c r="C271" s="347"/>
      <c r="D271" s="347"/>
      <c r="E271" s="347"/>
      <c r="F271" s="347">
        <v>1460</v>
      </c>
      <c r="G271" s="347"/>
    </row>
    <row r="272" spans="1:7" s="336" customFormat="1" ht="14.25" customHeight="1">
      <c r="A272" s="347" t="s">
        <v>283</v>
      </c>
      <c r="B272" s="347" t="s">
        <v>3127</v>
      </c>
      <c r="C272" s="347"/>
      <c r="D272" s="347"/>
      <c r="E272" s="347"/>
      <c r="F272" s="347">
        <v>1460</v>
      </c>
      <c r="G272" s="347"/>
    </row>
    <row r="273" spans="1:7" s="336" customFormat="1" ht="14.25" customHeight="1">
      <c r="A273" s="347" t="s">
        <v>283</v>
      </c>
      <c r="B273" s="347" t="s">
        <v>3132</v>
      </c>
      <c r="C273" s="347"/>
      <c r="D273" s="347"/>
      <c r="E273" s="347"/>
      <c r="F273" s="347">
        <v>1490</v>
      </c>
      <c r="G273" s="347"/>
    </row>
    <row r="274" spans="1:7" s="336" customFormat="1" ht="14.25" customHeight="1">
      <c r="A274" s="347" t="s">
        <v>283</v>
      </c>
      <c r="B274" s="347" t="s">
        <v>3136</v>
      </c>
      <c r="C274" s="347"/>
      <c r="D274" s="347"/>
      <c r="E274" s="347"/>
      <c r="F274" s="347">
        <v>1490</v>
      </c>
      <c r="G274" s="347"/>
    </row>
    <row r="275" spans="1:7" s="336" customFormat="1" ht="14.25" customHeight="1">
      <c r="A275" s="347" t="s">
        <v>283</v>
      </c>
      <c r="B275" s="347" t="s">
        <v>3140</v>
      </c>
      <c r="C275" s="347"/>
      <c r="D275" s="347"/>
      <c r="E275" s="347"/>
      <c r="F275" s="347">
        <v>1220</v>
      </c>
      <c r="G275" s="347"/>
    </row>
    <row r="276" spans="1:7" s="336" customFormat="1" ht="14.25" customHeight="1">
      <c r="A276" s="349" t="s">
        <v>283</v>
      </c>
      <c r="B276" s="352" t="s">
        <v>3144</v>
      </c>
      <c r="C276" s="353"/>
      <c r="D276" s="353"/>
      <c r="E276" s="353"/>
      <c r="F276" s="353">
        <v>1380</v>
      </c>
      <c r="G276" s="353"/>
    </row>
    <row r="277" spans="1:7" s="336" customFormat="1" ht="14.25" customHeight="1">
      <c r="A277" s="345" t="s">
        <v>287</v>
      </c>
      <c r="B277" s="346" t="s">
        <v>2800</v>
      </c>
      <c r="C277" s="346">
        <v>5790</v>
      </c>
      <c r="D277" s="346">
        <v>5740</v>
      </c>
      <c r="E277" s="346">
        <v>6730</v>
      </c>
      <c r="F277" s="346">
        <v>1110</v>
      </c>
      <c r="G277" s="354">
        <v>3460</v>
      </c>
    </row>
    <row r="278" spans="1:7" s="336" customFormat="1" ht="14.25" customHeight="1">
      <c r="A278" s="347" t="s">
        <v>287</v>
      </c>
      <c r="B278" s="347" t="s">
        <v>2813</v>
      </c>
      <c r="C278" s="347">
        <v>5740</v>
      </c>
      <c r="D278" s="347">
        <v>5670</v>
      </c>
      <c r="E278" s="347">
        <v>6680</v>
      </c>
      <c r="F278" s="347">
        <v>1070</v>
      </c>
      <c r="G278" s="355">
        <v>3420</v>
      </c>
    </row>
    <row r="279" spans="1:7" s="336" customFormat="1" ht="14.25" customHeight="1">
      <c r="A279" s="347" t="s">
        <v>287</v>
      </c>
      <c r="B279" s="347" t="s">
        <v>2827</v>
      </c>
      <c r="C279" s="347">
        <v>4760</v>
      </c>
      <c r="D279" s="347">
        <v>4720</v>
      </c>
      <c r="E279" s="347">
        <v>5540</v>
      </c>
      <c r="F279" s="347">
        <v>810</v>
      </c>
      <c r="G279" s="355">
        <v>2850</v>
      </c>
    </row>
    <row r="280" spans="1:7" s="336" customFormat="1" ht="14.25" customHeight="1">
      <c r="A280" s="347" t="s">
        <v>287</v>
      </c>
      <c r="B280" s="347" t="s">
        <v>2839</v>
      </c>
      <c r="C280" s="347">
        <v>4010</v>
      </c>
      <c r="D280" s="347">
        <v>3950</v>
      </c>
      <c r="E280" s="347">
        <v>4710</v>
      </c>
      <c r="F280" s="347">
        <v>800</v>
      </c>
      <c r="G280" s="355">
        <v>2390</v>
      </c>
    </row>
    <row r="281" spans="1:7" s="336" customFormat="1" ht="14.25" customHeight="1">
      <c r="A281" s="347" t="s">
        <v>287</v>
      </c>
      <c r="B281" s="347" t="s">
        <v>2851</v>
      </c>
      <c r="C281" s="347">
        <v>4480</v>
      </c>
      <c r="D281" s="347">
        <v>4420</v>
      </c>
      <c r="E281" s="347">
        <v>5230</v>
      </c>
      <c r="F281" s="347">
        <v>870</v>
      </c>
      <c r="G281" s="355">
        <v>2660</v>
      </c>
    </row>
    <row r="282" spans="1:7" s="336" customFormat="1" ht="14.25" customHeight="1">
      <c r="A282" s="347" t="s">
        <v>287</v>
      </c>
      <c r="B282" s="347" t="s">
        <v>2862</v>
      </c>
      <c r="C282" s="347">
        <v>5360</v>
      </c>
      <c r="D282" s="347">
        <v>5300</v>
      </c>
      <c r="E282" s="347">
        <v>6190</v>
      </c>
      <c r="F282" s="347">
        <v>950</v>
      </c>
      <c r="G282" s="355">
        <v>3190</v>
      </c>
    </row>
    <row r="283" spans="1:7" s="336" customFormat="1" ht="14.25" customHeight="1">
      <c r="A283" s="347" t="s">
        <v>287</v>
      </c>
      <c r="B283" s="347" t="s">
        <v>2873</v>
      </c>
      <c r="C283" s="347">
        <v>4950</v>
      </c>
      <c r="D283" s="347">
        <v>4900</v>
      </c>
      <c r="E283" s="347">
        <v>5720</v>
      </c>
      <c r="F283" s="347">
        <v>920</v>
      </c>
      <c r="G283" s="355">
        <v>2950</v>
      </c>
    </row>
    <row r="284" spans="1:7" s="336" customFormat="1" ht="14.25" customHeight="1">
      <c r="A284" s="347" t="s">
        <v>287</v>
      </c>
      <c r="B284" s="347" t="s">
        <v>2884</v>
      </c>
      <c r="C284" s="347">
        <v>5610</v>
      </c>
      <c r="D284" s="347">
        <v>5560</v>
      </c>
      <c r="E284" s="347">
        <v>6520</v>
      </c>
      <c r="F284" s="347">
        <v>1030</v>
      </c>
      <c r="G284" s="355">
        <v>3360</v>
      </c>
    </row>
    <row r="285" spans="1:7" s="336" customFormat="1" ht="14.25" customHeight="1">
      <c r="A285" s="347" t="s">
        <v>287</v>
      </c>
      <c r="B285" s="347" t="s">
        <v>2894</v>
      </c>
      <c r="C285" s="347">
        <v>5340</v>
      </c>
      <c r="D285" s="347">
        <v>5290</v>
      </c>
      <c r="E285" s="347">
        <v>6170</v>
      </c>
      <c r="F285" s="347">
        <v>1080</v>
      </c>
      <c r="G285" s="355">
        <v>3180</v>
      </c>
    </row>
    <row r="286" spans="1:7" s="336" customFormat="1" ht="14.25" customHeight="1">
      <c r="A286" s="347" t="s">
        <v>287</v>
      </c>
      <c r="B286" s="347" t="s">
        <v>2904</v>
      </c>
      <c r="C286" s="347">
        <v>4890</v>
      </c>
      <c r="D286" s="347">
        <v>4840</v>
      </c>
      <c r="E286" s="347">
        <v>5640</v>
      </c>
      <c r="F286" s="347">
        <v>960</v>
      </c>
      <c r="G286" s="355">
        <v>2910</v>
      </c>
    </row>
    <row r="287" spans="1:7" s="336" customFormat="1" ht="14.25" customHeight="1">
      <c r="A287" s="347" t="s">
        <v>287</v>
      </c>
      <c r="B287" s="347" t="s">
        <v>2914</v>
      </c>
      <c r="C287" s="347">
        <v>4960</v>
      </c>
      <c r="D287" s="347">
        <v>4920</v>
      </c>
      <c r="E287" s="347">
        <v>5730</v>
      </c>
      <c r="F287" s="347">
        <v>930</v>
      </c>
      <c r="G287" s="355">
        <v>2960</v>
      </c>
    </row>
    <row r="288" spans="1:7" s="336" customFormat="1" ht="14.25" customHeight="1">
      <c r="A288" s="347" t="s">
        <v>287</v>
      </c>
      <c r="B288" s="347" t="s">
        <v>2924</v>
      </c>
      <c r="C288" s="347">
        <v>4350</v>
      </c>
      <c r="D288" s="347">
        <v>4300</v>
      </c>
      <c r="E288" s="347">
        <v>4900</v>
      </c>
      <c r="F288" s="347">
        <v>820</v>
      </c>
      <c r="G288" s="355">
        <v>2590</v>
      </c>
    </row>
    <row r="289" spans="1:7" s="336" customFormat="1" ht="14.25" customHeight="1">
      <c r="A289" s="347" t="s">
        <v>287</v>
      </c>
      <c r="B289" s="347" t="s">
        <v>2934</v>
      </c>
      <c r="C289" s="347">
        <v>5230</v>
      </c>
      <c r="D289" s="347">
        <v>5170</v>
      </c>
      <c r="E289" s="347">
        <v>6060</v>
      </c>
      <c r="F289" s="347">
        <v>900</v>
      </c>
      <c r="G289" s="355">
        <v>3120</v>
      </c>
    </row>
    <row r="290" spans="1:7" s="336" customFormat="1" ht="14.25" customHeight="1">
      <c r="A290" s="347" t="s">
        <v>287</v>
      </c>
      <c r="B290" s="347" t="s">
        <v>2944</v>
      </c>
      <c r="C290" s="347">
        <v>5550</v>
      </c>
      <c r="D290" s="347">
        <v>5500</v>
      </c>
      <c r="E290" s="347">
        <v>6440</v>
      </c>
      <c r="F290" s="347">
        <v>960</v>
      </c>
      <c r="G290" s="355">
        <v>3320</v>
      </c>
    </row>
    <row r="291" spans="1:7" s="336" customFormat="1" ht="14.25" customHeight="1">
      <c r="A291" s="347" t="s">
        <v>287</v>
      </c>
      <c r="B291" s="347" t="s">
        <v>2954</v>
      </c>
      <c r="C291" s="347">
        <v>5440</v>
      </c>
      <c r="D291" s="347">
        <v>5400</v>
      </c>
      <c r="E291" s="347">
        <v>6320</v>
      </c>
      <c r="F291" s="347">
        <v>930</v>
      </c>
      <c r="G291" s="355">
        <v>3250</v>
      </c>
    </row>
    <row r="292" spans="1:7" s="336" customFormat="1" ht="14.25" customHeight="1">
      <c r="A292" s="347" t="s">
        <v>287</v>
      </c>
      <c r="B292" s="347" t="s">
        <v>2964</v>
      </c>
      <c r="C292" s="347">
        <v>5400</v>
      </c>
      <c r="D292" s="347">
        <v>5360</v>
      </c>
      <c r="E292" s="347">
        <v>6270</v>
      </c>
      <c r="F292" s="347">
        <v>1040</v>
      </c>
      <c r="G292" s="355">
        <v>3230</v>
      </c>
    </row>
    <row r="293" spans="1:7" s="336" customFormat="1" ht="14.25" customHeight="1">
      <c r="A293" s="347" t="s">
        <v>287</v>
      </c>
      <c r="B293" s="347" t="s">
        <v>2974</v>
      </c>
      <c r="C293" s="347">
        <v>5320</v>
      </c>
      <c r="D293" s="347">
        <v>5270</v>
      </c>
      <c r="E293" s="347">
        <v>6160</v>
      </c>
      <c r="F293" s="347">
        <v>990</v>
      </c>
      <c r="G293" s="355">
        <v>3170</v>
      </c>
    </row>
    <row r="294" spans="1:7" s="336" customFormat="1" ht="14.25" customHeight="1">
      <c r="A294" s="347" t="s">
        <v>287</v>
      </c>
      <c r="B294" s="347" t="s">
        <v>2984</v>
      </c>
      <c r="C294" s="347">
        <v>5260</v>
      </c>
      <c r="D294" s="347">
        <v>5210</v>
      </c>
      <c r="E294" s="347">
        <v>6100</v>
      </c>
      <c r="F294" s="347">
        <v>950</v>
      </c>
      <c r="G294" s="355">
        <v>3150</v>
      </c>
    </row>
    <row r="295" spans="1:7" s="336" customFormat="1" ht="14.25" customHeight="1">
      <c r="A295" s="347" t="s">
        <v>287</v>
      </c>
      <c r="B295" s="347" t="s">
        <v>2994</v>
      </c>
      <c r="C295" s="347">
        <v>5610</v>
      </c>
      <c r="D295" s="347">
        <v>5570</v>
      </c>
      <c r="E295" s="347">
        <v>6530</v>
      </c>
      <c r="F295" s="347">
        <v>960</v>
      </c>
      <c r="G295" s="355">
        <v>3360</v>
      </c>
    </row>
    <row r="296" spans="1:7" s="336" customFormat="1" ht="14.25" customHeight="1">
      <c r="A296" s="347" t="s">
        <v>287</v>
      </c>
      <c r="B296" s="347" t="s">
        <v>3004</v>
      </c>
      <c r="C296" s="347">
        <v>5540</v>
      </c>
      <c r="D296" s="347">
        <v>5490</v>
      </c>
      <c r="E296" s="347">
        <v>6430</v>
      </c>
      <c r="F296" s="347">
        <v>980</v>
      </c>
      <c r="G296" s="355">
        <v>3310</v>
      </c>
    </row>
    <row r="297" spans="1:7" s="336" customFormat="1" ht="14.25" customHeight="1">
      <c r="A297" s="347" t="s">
        <v>287</v>
      </c>
      <c r="B297" s="347" t="s">
        <v>3013</v>
      </c>
      <c r="C297" s="347">
        <v>5480</v>
      </c>
      <c r="D297" s="347">
        <v>5420</v>
      </c>
      <c r="E297" s="347">
        <v>6370</v>
      </c>
      <c r="F297" s="347">
        <v>990</v>
      </c>
      <c r="G297" s="355">
        <v>3270</v>
      </c>
    </row>
    <row r="298" spans="1:7" s="336" customFormat="1" ht="14.25" customHeight="1">
      <c r="A298" s="347" t="s">
        <v>287</v>
      </c>
      <c r="B298" s="347" t="s">
        <v>3021</v>
      </c>
      <c r="C298" s="347">
        <v>5090</v>
      </c>
      <c r="D298" s="347">
        <v>5050</v>
      </c>
      <c r="E298" s="347">
        <v>5910</v>
      </c>
      <c r="F298" s="347">
        <v>900</v>
      </c>
      <c r="G298" s="355">
        <v>3040</v>
      </c>
    </row>
    <row r="299" spans="1:7" s="336" customFormat="1" ht="14.25" customHeight="1">
      <c r="A299" s="347" t="s">
        <v>287</v>
      </c>
      <c r="B299" s="361" t="s">
        <v>3029</v>
      </c>
      <c r="C299" s="347">
        <v>5430</v>
      </c>
      <c r="D299" s="347">
        <v>5380</v>
      </c>
      <c r="E299" s="347">
        <v>6280</v>
      </c>
      <c r="F299" s="347">
        <v>1000</v>
      </c>
      <c r="G299" s="355">
        <v>3240</v>
      </c>
    </row>
    <row r="300" spans="1:7" s="336" customFormat="1" ht="14.25" customHeight="1">
      <c r="A300" s="347" t="s">
        <v>287</v>
      </c>
      <c r="B300" s="361" t="s">
        <v>3037</v>
      </c>
      <c r="C300" s="347">
        <v>4740</v>
      </c>
      <c r="D300" s="347">
        <v>4680</v>
      </c>
      <c r="E300" s="347">
        <v>5450</v>
      </c>
      <c r="F300" s="347">
        <v>900</v>
      </c>
      <c r="G300" s="355">
        <v>2830</v>
      </c>
    </row>
    <row r="301" spans="1:7" s="336" customFormat="1" ht="14.25" customHeight="1">
      <c r="A301" s="347" t="s">
        <v>287</v>
      </c>
      <c r="B301" s="361" t="s">
        <v>3045</v>
      </c>
      <c r="C301" s="347">
        <v>4870</v>
      </c>
      <c r="D301" s="347">
        <v>4810</v>
      </c>
      <c r="E301" s="347">
        <v>5560</v>
      </c>
      <c r="F301" s="347">
        <v>990</v>
      </c>
      <c r="G301" s="355">
        <v>2910</v>
      </c>
    </row>
    <row r="302" spans="1:7" s="336" customFormat="1" ht="14.25" customHeight="1">
      <c r="A302" s="347" t="s">
        <v>287</v>
      </c>
      <c r="B302" s="347" t="s">
        <v>3052</v>
      </c>
      <c r="C302" s="347">
        <v>5520</v>
      </c>
      <c r="D302" s="347">
        <v>5470</v>
      </c>
      <c r="E302" s="347">
        <v>6410</v>
      </c>
      <c r="F302" s="347">
        <v>950</v>
      </c>
      <c r="G302" s="355">
        <v>3300</v>
      </c>
    </row>
    <row r="303" spans="1:7" s="336" customFormat="1" ht="14.25" customHeight="1">
      <c r="A303" s="347" t="s">
        <v>287</v>
      </c>
      <c r="B303" s="347" t="s">
        <v>3059</v>
      </c>
      <c r="C303" s="347">
        <v>5630</v>
      </c>
      <c r="D303" s="347">
        <v>5590</v>
      </c>
      <c r="E303" s="347">
        <v>6550</v>
      </c>
      <c r="F303" s="347">
        <v>1010</v>
      </c>
      <c r="G303" s="355">
        <v>3370</v>
      </c>
    </row>
    <row r="304" spans="1:7" s="336" customFormat="1" ht="14.25" customHeight="1">
      <c r="A304" s="347" t="s">
        <v>287</v>
      </c>
      <c r="B304" s="347" t="s">
        <v>3066</v>
      </c>
      <c r="C304" s="347">
        <v>5680</v>
      </c>
      <c r="D304" s="347">
        <v>5620</v>
      </c>
      <c r="E304" s="347">
        <v>6620</v>
      </c>
      <c r="F304" s="347">
        <v>1050</v>
      </c>
      <c r="G304" s="355">
        <v>3390</v>
      </c>
    </row>
    <row r="305" spans="1:7" s="336" customFormat="1" ht="14.25" customHeight="1">
      <c r="A305" s="347" t="s">
        <v>287</v>
      </c>
      <c r="B305" s="347" t="s">
        <v>3073</v>
      </c>
      <c r="C305" s="347">
        <v>5590</v>
      </c>
      <c r="D305" s="347">
        <v>5530</v>
      </c>
      <c r="E305" s="347">
        <v>6460</v>
      </c>
      <c r="F305" s="347">
        <v>900</v>
      </c>
      <c r="G305" s="355">
        <v>3340</v>
      </c>
    </row>
    <row r="306" spans="1:7" s="336" customFormat="1" ht="14.25" customHeight="1">
      <c r="A306" s="347" t="s">
        <v>287</v>
      </c>
      <c r="B306" s="347" t="s">
        <v>3080</v>
      </c>
      <c r="C306" s="347">
        <v>5560</v>
      </c>
      <c r="D306" s="347">
        <v>5510</v>
      </c>
      <c r="E306" s="347">
        <v>6440</v>
      </c>
      <c r="F306" s="347">
        <v>900</v>
      </c>
      <c r="G306" s="355">
        <v>3320</v>
      </c>
    </row>
    <row r="307" spans="1:7" s="336" customFormat="1" ht="14.25" customHeight="1">
      <c r="A307" s="347" t="s">
        <v>287</v>
      </c>
      <c r="B307" s="347" t="s">
        <v>3087</v>
      </c>
      <c r="C307" s="347">
        <v>5650</v>
      </c>
      <c r="D307" s="347">
        <v>5600</v>
      </c>
      <c r="E307" s="347">
        <v>6590</v>
      </c>
      <c r="F307" s="347">
        <v>930</v>
      </c>
      <c r="G307" s="355">
        <v>3380</v>
      </c>
    </row>
    <row r="308" spans="1:7" s="336" customFormat="1" ht="14.25" customHeight="1">
      <c r="A308" s="347" t="s">
        <v>287</v>
      </c>
      <c r="B308" s="347" t="s">
        <v>3094</v>
      </c>
      <c r="C308" s="347">
        <v>5620</v>
      </c>
      <c r="D308" s="347">
        <v>5580</v>
      </c>
      <c r="E308" s="347">
        <v>6540</v>
      </c>
      <c r="F308" s="347">
        <v>910</v>
      </c>
      <c r="G308" s="355">
        <v>3370</v>
      </c>
    </row>
    <row r="309" spans="1:7" s="336" customFormat="1" ht="14.25" customHeight="1">
      <c r="A309" s="347" t="s">
        <v>287</v>
      </c>
      <c r="B309" s="347" t="s">
        <v>3099</v>
      </c>
      <c r="C309" s="347">
        <v>5060</v>
      </c>
      <c r="D309" s="347">
        <v>5020</v>
      </c>
      <c r="E309" s="347">
        <v>6370</v>
      </c>
      <c r="F309" s="347">
        <v>800</v>
      </c>
      <c r="G309" s="355">
        <v>3020</v>
      </c>
    </row>
    <row r="310" spans="1:7" s="336" customFormat="1" ht="14.25" customHeight="1">
      <c r="A310" s="347" t="s">
        <v>287</v>
      </c>
      <c r="B310" s="347" t="s">
        <v>3104</v>
      </c>
      <c r="C310" s="347">
        <v>5150</v>
      </c>
      <c r="D310" s="347">
        <v>5110</v>
      </c>
      <c r="E310" s="347">
        <v>6500</v>
      </c>
      <c r="F310" s="347">
        <v>880</v>
      </c>
      <c r="G310" s="355">
        <v>3080</v>
      </c>
    </row>
    <row r="311" spans="1:7" s="336" customFormat="1" ht="14.25" customHeight="1">
      <c r="A311" s="347" t="s">
        <v>287</v>
      </c>
      <c r="B311" s="347" t="s">
        <v>3109</v>
      </c>
      <c r="C311" s="347">
        <v>4750</v>
      </c>
      <c r="D311" s="347">
        <v>4710</v>
      </c>
      <c r="E311" s="347">
        <v>5510</v>
      </c>
      <c r="F311" s="347">
        <v>880</v>
      </c>
      <c r="G311" s="355">
        <v>2840</v>
      </c>
    </row>
    <row r="312" spans="1:7" s="336" customFormat="1" ht="14.25" customHeight="1">
      <c r="A312" s="347" t="s">
        <v>287</v>
      </c>
      <c r="B312" s="347" t="s">
        <v>3114</v>
      </c>
      <c r="C312" s="347">
        <v>4690</v>
      </c>
      <c r="D312" s="347">
        <v>4640</v>
      </c>
      <c r="E312" s="347">
        <v>5420</v>
      </c>
      <c r="F312" s="347">
        <v>800</v>
      </c>
      <c r="G312" s="355">
        <v>2800</v>
      </c>
    </row>
    <row r="313" spans="1:7" s="336" customFormat="1" ht="14.25" customHeight="1">
      <c r="A313" s="347" t="s">
        <v>287</v>
      </c>
      <c r="B313" s="347" t="s">
        <v>3119</v>
      </c>
      <c r="C313" s="347">
        <v>4810</v>
      </c>
      <c r="D313" s="347">
        <v>4760</v>
      </c>
      <c r="E313" s="347">
        <v>5550</v>
      </c>
      <c r="F313" s="347">
        <v>920</v>
      </c>
      <c r="G313" s="355">
        <v>2870</v>
      </c>
    </row>
    <row r="314" spans="1:7" s="336" customFormat="1" ht="14.25" customHeight="1">
      <c r="A314" s="347" t="s">
        <v>287</v>
      </c>
      <c r="B314" s="347" t="s">
        <v>3124</v>
      </c>
      <c r="C314" s="347"/>
      <c r="D314" s="347"/>
      <c r="E314" s="347"/>
      <c r="F314" s="347">
        <v>1020</v>
      </c>
      <c r="G314" s="355"/>
    </row>
    <row r="315" spans="1:7" s="336" customFormat="1" ht="14.25" customHeight="1">
      <c r="A315" s="347" t="s">
        <v>287</v>
      </c>
      <c r="B315" s="347" t="s">
        <v>3128</v>
      </c>
      <c r="C315" s="347"/>
      <c r="D315" s="347"/>
      <c r="E315" s="347"/>
      <c r="F315" s="347">
        <v>1050</v>
      </c>
      <c r="G315" s="355"/>
    </row>
    <row r="316" spans="1:7" s="336" customFormat="1" ht="14.25" customHeight="1">
      <c r="A316" s="347" t="s">
        <v>287</v>
      </c>
      <c r="B316" s="347" t="s">
        <v>3133</v>
      </c>
      <c r="C316" s="347"/>
      <c r="D316" s="347"/>
      <c r="E316" s="347"/>
      <c r="F316" s="347">
        <v>900</v>
      </c>
      <c r="G316" s="355"/>
    </row>
    <row r="317" spans="1:7" s="336" customFormat="1" ht="14.25" customHeight="1">
      <c r="A317" s="347" t="s">
        <v>287</v>
      </c>
      <c r="B317" s="347" t="s">
        <v>3137</v>
      </c>
      <c r="C317" s="347"/>
      <c r="D317" s="347"/>
      <c r="E317" s="347"/>
      <c r="F317" s="347">
        <v>920</v>
      </c>
      <c r="G317" s="355"/>
    </row>
    <row r="318" spans="1:7" s="336" customFormat="1" ht="14.25" customHeight="1">
      <c r="A318" s="347" t="s">
        <v>287</v>
      </c>
      <c r="B318" s="347" t="s">
        <v>3141</v>
      </c>
      <c r="C318" s="347"/>
      <c r="D318" s="347"/>
      <c r="E318" s="347"/>
      <c r="F318" s="347">
        <v>1080</v>
      </c>
      <c r="G318" s="355"/>
    </row>
    <row r="319" spans="1:7" s="336" customFormat="1" ht="14.25" customHeight="1">
      <c r="A319" s="347" t="s">
        <v>287</v>
      </c>
      <c r="B319" s="347" t="s">
        <v>3145</v>
      </c>
      <c r="C319" s="347"/>
      <c r="D319" s="347"/>
      <c r="E319" s="347"/>
      <c r="F319" s="347">
        <v>1020</v>
      </c>
      <c r="G319" s="355"/>
    </row>
    <row r="320" spans="1:7" s="336" customFormat="1" ht="14.25" customHeight="1">
      <c r="A320" s="347" t="s">
        <v>287</v>
      </c>
      <c r="B320" s="347" t="s">
        <v>3148</v>
      </c>
      <c r="C320" s="347"/>
      <c r="D320" s="347"/>
      <c r="E320" s="347"/>
      <c r="F320" s="347">
        <v>1050</v>
      </c>
      <c r="G320" s="355"/>
    </row>
    <row r="321" spans="1:7" s="336" customFormat="1" ht="14.25" customHeight="1">
      <c r="A321" s="347" t="s">
        <v>287</v>
      </c>
      <c r="B321" s="347" t="s">
        <v>3150</v>
      </c>
      <c r="C321" s="347"/>
      <c r="D321" s="347"/>
      <c r="E321" s="347"/>
      <c r="F321" s="347">
        <v>960</v>
      </c>
      <c r="G321" s="355"/>
    </row>
    <row r="322" spans="1:7" s="336" customFormat="1" ht="14.25" customHeight="1">
      <c r="A322" s="347" t="s">
        <v>287</v>
      </c>
      <c r="B322" s="347" t="s">
        <v>3152</v>
      </c>
      <c r="C322" s="347"/>
      <c r="D322" s="347"/>
      <c r="E322" s="347"/>
      <c r="F322" s="347">
        <v>960</v>
      </c>
      <c r="G322" s="355"/>
    </row>
    <row r="323" spans="1:7" s="336" customFormat="1" ht="14.25" customHeight="1">
      <c r="A323" s="347" t="s">
        <v>287</v>
      </c>
      <c r="B323" s="347" t="s">
        <v>3154</v>
      </c>
      <c r="C323" s="347"/>
      <c r="D323" s="347"/>
      <c r="E323" s="347"/>
      <c r="F323" s="347">
        <v>880</v>
      </c>
      <c r="G323" s="355"/>
    </row>
    <row r="324" spans="1:7" s="336" customFormat="1" ht="14.25" customHeight="1">
      <c r="A324" s="347" t="s">
        <v>287</v>
      </c>
      <c r="B324" s="347" t="s">
        <v>3156</v>
      </c>
      <c r="C324" s="347"/>
      <c r="D324" s="347"/>
      <c r="E324" s="347"/>
      <c r="F324" s="347">
        <v>930</v>
      </c>
      <c r="G324" s="355"/>
    </row>
    <row r="325" spans="1:7" s="336" customFormat="1" ht="14.25" customHeight="1">
      <c r="A325" s="347" t="s">
        <v>287</v>
      </c>
      <c r="B325" s="348" t="s">
        <v>3158</v>
      </c>
      <c r="C325" s="347"/>
      <c r="D325" s="347"/>
      <c r="E325" s="347"/>
      <c r="F325" s="347">
        <v>900</v>
      </c>
      <c r="G325" s="355"/>
    </row>
    <row r="326" spans="1:7" s="336" customFormat="1" ht="14.25" customHeight="1">
      <c r="A326" s="356" t="s">
        <v>287</v>
      </c>
      <c r="B326" s="351" t="s">
        <v>3160</v>
      </c>
      <c r="C326" s="351"/>
      <c r="D326" s="351"/>
      <c r="E326" s="351"/>
      <c r="F326" s="351">
        <v>790</v>
      </c>
      <c r="G326" s="357"/>
    </row>
    <row r="327" spans="1:7" s="336" customFormat="1" ht="14.25" customHeight="1">
      <c r="A327" s="345" t="s">
        <v>291</v>
      </c>
      <c r="B327" s="346" t="s">
        <v>2801</v>
      </c>
      <c r="C327" s="347">
        <v>3750</v>
      </c>
      <c r="D327" s="347">
        <v>3710</v>
      </c>
      <c r="E327" s="347">
        <v>4080</v>
      </c>
      <c r="F327" s="347">
        <v>860</v>
      </c>
      <c r="G327" s="347">
        <v>2210</v>
      </c>
    </row>
    <row r="328" spans="1:7" s="336" customFormat="1" ht="14.25" customHeight="1">
      <c r="A328" s="347" t="s">
        <v>291</v>
      </c>
      <c r="B328" s="347" t="s">
        <v>2814</v>
      </c>
      <c r="C328" s="347">
        <v>3330</v>
      </c>
      <c r="D328" s="347">
        <v>3290</v>
      </c>
      <c r="E328" s="347">
        <v>3610</v>
      </c>
      <c r="F328" s="347">
        <v>850</v>
      </c>
      <c r="G328" s="347">
        <v>1960</v>
      </c>
    </row>
    <row r="329" spans="1:7" s="336" customFormat="1" ht="14.25" customHeight="1">
      <c r="A329" s="347" t="s">
        <v>291</v>
      </c>
      <c r="B329" s="347" t="s">
        <v>2828</v>
      </c>
      <c r="C329" s="347">
        <v>2730</v>
      </c>
      <c r="D329" s="347">
        <v>2690</v>
      </c>
      <c r="E329" s="347">
        <v>3100</v>
      </c>
      <c r="F329" s="347">
        <v>660</v>
      </c>
      <c r="G329" s="347">
        <v>1610</v>
      </c>
    </row>
    <row r="330" spans="1:7" s="336" customFormat="1" ht="14.25" customHeight="1">
      <c r="A330" s="347" t="s">
        <v>291</v>
      </c>
      <c r="B330" s="347" t="s">
        <v>2840</v>
      </c>
      <c r="C330" s="347">
        <v>3270</v>
      </c>
      <c r="D330" s="347">
        <v>3240</v>
      </c>
      <c r="E330" s="347">
        <v>3560</v>
      </c>
      <c r="F330" s="347">
        <v>680</v>
      </c>
      <c r="G330" s="347">
        <v>1940</v>
      </c>
    </row>
    <row r="331" spans="1:7" s="336" customFormat="1" ht="14.25" customHeight="1">
      <c r="A331" s="347" t="s">
        <v>291</v>
      </c>
      <c r="B331" s="347" t="s">
        <v>2852</v>
      </c>
      <c r="C331" s="347">
        <v>3770</v>
      </c>
      <c r="D331" s="347">
        <v>3740</v>
      </c>
      <c r="E331" s="347">
        <v>4110</v>
      </c>
      <c r="F331" s="347">
        <v>730</v>
      </c>
      <c r="G331" s="347">
        <v>2230</v>
      </c>
    </row>
    <row r="332" spans="1:7" s="336" customFormat="1" ht="14.25" customHeight="1">
      <c r="A332" s="347" t="s">
        <v>291</v>
      </c>
      <c r="B332" s="347" t="s">
        <v>2863</v>
      </c>
      <c r="C332" s="347">
        <v>3520</v>
      </c>
      <c r="D332" s="347">
        <v>3480</v>
      </c>
      <c r="E332" s="347">
        <v>3830</v>
      </c>
      <c r="F332" s="347">
        <v>720</v>
      </c>
      <c r="G332" s="347">
        <v>2090</v>
      </c>
    </row>
    <row r="333" spans="1:7" s="336" customFormat="1" ht="14.25" customHeight="1">
      <c r="A333" s="347" t="s">
        <v>291</v>
      </c>
      <c r="B333" s="347" t="s">
        <v>2874</v>
      </c>
      <c r="C333" s="347">
        <v>3840</v>
      </c>
      <c r="D333" s="347">
        <v>3800</v>
      </c>
      <c r="E333" s="347">
        <v>4200</v>
      </c>
      <c r="F333" s="347">
        <v>760</v>
      </c>
      <c r="G333" s="347">
        <v>2270</v>
      </c>
    </row>
    <row r="334" spans="1:7" s="336" customFormat="1" ht="14.25" customHeight="1">
      <c r="A334" s="347" t="s">
        <v>291</v>
      </c>
      <c r="B334" s="347" t="s">
        <v>2885</v>
      </c>
      <c r="C334" s="347">
        <v>3960</v>
      </c>
      <c r="D334" s="347">
        <v>3910</v>
      </c>
      <c r="E334" s="347">
        <v>4340</v>
      </c>
      <c r="F334" s="347">
        <v>780</v>
      </c>
      <c r="G334" s="347">
        <v>2340</v>
      </c>
    </row>
    <row r="335" spans="1:7" s="336" customFormat="1" ht="14.25" customHeight="1">
      <c r="A335" s="347" t="s">
        <v>291</v>
      </c>
      <c r="B335" s="347" t="s">
        <v>2895</v>
      </c>
      <c r="C335" s="347">
        <v>3710</v>
      </c>
      <c r="D335" s="347">
        <v>3670</v>
      </c>
      <c r="E335" s="347">
        <v>4030</v>
      </c>
      <c r="F335" s="347">
        <v>750</v>
      </c>
      <c r="G335" s="347">
        <v>2200</v>
      </c>
    </row>
    <row r="336" spans="1:7" s="336" customFormat="1" ht="14.25" customHeight="1">
      <c r="A336" s="347" t="s">
        <v>291</v>
      </c>
      <c r="B336" s="347" t="s">
        <v>2905</v>
      </c>
      <c r="C336" s="347">
        <v>3570</v>
      </c>
      <c r="D336" s="347">
        <v>3530</v>
      </c>
      <c r="E336" s="347">
        <v>3880</v>
      </c>
      <c r="F336" s="347">
        <v>770</v>
      </c>
      <c r="G336" s="347">
        <v>2110</v>
      </c>
    </row>
    <row r="337" spans="1:10" s="336" customFormat="1" ht="14.25" customHeight="1">
      <c r="A337" s="347" t="s">
        <v>291</v>
      </c>
      <c r="B337" s="347" t="s">
        <v>2915</v>
      </c>
      <c r="C337" s="347">
        <v>3780</v>
      </c>
      <c r="D337" s="347">
        <v>3750</v>
      </c>
      <c r="E337" s="347">
        <v>4130</v>
      </c>
      <c r="F337" s="347">
        <v>750</v>
      </c>
      <c r="G337" s="347">
        <v>2240</v>
      </c>
    </row>
    <row r="338" spans="1:10" s="336" customFormat="1" ht="14.25" customHeight="1">
      <c r="A338" s="347" t="s">
        <v>291</v>
      </c>
      <c r="B338" s="347" t="s">
        <v>2925</v>
      </c>
      <c r="C338" s="347">
        <v>3600</v>
      </c>
      <c r="D338" s="347">
        <v>3570</v>
      </c>
      <c r="E338" s="347">
        <v>3920</v>
      </c>
      <c r="F338" s="347">
        <v>790</v>
      </c>
      <c r="G338" s="347">
        <v>2140</v>
      </c>
    </row>
    <row r="339" spans="1:10" s="336" customFormat="1" ht="14.25" customHeight="1">
      <c r="A339" s="347" t="s">
        <v>291</v>
      </c>
      <c r="B339" s="347" t="s">
        <v>2935</v>
      </c>
      <c r="C339" s="347">
        <v>3540</v>
      </c>
      <c r="D339" s="347">
        <v>3500</v>
      </c>
      <c r="E339" s="347">
        <v>3850</v>
      </c>
      <c r="F339" s="347">
        <v>780</v>
      </c>
      <c r="G339" s="347">
        <v>2100</v>
      </c>
    </row>
    <row r="340" spans="1:10" s="336" customFormat="1" ht="14.25" customHeight="1">
      <c r="A340" s="347" t="s">
        <v>291</v>
      </c>
      <c r="B340" s="347" t="s">
        <v>2945</v>
      </c>
      <c r="C340" s="347">
        <v>3850</v>
      </c>
      <c r="D340" s="347">
        <v>3810</v>
      </c>
      <c r="E340" s="347">
        <v>4210</v>
      </c>
      <c r="F340" s="347">
        <v>750</v>
      </c>
      <c r="G340" s="347">
        <v>2280</v>
      </c>
    </row>
    <row r="341" spans="1:10" s="336" customFormat="1" ht="14.25" customHeight="1">
      <c r="A341" s="347" t="s">
        <v>291</v>
      </c>
      <c r="B341" s="347" t="s">
        <v>2955</v>
      </c>
      <c r="C341" s="347">
        <v>3780</v>
      </c>
      <c r="D341" s="347">
        <v>3750</v>
      </c>
      <c r="E341" s="347">
        <v>4140</v>
      </c>
      <c r="F341" s="347">
        <v>720</v>
      </c>
      <c r="G341" s="347">
        <v>2240</v>
      </c>
    </row>
    <row r="342" spans="1:10" s="336" customFormat="1" ht="14.25" customHeight="1">
      <c r="A342" s="347" t="s">
        <v>291</v>
      </c>
      <c r="B342" s="347" t="s">
        <v>2965</v>
      </c>
      <c r="C342" s="347">
        <v>3670</v>
      </c>
      <c r="D342" s="347">
        <v>3620</v>
      </c>
      <c r="E342" s="347">
        <v>3990</v>
      </c>
      <c r="F342" s="347">
        <v>760</v>
      </c>
      <c r="G342" s="347">
        <v>2170</v>
      </c>
    </row>
    <row r="343" spans="1:10" s="336" customFormat="1" ht="14.25" customHeight="1">
      <c r="A343" s="347" t="s">
        <v>291</v>
      </c>
      <c r="B343" s="347" t="s">
        <v>2975</v>
      </c>
      <c r="C343" s="347">
        <v>3760</v>
      </c>
      <c r="D343" s="347">
        <v>3720</v>
      </c>
      <c r="E343" s="347">
        <v>4090</v>
      </c>
      <c r="F343" s="347">
        <v>780</v>
      </c>
      <c r="G343" s="347">
        <v>2220</v>
      </c>
    </row>
    <row r="344" spans="1:10" s="336" customFormat="1" ht="14.25" customHeight="1">
      <c r="A344" s="347" t="s">
        <v>291</v>
      </c>
      <c r="B344" s="347" t="s">
        <v>2985</v>
      </c>
      <c r="C344" s="347">
        <v>3680</v>
      </c>
      <c r="D344" s="347">
        <v>3640</v>
      </c>
      <c r="E344" s="347">
        <v>4010</v>
      </c>
      <c r="F344" s="347">
        <v>750</v>
      </c>
      <c r="G344" s="347">
        <v>2180</v>
      </c>
    </row>
    <row r="345" spans="1:10">
      <c r="A345" s="347" t="s">
        <v>291</v>
      </c>
      <c r="B345" s="347" t="s">
        <v>2995</v>
      </c>
      <c r="C345" s="347">
        <v>3190</v>
      </c>
      <c r="D345" s="347">
        <v>3140</v>
      </c>
      <c r="E345" s="347">
        <v>3450</v>
      </c>
      <c r="F345" s="347">
        <v>720</v>
      </c>
      <c r="G345" s="347">
        <v>1880</v>
      </c>
      <c r="J345" s="336"/>
    </row>
    <row r="346" spans="1:10">
      <c r="A346" s="347" t="s">
        <v>291</v>
      </c>
      <c r="B346" s="347" t="s">
        <v>3005</v>
      </c>
      <c r="C346" s="347">
        <v>3630</v>
      </c>
      <c r="D346" s="347">
        <v>3590</v>
      </c>
      <c r="E346" s="347">
        <v>3940</v>
      </c>
      <c r="F346" s="347">
        <v>730</v>
      </c>
      <c r="G346" s="347">
        <v>2150</v>
      </c>
      <c r="J346" s="336"/>
    </row>
    <row r="347" spans="1:10">
      <c r="A347" s="347" t="s">
        <v>291</v>
      </c>
      <c r="B347" s="347" t="s">
        <v>3014</v>
      </c>
      <c r="C347" s="347">
        <v>3860</v>
      </c>
      <c r="D347" s="347">
        <v>3820</v>
      </c>
      <c r="E347" s="347">
        <v>4220</v>
      </c>
      <c r="F347" s="347">
        <v>750</v>
      </c>
      <c r="G347" s="347">
        <v>2280</v>
      </c>
      <c r="J347" s="336"/>
    </row>
    <row r="348" spans="1:10">
      <c r="A348" s="347" t="s">
        <v>291</v>
      </c>
      <c r="B348" s="347" t="s">
        <v>3022</v>
      </c>
      <c r="C348" s="347">
        <v>4000</v>
      </c>
      <c r="D348" s="347">
        <v>3950</v>
      </c>
      <c r="E348" s="347">
        <v>4430</v>
      </c>
      <c r="F348" s="347">
        <v>760</v>
      </c>
      <c r="G348" s="347">
        <v>2360</v>
      </c>
      <c r="J348" s="336"/>
    </row>
    <row r="349" spans="1:10">
      <c r="A349" s="347" t="s">
        <v>291</v>
      </c>
      <c r="B349" s="347" t="s">
        <v>3030</v>
      </c>
      <c r="C349" s="347">
        <v>3820</v>
      </c>
      <c r="D349" s="347">
        <v>3780</v>
      </c>
      <c r="E349" s="347">
        <v>4170</v>
      </c>
      <c r="F349" s="347">
        <v>710</v>
      </c>
      <c r="G349" s="347">
        <v>2260</v>
      </c>
      <c r="J349" s="336"/>
    </row>
    <row r="350" spans="1:10">
      <c r="A350" s="347" t="s">
        <v>291</v>
      </c>
      <c r="B350" s="347" t="s">
        <v>3038</v>
      </c>
      <c r="C350" s="347">
        <v>3760</v>
      </c>
      <c r="D350" s="347">
        <v>3730</v>
      </c>
      <c r="E350" s="347">
        <v>4100</v>
      </c>
      <c r="F350" s="347">
        <v>800</v>
      </c>
      <c r="G350" s="347">
        <v>2230</v>
      </c>
      <c r="J350" s="336"/>
    </row>
    <row r="351" spans="1:10">
      <c r="A351" s="347" t="s">
        <v>291</v>
      </c>
      <c r="B351" s="347" t="s">
        <v>3046</v>
      </c>
      <c r="C351" s="347">
        <v>3610</v>
      </c>
      <c r="D351" s="347">
        <v>3580</v>
      </c>
      <c r="E351" s="347">
        <v>3930</v>
      </c>
      <c r="F351" s="347">
        <v>700</v>
      </c>
      <c r="G351" s="347">
        <v>2140</v>
      </c>
      <c r="J351" s="336"/>
    </row>
    <row r="352" spans="1:10">
      <c r="A352" s="347" t="s">
        <v>291</v>
      </c>
      <c r="B352" s="347" t="s">
        <v>3053</v>
      </c>
      <c r="C352" s="347">
        <v>3670</v>
      </c>
      <c r="D352" s="347">
        <v>3630</v>
      </c>
      <c r="E352" s="347">
        <v>4000</v>
      </c>
      <c r="F352" s="347">
        <v>750</v>
      </c>
      <c r="G352" s="347">
        <v>2180</v>
      </c>
    </row>
    <row r="353" spans="1:7" s="337" customFormat="1">
      <c r="A353" s="347" t="s">
        <v>291</v>
      </c>
      <c r="B353" s="347" t="s">
        <v>3060</v>
      </c>
      <c r="C353" s="347">
        <v>3190</v>
      </c>
      <c r="D353" s="347">
        <v>3150</v>
      </c>
      <c r="E353" s="347">
        <v>3640</v>
      </c>
      <c r="F353" s="347">
        <v>630</v>
      </c>
      <c r="G353" s="347">
        <v>1890</v>
      </c>
    </row>
    <row r="354" spans="1:7" s="337" customFormat="1">
      <c r="A354" s="347" t="s">
        <v>291</v>
      </c>
      <c r="B354" s="347" t="s">
        <v>3067</v>
      </c>
      <c r="C354" s="347">
        <v>3450</v>
      </c>
      <c r="D354" s="347">
        <v>3420</v>
      </c>
      <c r="E354" s="347">
        <v>3960</v>
      </c>
      <c r="F354" s="347">
        <v>660</v>
      </c>
      <c r="G354" s="347">
        <v>2050</v>
      </c>
    </row>
    <row r="355" spans="1:7" s="337" customFormat="1">
      <c r="A355" s="347" t="s">
        <v>291</v>
      </c>
      <c r="B355" s="347" t="s">
        <v>3074</v>
      </c>
      <c r="C355" s="347">
        <v>3650</v>
      </c>
      <c r="D355" s="347">
        <v>3610</v>
      </c>
      <c r="E355" s="347">
        <v>4200</v>
      </c>
      <c r="F355" s="347">
        <v>640</v>
      </c>
      <c r="G355" s="347">
        <v>2160</v>
      </c>
    </row>
    <row r="356" spans="1:7" s="337" customFormat="1">
      <c r="A356" s="347" t="s">
        <v>291</v>
      </c>
      <c r="B356" s="347" t="s">
        <v>3081</v>
      </c>
      <c r="C356" s="347">
        <v>3260</v>
      </c>
      <c r="D356" s="347">
        <v>3230</v>
      </c>
      <c r="E356" s="347">
        <v>3740</v>
      </c>
      <c r="F356" s="347">
        <v>600</v>
      </c>
      <c r="G356" s="347">
        <v>1930</v>
      </c>
    </row>
    <row r="357" spans="1:7" s="337" customFormat="1">
      <c r="A357" s="349" t="s">
        <v>291</v>
      </c>
      <c r="B357" s="353" t="s">
        <v>3088</v>
      </c>
      <c r="C357" s="353">
        <v>3690</v>
      </c>
      <c r="D357" s="353">
        <v>3650</v>
      </c>
      <c r="E357" s="353">
        <v>4020</v>
      </c>
      <c r="F357" s="353">
        <v>700</v>
      </c>
      <c r="G357" s="353">
        <v>2190</v>
      </c>
    </row>
    <row r="358" spans="1:7" s="337" customFormat="1">
      <c r="A358" s="345" t="s">
        <v>295</v>
      </c>
      <c r="B358" s="346" t="s">
        <v>2802</v>
      </c>
      <c r="C358" s="346">
        <v>2080</v>
      </c>
      <c r="D358" s="346">
        <v>2040</v>
      </c>
      <c r="E358" s="346">
        <v>2010</v>
      </c>
      <c r="F358" s="346">
        <v>530</v>
      </c>
      <c r="G358" s="354">
        <v>1230</v>
      </c>
    </row>
    <row r="359" spans="1:7" s="337" customFormat="1">
      <c r="A359" s="347" t="s">
        <v>295</v>
      </c>
      <c r="B359" s="347" t="s">
        <v>2815</v>
      </c>
      <c r="C359" s="347">
        <v>1850</v>
      </c>
      <c r="D359" s="347">
        <v>1820</v>
      </c>
      <c r="E359" s="347">
        <v>1780</v>
      </c>
      <c r="F359" s="347">
        <v>520</v>
      </c>
      <c r="G359" s="355">
        <v>1100</v>
      </c>
    </row>
    <row r="360" spans="1:7" s="337" customFormat="1">
      <c r="A360" s="347" t="s">
        <v>295</v>
      </c>
      <c r="B360" s="347" t="s">
        <v>2829</v>
      </c>
      <c r="C360" s="347">
        <v>2020</v>
      </c>
      <c r="D360" s="347">
        <v>1990</v>
      </c>
      <c r="E360" s="347">
        <v>1950</v>
      </c>
      <c r="F360" s="347">
        <v>500</v>
      </c>
      <c r="G360" s="355">
        <v>1200</v>
      </c>
    </row>
    <row r="361" spans="1:7" s="337" customFormat="1">
      <c r="A361" s="347" t="s">
        <v>295</v>
      </c>
      <c r="B361" s="347" t="s">
        <v>2841</v>
      </c>
      <c r="C361" s="347">
        <v>2260</v>
      </c>
      <c r="D361" s="347">
        <v>2220</v>
      </c>
      <c r="E361" s="347">
        <v>2180</v>
      </c>
      <c r="F361" s="347">
        <v>580</v>
      </c>
      <c r="G361" s="355">
        <v>1340</v>
      </c>
    </row>
    <row r="362" spans="1:7" s="337" customFormat="1">
      <c r="A362" s="347" t="s">
        <v>295</v>
      </c>
      <c r="B362" s="347" t="s">
        <v>2853</v>
      </c>
      <c r="C362" s="347">
        <v>2650</v>
      </c>
      <c r="D362" s="347">
        <v>2610</v>
      </c>
      <c r="E362" s="347">
        <v>2570</v>
      </c>
      <c r="F362" s="347">
        <v>630</v>
      </c>
      <c r="G362" s="355">
        <v>1570</v>
      </c>
    </row>
    <row r="363" spans="1:7" s="337" customFormat="1">
      <c r="A363" s="347" t="s">
        <v>295</v>
      </c>
      <c r="B363" s="347" t="s">
        <v>2864</v>
      </c>
      <c r="C363" s="347">
        <v>2390</v>
      </c>
      <c r="D363" s="347">
        <v>2360</v>
      </c>
      <c r="E363" s="347">
        <v>2320</v>
      </c>
      <c r="F363" s="347">
        <v>600</v>
      </c>
      <c r="G363" s="355">
        <v>1420</v>
      </c>
    </row>
    <row r="364" spans="1:7" s="337" customFormat="1">
      <c r="A364" s="347" t="s">
        <v>295</v>
      </c>
      <c r="B364" s="347" t="s">
        <v>2875</v>
      </c>
      <c r="C364" s="347">
        <v>2050</v>
      </c>
      <c r="D364" s="347">
        <v>2030</v>
      </c>
      <c r="E364" s="347">
        <v>1990</v>
      </c>
      <c r="F364" s="347">
        <v>550</v>
      </c>
      <c r="G364" s="355">
        <v>1220</v>
      </c>
    </row>
    <row r="365" spans="1:7" s="337" customFormat="1">
      <c r="A365" s="347" t="s">
        <v>295</v>
      </c>
      <c r="B365" s="347" t="s">
        <v>2886</v>
      </c>
      <c r="C365" s="347">
        <v>2140</v>
      </c>
      <c r="D365" s="347">
        <v>2100</v>
      </c>
      <c r="E365" s="347">
        <v>2060</v>
      </c>
      <c r="F365" s="347">
        <v>540</v>
      </c>
      <c r="G365" s="355">
        <v>1270</v>
      </c>
    </row>
    <row r="366" spans="1:7" s="337" customFormat="1">
      <c r="A366" s="347" t="s">
        <v>295</v>
      </c>
      <c r="B366" s="347" t="s">
        <v>2896</v>
      </c>
      <c r="C366" s="347">
        <v>2410</v>
      </c>
      <c r="D366" s="347">
        <v>2370</v>
      </c>
      <c r="E366" s="347">
        <v>2330</v>
      </c>
      <c r="F366" s="347">
        <v>570</v>
      </c>
      <c r="G366" s="355">
        <v>1440</v>
      </c>
    </row>
    <row r="367" spans="1:7" s="337" customFormat="1">
      <c r="A367" s="347" t="s">
        <v>295</v>
      </c>
      <c r="B367" s="347" t="s">
        <v>2906</v>
      </c>
      <c r="C367" s="347">
        <v>2300</v>
      </c>
      <c r="D367" s="347">
        <v>2260</v>
      </c>
      <c r="E367" s="347">
        <v>2220</v>
      </c>
      <c r="F367" s="347">
        <v>560</v>
      </c>
      <c r="G367" s="355">
        <v>1370</v>
      </c>
    </row>
    <row r="368" spans="1:7" s="337" customFormat="1">
      <c r="A368" s="347" t="s">
        <v>295</v>
      </c>
      <c r="B368" s="347" t="s">
        <v>2916</v>
      </c>
      <c r="C368" s="347">
        <v>2430</v>
      </c>
      <c r="D368" s="347">
        <v>2390</v>
      </c>
      <c r="E368" s="347">
        <v>2350</v>
      </c>
      <c r="F368" s="347">
        <v>570</v>
      </c>
      <c r="G368" s="355">
        <v>1450</v>
      </c>
    </row>
    <row r="369" spans="1:7" s="337" customFormat="1">
      <c r="A369" s="347" t="s">
        <v>295</v>
      </c>
      <c r="B369" s="347" t="s">
        <v>2926</v>
      </c>
      <c r="C369" s="347">
        <v>2320</v>
      </c>
      <c r="D369" s="347">
        <v>2290</v>
      </c>
      <c r="E369" s="347">
        <v>2250</v>
      </c>
      <c r="F369" s="347">
        <v>550</v>
      </c>
      <c r="G369" s="355">
        <v>1380</v>
      </c>
    </row>
    <row r="370" spans="1:7" s="337" customFormat="1">
      <c r="A370" s="347" t="s">
        <v>295</v>
      </c>
      <c r="B370" s="347" t="s">
        <v>2936</v>
      </c>
      <c r="C370" s="347">
        <v>2190</v>
      </c>
      <c r="D370" s="347">
        <v>2170</v>
      </c>
      <c r="E370" s="347">
        <v>2130</v>
      </c>
      <c r="F370" s="347">
        <v>530</v>
      </c>
      <c r="G370" s="355">
        <v>1310</v>
      </c>
    </row>
    <row r="371" spans="1:7" s="337" customFormat="1">
      <c r="A371" s="347" t="s">
        <v>295</v>
      </c>
      <c r="B371" s="347" t="s">
        <v>2946</v>
      </c>
      <c r="C371" s="347">
        <v>2460</v>
      </c>
      <c r="D371" s="347">
        <v>2420</v>
      </c>
      <c r="E371" s="347">
        <v>2370</v>
      </c>
      <c r="F371" s="347">
        <v>560</v>
      </c>
      <c r="G371" s="355">
        <v>1470</v>
      </c>
    </row>
    <row r="372" spans="1:7" s="337" customFormat="1">
      <c r="A372" s="347" t="s">
        <v>295</v>
      </c>
      <c r="B372" s="347" t="s">
        <v>2956</v>
      </c>
      <c r="C372" s="347">
        <v>2250</v>
      </c>
      <c r="D372" s="347">
        <v>2210</v>
      </c>
      <c r="E372" s="347">
        <v>2180</v>
      </c>
      <c r="F372" s="347">
        <v>550</v>
      </c>
      <c r="G372" s="355">
        <v>1340</v>
      </c>
    </row>
    <row r="373" spans="1:7" s="337" customFormat="1">
      <c r="A373" s="347" t="s">
        <v>295</v>
      </c>
      <c r="B373" s="347" t="s">
        <v>2966</v>
      </c>
      <c r="C373" s="347">
        <v>2210</v>
      </c>
      <c r="D373" s="347">
        <v>2190</v>
      </c>
      <c r="E373" s="347">
        <v>2150</v>
      </c>
      <c r="F373" s="347">
        <v>530</v>
      </c>
      <c r="G373" s="355">
        <v>1320</v>
      </c>
    </row>
    <row r="374" spans="1:7" s="337" customFormat="1">
      <c r="A374" s="347" t="s">
        <v>295</v>
      </c>
      <c r="B374" s="347" t="s">
        <v>2976</v>
      </c>
      <c r="C374" s="347">
        <v>2320</v>
      </c>
      <c r="D374" s="347">
        <v>2280</v>
      </c>
      <c r="E374" s="347">
        <v>2230</v>
      </c>
      <c r="F374" s="347">
        <v>580</v>
      </c>
      <c r="G374" s="355">
        <v>1380</v>
      </c>
    </row>
    <row r="375" spans="1:7" s="337" customFormat="1">
      <c r="A375" s="347" t="s">
        <v>295</v>
      </c>
      <c r="B375" s="347" t="s">
        <v>2986</v>
      </c>
      <c r="C375" s="347">
        <v>2090</v>
      </c>
      <c r="D375" s="347">
        <v>2050</v>
      </c>
      <c r="E375" s="347">
        <v>2020</v>
      </c>
      <c r="F375" s="347">
        <v>520</v>
      </c>
      <c r="G375" s="355">
        <v>1240</v>
      </c>
    </row>
    <row r="376" spans="1:7" s="337" customFormat="1">
      <c r="A376" s="347" t="s">
        <v>295</v>
      </c>
      <c r="B376" s="347" t="s">
        <v>2996</v>
      </c>
      <c r="C376" s="347">
        <v>2010</v>
      </c>
      <c r="D376" s="347">
        <v>1980</v>
      </c>
      <c r="E376" s="347">
        <v>1940</v>
      </c>
      <c r="F376" s="347">
        <v>540</v>
      </c>
      <c r="G376" s="355">
        <v>1190</v>
      </c>
    </row>
    <row r="377" spans="1:7" s="337" customFormat="1">
      <c r="A377" s="349" t="s">
        <v>295</v>
      </c>
      <c r="B377" s="353" t="s">
        <v>3006</v>
      </c>
      <c r="C377" s="353">
        <v>1930</v>
      </c>
      <c r="D377" s="353">
        <v>1890</v>
      </c>
      <c r="E377" s="353">
        <v>1860</v>
      </c>
      <c r="F377" s="353">
        <v>530</v>
      </c>
      <c r="G377" s="362">
        <v>1150</v>
      </c>
    </row>
    <row r="378" spans="1:7" s="337" customFormat="1">
      <c r="A378" s="363" t="s">
        <v>299</v>
      </c>
      <c r="B378" s="346" t="s">
        <v>2803</v>
      </c>
      <c r="C378" s="346">
        <v>1520</v>
      </c>
      <c r="D378" s="346">
        <v>1490</v>
      </c>
      <c r="E378" s="346">
        <v>1460</v>
      </c>
      <c r="F378" s="346">
        <v>460</v>
      </c>
      <c r="G378" s="354">
        <v>940</v>
      </c>
    </row>
    <row r="379" spans="1:7" s="337" customFormat="1">
      <c r="A379" s="364" t="s">
        <v>299</v>
      </c>
      <c r="B379" s="347" t="s">
        <v>2816</v>
      </c>
      <c r="C379" s="347">
        <v>1500</v>
      </c>
      <c r="D379" s="347">
        <v>1470</v>
      </c>
      <c r="E379" s="347">
        <v>1430</v>
      </c>
      <c r="F379" s="347">
        <v>460</v>
      </c>
      <c r="G379" s="355">
        <v>920</v>
      </c>
    </row>
    <row r="380" spans="1:7" s="337" customFormat="1">
      <c r="A380" s="364" t="s">
        <v>299</v>
      </c>
      <c r="B380" s="347" t="s">
        <v>2830</v>
      </c>
      <c r="C380" s="347">
        <v>1620</v>
      </c>
      <c r="D380" s="347">
        <v>1590</v>
      </c>
      <c r="E380" s="347">
        <v>1560</v>
      </c>
      <c r="F380" s="347">
        <v>480</v>
      </c>
      <c r="G380" s="355">
        <v>1000</v>
      </c>
    </row>
    <row r="381" spans="1:7" s="337" customFormat="1">
      <c r="A381" s="364" t="s">
        <v>299</v>
      </c>
      <c r="B381" s="347" t="s">
        <v>2842</v>
      </c>
      <c r="C381" s="347">
        <v>1460</v>
      </c>
      <c r="D381" s="347">
        <v>1430</v>
      </c>
      <c r="E381" s="347">
        <v>1390</v>
      </c>
      <c r="F381" s="347">
        <v>450</v>
      </c>
      <c r="G381" s="355">
        <v>900</v>
      </c>
    </row>
    <row r="382" spans="1:7" s="337" customFormat="1">
      <c r="A382" s="364" t="s">
        <v>299</v>
      </c>
      <c r="B382" s="347" t="s">
        <v>2854</v>
      </c>
      <c r="C382" s="347">
        <v>1310</v>
      </c>
      <c r="D382" s="347">
        <v>1280</v>
      </c>
      <c r="E382" s="347">
        <v>1250</v>
      </c>
      <c r="F382" s="347">
        <v>440</v>
      </c>
      <c r="G382" s="355">
        <v>800</v>
      </c>
    </row>
    <row r="383" spans="1:7" s="337" customFormat="1">
      <c r="A383" s="364" t="s">
        <v>299</v>
      </c>
      <c r="B383" s="347" t="s">
        <v>2865</v>
      </c>
      <c r="C383" s="347">
        <v>1260</v>
      </c>
      <c r="D383" s="347">
        <v>1230</v>
      </c>
      <c r="E383" s="347">
        <v>1200</v>
      </c>
      <c r="F383" s="347">
        <v>420</v>
      </c>
      <c r="G383" s="355">
        <v>770</v>
      </c>
    </row>
    <row r="384" spans="1:7" s="337" customFormat="1">
      <c r="A384" s="365" t="s">
        <v>299</v>
      </c>
      <c r="B384" s="351" t="s">
        <v>2876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26" t="s">
        <v>3173</v>
      </c>
      <c r="B1" s="3926"/>
    </row>
    <row r="2" spans="1:7">
      <c r="A2" s="301"/>
      <c r="B2" s="301"/>
    </row>
    <row r="3" spans="1:7">
      <c r="A3" s="301"/>
      <c r="B3" s="301"/>
      <c r="C3" s="302" t="s">
        <v>919</v>
      </c>
      <c r="D3" s="302" t="s">
        <v>2471</v>
      </c>
      <c r="E3" s="302" t="s">
        <v>413</v>
      </c>
      <c r="F3" s="302" t="s">
        <v>409</v>
      </c>
      <c r="G3" s="302" t="s">
        <v>279</v>
      </c>
    </row>
    <row r="4" spans="1:7">
      <c r="A4" s="303" t="s">
        <v>2804</v>
      </c>
      <c r="B4" s="304" t="s">
        <v>2817</v>
      </c>
      <c r="C4" s="302"/>
      <c r="D4" s="302"/>
      <c r="E4" s="302"/>
      <c r="F4" s="302"/>
      <c r="G4" s="302"/>
    </row>
    <row r="5" spans="1:7">
      <c r="A5" s="305" t="s">
        <v>230</v>
      </c>
      <c r="B5" s="306" t="s">
        <v>2792</v>
      </c>
      <c r="C5" s="307">
        <v>9.8000000000000004E-2</v>
      </c>
      <c r="D5" s="307">
        <v>8.6999999999999994E-2</v>
      </c>
      <c r="E5" s="307">
        <v>8.6999999999999994E-2</v>
      </c>
      <c r="F5" s="307">
        <v>9.8000000000000004E-2</v>
      </c>
      <c r="G5" s="308">
        <v>9.5000000000000001E-2</v>
      </c>
    </row>
    <row r="6" spans="1:7">
      <c r="A6" s="309" t="s">
        <v>230</v>
      </c>
      <c r="B6" s="310" t="s">
        <v>2805</v>
      </c>
      <c r="C6" s="311">
        <v>9.8000000000000004E-2</v>
      </c>
      <c r="D6" s="311">
        <v>9.8000000000000004E-2</v>
      </c>
      <c r="E6" s="311">
        <v>9.8000000000000004E-2</v>
      </c>
      <c r="F6" s="311">
        <v>0.1</v>
      </c>
      <c r="G6" s="312">
        <v>9.9000000000000005E-2</v>
      </c>
    </row>
    <row r="7" spans="1:7">
      <c r="A7" s="309" t="s">
        <v>230</v>
      </c>
      <c r="B7" s="310" t="s">
        <v>2819</v>
      </c>
      <c r="C7" s="311">
        <v>9.7000000000000003E-2</v>
      </c>
      <c r="D7" s="311">
        <v>9.7000000000000003E-2</v>
      </c>
      <c r="E7" s="311">
        <v>9.6000000000000002E-2</v>
      </c>
      <c r="F7" s="311">
        <v>0.1</v>
      </c>
      <c r="G7" s="312">
        <v>9.8000000000000004E-2</v>
      </c>
    </row>
    <row r="8" spans="1:7">
      <c r="A8" s="309" t="s">
        <v>230</v>
      </c>
      <c r="B8" s="310" t="s">
        <v>2831</v>
      </c>
      <c r="C8" s="311">
        <v>8.1000000000000003E-2</v>
      </c>
      <c r="D8" s="311">
        <v>8.2000000000000003E-2</v>
      </c>
      <c r="E8" s="311">
        <v>7.0000000000000007E-2</v>
      </c>
      <c r="F8" s="311">
        <v>9.6000000000000002E-2</v>
      </c>
      <c r="G8" s="312">
        <v>8.8999999999999996E-2</v>
      </c>
    </row>
    <row r="9" spans="1:7">
      <c r="A9" s="313" t="s">
        <v>230</v>
      </c>
      <c r="B9" s="314" t="s">
        <v>2843</v>
      </c>
      <c r="C9" s="315">
        <v>0.1</v>
      </c>
      <c r="D9" s="315">
        <v>0.1</v>
      </c>
      <c r="E9" s="315">
        <v>0.1</v>
      </c>
      <c r="F9" s="316"/>
      <c r="G9" s="317">
        <v>0.1</v>
      </c>
    </row>
    <row r="10" spans="1:7">
      <c r="A10" s="305" t="s">
        <v>241</v>
      </c>
      <c r="B10" s="306" t="s">
        <v>2793</v>
      </c>
      <c r="C10" s="307">
        <v>6.7000000000000004E-2</v>
      </c>
      <c r="D10" s="307">
        <v>7.9000000000000001E-2</v>
      </c>
      <c r="E10" s="307">
        <v>7.9000000000000001E-2</v>
      </c>
      <c r="F10" s="307">
        <v>0.1</v>
      </c>
      <c r="G10" s="308">
        <v>9.0999999999999998E-2</v>
      </c>
    </row>
    <row r="11" spans="1:7">
      <c r="A11" s="309" t="s">
        <v>241</v>
      </c>
      <c r="B11" s="310" t="s">
        <v>2806</v>
      </c>
      <c r="C11" s="311">
        <v>0.05</v>
      </c>
      <c r="D11" s="311">
        <v>5.2999999999999999E-2</v>
      </c>
      <c r="E11" s="311">
        <v>6.3E-2</v>
      </c>
      <c r="F11" s="311">
        <v>0.1</v>
      </c>
      <c r="G11" s="312">
        <v>7.1999999999999995E-2</v>
      </c>
    </row>
    <row r="12" spans="1:7">
      <c r="A12" s="309" t="s">
        <v>241</v>
      </c>
      <c r="B12" s="310" t="s">
        <v>2820</v>
      </c>
      <c r="C12" s="311">
        <v>5.2999999999999999E-2</v>
      </c>
      <c r="D12" s="311">
        <v>0.09</v>
      </c>
      <c r="E12" s="311">
        <v>7.1999999999999995E-2</v>
      </c>
      <c r="F12" s="311">
        <v>0.1</v>
      </c>
      <c r="G12" s="312">
        <v>9.7000000000000003E-2</v>
      </c>
    </row>
    <row r="13" spans="1:7">
      <c r="A13" s="309" t="s">
        <v>241</v>
      </c>
      <c r="B13" s="310" t="s">
        <v>2832</v>
      </c>
      <c r="C13" s="311">
        <v>9.7000000000000003E-2</v>
      </c>
      <c r="D13" s="311">
        <v>9.1999999999999998E-2</v>
      </c>
      <c r="E13" s="311">
        <v>9.5000000000000001E-2</v>
      </c>
      <c r="F13" s="311">
        <v>0.1</v>
      </c>
      <c r="G13" s="312">
        <v>9.7000000000000003E-2</v>
      </c>
    </row>
    <row r="14" spans="1:7">
      <c r="A14" s="309" t="s">
        <v>241</v>
      </c>
      <c r="B14" s="310" t="s">
        <v>2844</v>
      </c>
      <c r="C14" s="311">
        <v>9.7000000000000003E-2</v>
      </c>
      <c r="D14" s="311">
        <v>9.7000000000000003E-2</v>
      </c>
      <c r="E14" s="311">
        <v>9.7000000000000003E-2</v>
      </c>
      <c r="F14" s="311">
        <v>0.1</v>
      </c>
      <c r="G14" s="312">
        <v>9.8000000000000004E-2</v>
      </c>
    </row>
    <row r="15" spans="1:7">
      <c r="A15" s="309" t="s">
        <v>241</v>
      </c>
      <c r="B15" s="310" t="s">
        <v>2855</v>
      </c>
      <c r="C15" s="311">
        <v>9.8000000000000004E-2</v>
      </c>
      <c r="D15" s="311">
        <v>9.0999999999999998E-2</v>
      </c>
      <c r="E15" s="311">
        <v>0.06</v>
      </c>
      <c r="F15" s="311">
        <v>0.1</v>
      </c>
      <c r="G15" s="312">
        <v>9.7000000000000003E-2</v>
      </c>
    </row>
    <row r="16" spans="1:7">
      <c r="A16" s="309" t="s">
        <v>241</v>
      </c>
      <c r="B16" s="310" t="s">
        <v>2866</v>
      </c>
      <c r="C16" s="311">
        <v>9.8000000000000004E-2</v>
      </c>
      <c r="D16" s="311">
        <v>9.7000000000000003E-2</v>
      </c>
      <c r="E16" s="311">
        <v>9.5000000000000001E-2</v>
      </c>
      <c r="F16" s="311">
        <v>0.1</v>
      </c>
      <c r="G16" s="312">
        <v>9.9000000000000005E-2</v>
      </c>
    </row>
    <row r="17" spans="1:7">
      <c r="A17" s="309" t="s">
        <v>241</v>
      </c>
      <c r="B17" s="310" t="s">
        <v>2877</v>
      </c>
      <c r="C17" s="311">
        <v>8.8999999999999996E-2</v>
      </c>
      <c r="D17" s="311">
        <v>9.1999999999999998E-2</v>
      </c>
      <c r="E17" s="311">
        <v>6.0999999999999999E-2</v>
      </c>
      <c r="F17" s="311">
        <v>0.1</v>
      </c>
      <c r="G17" s="312">
        <v>9.7000000000000003E-2</v>
      </c>
    </row>
    <row r="18" spans="1:7">
      <c r="A18" s="309" t="s">
        <v>241</v>
      </c>
      <c r="B18" s="310" t="s">
        <v>2887</v>
      </c>
      <c r="C18" s="311">
        <v>9.8000000000000004E-2</v>
      </c>
      <c r="D18" s="311">
        <v>9.8000000000000004E-2</v>
      </c>
      <c r="E18" s="311">
        <v>9.8000000000000004E-2</v>
      </c>
      <c r="F18" s="318"/>
      <c r="G18" s="312">
        <v>9.9000000000000005E-2</v>
      </c>
    </row>
    <row r="19" spans="1:7">
      <c r="A19" s="309" t="s">
        <v>241</v>
      </c>
      <c r="B19" s="310" t="s">
        <v>2897</v>
      </c>
      <c r="C19" s="311">
        <v>9.9000000000000005E-2</v>
      </c>
      <c r="D19" s="311">
        <v>7.3999999999999996E-2</v>
      </c>
      <c r="E19" s="311">
        <v>8.1000000000000003E-2</v>
      </c>
      <c r="F19" s="318"/>
      <c r="G19" s="312">
        <v>9.2999999999999999E-2</v>
      </c>
    </row>
    <row r="20" spans="1:7">
      <c r="A20" s="309" t="s">
        <v>241</v>
      </c>
      <c r="B20" s="310" t="s">
        <v>2907</v>
      </c>
      <c r="C20" s="311">
        <v>0.1</v>
      </c>
      <c r="D20" s="311">
        <v>8.8999999999999996E-2</v>
      </c>
      <c r="E20" s="311">
        <v>8.8999999999999996E-2</v>
      </c>
      <c r="F20" s="318"/>
      <c r="G20" s="312">
        <v>9.5000000000000001E-2</v>
      </c>
    </row>
    <row r="21" spans="1:7">
      <c r="A21" s="309" t="s">
        <v>241</v>
      </c>
      <c r="B21" s="310" t="s">
        <v>2917</v>
      </c>
      <c r="C21" s="311">
        <v>0.1</v>
      </c>
      <c r="D21" s="311">
        <v>9.0999999999999998E-2</v>
      </c>
      <c r="E21" s="311">
        <v>8.2000000000000003E-2</v>
      </c>
      <c r="F21" s="318"/>
      <c r="G21" s="312">
        <v>9.7000000000000003E-2</v>
      </c>
    </row>
    <row r="22" spans="1:7">
      <c r="A22" s="309" t="s">
        <v>241</v>
      </c>
      <c r="B22" s="310" t="s">
        <v>2927</v>
      </c>
      <c r="C22" s="311">
        <v>9.5000000000000001E-2</v>
      </c>
      <c r="D22" s="311">
        <v>9.9000000000000005E-2</v>
      </c>
      <c r="E22" s="311">
        <v>9.8000000000000004E-2</v>
      </c>
      <c r="F22" s="318"/>
      <c r="G22" s="312">
        <v>0.1</v>
      </c>
    </row>
    <row r="23" spans="1:7">
      <c r="A23" s="309" t="s">
        <v>241</v>
      </c>
      <c r="B23" s="310" t="s">
        <v>2937</v>
      </c>
      <c r="C23" s="311">
        <v>9.9000000000000005E-2</v>
      </c>
      <c r="D23" s="311">
        <v>0.1</v>
      </c>
      <c r="E23" s="311">
        <v>0.1</v>
      </c>
      <c r="F23" s="318"/>
      <c r="G23" s="312">
        <v>0.1</v>
      </c>
    </row>
    <row r="24" spans="1:7">
      <c r="A24" s="309" t="s">
        <v>241</v>
      </c>
      <c r="B24" s="310" t="s">
        <v>2947</v>
      </c>
      <c r="C24" s="311">
        <v>9.5000000000000001E-2</v>
      </c>
      <c r="D24" s="311">
        <v>0.1</v>
      </c>
      <c r="E24" s="311">
        <v>9.8000000000000004E-2</v>
      </c>
      <c r="F24" s="318"/>
      <c r="G24" s="312">
        <v>0.1</v>
      </c>
    </row>
    <row r="25" spans="1:7">
      <c r="A25" s="309" t="s">
        <v>241</v>
      </c>
      <c r="B25" s="310" t="s">
        <v>2957</v>
      </c>
      <c r="C25" s="311">
        <v>0.05</v>
      </c>
      <c r="D25" s="311">
        <v>9.6000000000000002E-2</v>
      </c>
      <c r="E25" s="311">
        <v>9.6000000000000002E-2</v>
      </c>
      <c r="F25" s="318"/>
      <c r="G25" s="312">
        <v>9.6000000000000002E-2</v>
      </c>
    </row>
    <row r="26" spans="1:7">
      <c r="A26" s="309" t="s">
        <v>241</v>
      </c>
      <c r="B26" s="310" t="s">
        <v>2967</v>
      </c>
      <c r="C26" s="311">
        <v>6.3E-2</v>
      </c>
      <c r="D26" s="311">
        <v>9.9000000000000005E-2</v>
      </c>
      <c r="E26" s="311">
        <v>9.8000000000000004E-2</v>
      </c>
      <c r="F26" s="318"/>
      <c r="G26" s="312">
        <v>0.1</v>
      </c>
    </row>
    <row r="27" spans="1:7">
      <c r="A27" s="309" t="s">
        <v>241</v>
      </c>
      <c r="B27" s="310" t="s">
        <v>2977</v>
      </c>
      <c r="C27" s="311">
        <v>5.1999999999999998E-2</v>
      </c>
      <c r="D27" s="311">
        <v>9.5000000000000001E-2</v>
      </c>
      <c r="E27" s="311">
        <v>6.4000000000000001E-2</v>
      </c>
      <c r="F27" s="318"/>
      <c r="G27" s="312">
        <v>9.7000000000000003E-2</v>
      </c>
    </row>
    <row r="28" spans="1:7">
      <c r="A28" s="309" t="s">
        <v>241</v>
      </c>
      <c r="B28" s="310" t="s">
        <v>2987</v>
      </c>
      <c r="C28" s="318"/>
      <c r="D28" s="311">
        <v>6.3E-2</v>
      </c>
      <c r="E28" s="311">
        <v>5.1999999999999998E-2</v>
      </c>
      <c r="F28" s="318"/>
      <c r="G28" s="312">
        <v>6.3E-2</v>
      </c>
    </row>
    <row r="29" spans="1:7">
      <c r="A29" s="313" t="s">
        <v>241</v>
      </c>
      <c r="B29" s="314" t="s">
        <v>2997</v>
      </c>
      <c r="C29" s="319"/>
      <c r="D29" s="315">
        <v>5.1999999999999998E-2</v>
      </c>
      <c r="E29" s="315">
        <v>7.0000000000000007E-2</v>
      </c>
      <c r="F29" s="319"/>
      <c r="G29" s="317">
        <v>7.0999999999999994E-2</v>
      </c>
    </row>
    <row r="30" spans="1:7">
      <c r="A30" s="320" t="s">
        <v>251</v>
      </c>
      <c r="B30" s="306" t="s">
        <v>2794</v>
      </c>
      <c r="C30" s="307">
        <v>6.6000000000000003E-2</v>
      </c>
      <c r="D30" s="307">
        <v>6.6000000000000003E-2</v>
      </c>
      <c r="E30" s="307">
        <v>5.7000000000000002E-2</v>
      </c>
      <c r="F30" s="307">
        <v>0.1</v>
      </c>
      <c r="G30" s="308">
        <v>6.8000000000000005E-2</v>
      </c>
    </row>
    <row r="31" spans="1:7">
      <c r="A31" s="321" t="s">
        <v>251</v>
      </c>
      <c r="B31" s="310" t="s">
        <v>2807</v>
      </c>
      <c r="C31" s="311">
        <v>5.5E-2</v>
      </c>
      <c r="D31" s="311">
        <v>8.2000000000000003E-2</v>
      </c>
      <c r="E31" s="311">
        <v>6.4000000000000001E-2</v>
      </c>
      <c r="F31" s="311">
        <v>0.1</v>
      </c>
      <c r="G31" s="312">
        <v>9.5000000000000001E-2</v>
      </c>
    </row>
    <row r="32" spans="1:7">
      <c r="A32" s="321" t="s">
        <v>251</v>
      </c>
      <c r="B32" s="310" t="s">
        <v>2821</v>
      </c>
      <c r="C32" s="311">
        <v>8.2000000000000003E-2</v>
      </c>
      <c r="D32" s="311">
        <v>8.6999999999999994E-2</v>
      </c>
      <c r="E32" s="311">
        <v>9.5000000000000001E-2</v>
      </c>
      <c r="F32" s="311">
        <v>0.1</v>
      </c>
      <c r="G32" s="312">
        <v>9.6000000000000002E-2</v>
      </c>
    </row>
    <row r="33" spans="1:7">
      <c r="A33" s="321" t="s">
        <v>251</v>
      </c>
      <c r="B33" s="310" t="s">
        <v>2833</v>
      </c>
      <c r="C33" s="311">
        <v>9.9000000000000005E-2</v>
      </c>
      <c r="D33" s="311">
        <v>9.1999999999999998E-2</v>
      </c>
      <c r="E33" s="311">
        <v>8.6999999999999994E-2</v>
      </c>
      <c r="F33" s="311">
        <v>0.1</v>
      </c>
      <c r="G33" s="312">
        <v>9.7000000000000003E-2</v>
      </c>
    </row>
    <row r="34" spans="1:7">
      <c r="A34" s="321" t="s">
        <v>251</v>
      </c>
      <c r="B34" s="310" t="s">
        <v>2845</v>
      </c>
      <c r="C34" s="311">
        <v>8.4000000000000005E-2</v>
      </c>
      <c r="D34" s="311">
        <v>9.7000000000000003E-2</v>
      </c>
      <c r="E34" s="311">
        <v>7.0999999999999994E-2</v>
      </c>
      <c r="F34" s="311">
        <v>0.1</v>
      </c>
      <c r="G34" s="312">
        <v>9.8000000000000004E-2</v>
      </c>
    </row>
    <row r="35" spans="1:7">
      <c r="A35" s="321" t="s">
        <v>251</v>
      </c>
      <c r="B35" s="310" t="s">
        <v>2856</v>
      </c>
      <c r="C35" s="311">
        <v>8.3000000000000004E-2</v>
      </c>
      <c r="D35" s="311">
        <v>9.7000000000000003E-2</v>
      </c>
      <c r="E35" s="311">
        <v>6.0999999999999999E-2</v>
      </c>
      <c r="F35" s="311">
        <v>0.1</v>
      </c>
      <c r="G35" s="312">
        <v>9.9000000000000005E-2</v>
      </c>
    </row>
    <row r="36" spans="1:7">
      <c r="A36" s="321" t="s">
        <v>251</v>
      </c>
      <c r="B36" s="310" t="s">
        <v>2867</v>
      </c>
      <c r="C36" s="311">
        <v>9.7000000000000003E-2</v>
      </c>
      <c r="D36" s="311">
        <v>9.7000000000000003E-2</v>
      </c>
      <c r="E36" s="311">
        <v>7.8E-2</v>
      </c>
      <c r="F36" s="311">
        <v>0.1</v>
      </c>
      <c r="G36" s="312">
        <v>9.9000000000000005E-2</v>
      </c>
    </row>
    <row r="37" spans="1:7">
      <c r="A37" s="321" t="s">
        <v>251</v>
      </c>
      <c r="B37" s="310" t="s">
        <v>2878</v>
      </c>
      <c r="C37" s="311">
        <v>9.7000000000000003E-2</v>
      </c>
      <c r="D37" s="311">
        <v>9.5000000000000001E-2</v>
      </c>
      <c r="E37" s="311">
        <v>7.8E-2</v>
      </c>
      <c r="F37" s="311">
        <v>0.1</v>
      </c>
      <c r="G37" s="312">
        <v>9.7000000000000003E-2</v>
      </c>
    </row>
    <row r="38" spans="1:7">
      <c r="A38" s="321" t="s">
        <v>251</v>
      </c>
      <c r="B38" s="310" t="s">
        <v>2888</v>
      </c>
      <c r="C38" s="311">
        <v>9.7000000000000003E-2</v>
      </c>
      <c r="D38" s="311">
        <v>7.6999999999999999E-2</v>
      </c>
      <c r="E38" s="311">
        <v>7.0000000000000007E-2</v>
      </c>
      <c r="F38" s="311">
        <v>0.1</v>
      </c>
      <c r="G38" s="312">
        <v>7.6999999999999999E-2</v>
      </c>
    </row>
    <row r="39" spans="1:7">
      <c r="A39" s="321" t="s">
        <v>251</v>
      </c>
      <c r="B39" s="310" t="s">
        <v>2898</v>
      </c>
      <c r="C39" s="311">
        <v>9.5000000000000001E-2</v>
      </c>
      <c r="D39" s="311">
        <v>7.6999999999999999E-2</v>
      </c>
      <c r="E39" s="311">
        <v>6.6000000000000003E-2</v>
      </c>
      <c r="F39" s="311">
        <v>0.1</v>
      </c>
      <c r="G39" s="312">
        <v>8.5999999999999993E-2</v>
      </c>
    </row>
    <row r="40" spans="1:7">
      <c r="A40" s="321" t="s">
        <v>251</v>
      </c>
      <c r="B40" s="310" t="s">
        <v>2908</v>
      </c>
      <c r="C40" s="311">
        <v>7.6999999999999999E-2</v>
      </c>
      <c r="D40" s="311">
        <v>7.8E-2</v>
      </c>
      <c r="E40" s="311">
        <v>8.2000000000000003E-2</v>
      </c>
      <c r="F40" s="322"/>
      <c r="G40" s="312">
        <v>7.8E-2</v>
      </c>
    </row>
    <row r="41" spans="1:7">
      <c r="A41" s="321" t="s">
        <v>251</v>
      </c>
      <c r="B41" s="310" t="s">
        <v>2918</v>
      </c>
      <c r="C41" s="311">
        <v>7.8E-2</v>
      </c>
      <c r="D41" s="311">
        <v>7.8E-2</v>
      </c>
      <c r="E41" s="311">
        <v>8.2000000000000003E-2</v>
      </c>
      <c r="F41" s="322"/>
      <c r="G41" s="312">
        <v>8.5999999999999993E-2</v>
      </c>
    </row>
    <row r="42" spans="1:7">
      <c r="A42" s="321" t="s">
        <v>251</v>
      </c>
      <c r="B42" s="310" t="s">
        <v>2928</v>
      </c>
      <c r="C42" s="311">
        <v>7.8E-2</v>
      </c>
      <c r="D42" s="311">
        <v>9.6000000000000002E-2</v>
      </c>
      <c r="E42" s="311">
        <v>7.1999999999999995E-2</v>
      </c>
      <c r="F42" s="322"/>
      <c r="G42" s="312">
        <v>9.8000000000000004E-2</v>
      </c>
    </row>
    <row r="43" spans="1:7">
      <c r="A43" s="321" t="s">
        <v>251</v>
      </c>
      <c r="B43" s="310" t="s">
        <v>2938</v>
      </c>
      <c r="C43" s="311">
        <v>7.8E-2</v>
      </c>
      <c r="D43" s="311">
        <v>9.9000000000000005E-2</v>
      </c>
      <c r="E43" s="311">
        <v>9.6000000000000002E-2</v>
      </c>
      <c r="F43" s="322"/>
      <c r="G43" s="312">
        <v>0.1</v>
      </c>
    </row>
    <row r="44" spans="1:7">
      <c r="A44" s="321" t="s">
        <v>251</v>
      </c>
      <c r="B44" s="310" t="s">
        <v>2948</v>
      </c>
      <c r="C44" s="311">
        <v>9.6000000000000002E-2</v>
      </c>
      <c r="D44" s="311">
        <v>0.1</v>
      </c>
      <c r="E44" s="311">
        <v>9.8000000000000004E-2</v>
      </c>
      <c r="F44" s="322"/>
      <c r="G44" s="312">
        <v>0.1</v>
      </c>
    </row>
    <row r="45" spans="1:7">
      <c r="A45" s="321" t="s">
        <v>251</v>
      </c>
      <c r="B45" s="310" t="s">
        <v>2958</v>
      </c>
      <c r="C45" s="311">
        <v>9.9000000000000005E-2</v>
      </c>
      <c r="D45" s="311">
        <v>9.8000000000000004E-2</v>
      </c>
      <c r="E45" s="311">
        <v>9.5000000000000001E-2</v>
      </c>
      <c r="F45" s="322"/>
      <c r="G45" s="312">
        <v>9.8000000000000004E-2</v>
      </c>
    </row>
    <row r="46" spans="1:7">
      <c r="A46" s="321" t="s">
        <v>251</v>
      </c>
      <c r="B46" s="310" t="s">
        <v>2968</v>
      </c>
      <c r="C46" s="311">
        <v>0.1</v>
      </c>
      <c r="D46" s="311">
        <v>9.9000000000000005E-2</v>
      </c>
      <c r="E46" s="311">
        <v>9.6000000000000002E-2</v>
      </c>
      <c r="F46" s="322"/>
      <c r="G46" s="312">
        <v>0.1</v>
      </c>
    </row>
    <row r="47" spans="1:7">
      <c r="A47" s="321" t="s">
        <v>251</v>
      </c>
      <c r="B47" s="310" t="s">
        <v>2978</v>
      </c>
      <c r="C47" s="311">
        <v>9.8000000000000004E-2</v>
      </c>
      <c r="D47" s="311">
        <v>8.6999999999999994E-2</v>
      </c>
      <c r="E47" s="311">
        <v>5.8999999999999997E-2</v>
      </c>
      <c r="F47" s="322"/>
      <c r="G47" s="312">
        <v>9.6000000000000002E-2</v>
      </c>
    </row>
    <row r="48" spans="1:7">
      <c r="A48" s="321" t="s">
        <v>251</v>
      </c>
      <c r="B48" s="310" t="s">
        <v>2988</v>
      </c>
      <c r="C48" s="311">
        <v>9.9000000000000005E-2</v>
      </c>
      <c r="D48" s="311">
        <v>9.8000000000000004E-2</v>
      </c>
      <c r="E48" s="311">
        <v>9.5000000000000001E-2</v>
      </c>
      <c r="F48" s="322"/>
      <c r="G48" s="312">
        <v>9.8000000000000004E-2</v>
      </c>
    </row>
    <row r="49" spans="1:7">
      <c r="A49" s="321" t="s">
        <v>251</v>
      </c>
      <c r="B49" s="310" t="s">
        <v>2998</v>
      </c>
      <c r="C49" s="311">
        <v>8.7999999999999995E-2</v>
      </c>
      <c r="D49" s="311">
        <v>9.9000000000000005E-2</v>
      </c>
      <c r="E49" s="311">
        <v>7.0000000000000007E-2</v>
      </c>
      <c r="F49" s="322"/>
      <c r="G49" s="312">
        <v>0.1</v>
      </c>
    </row>
    <row r="50" spans="1:7">
      <c r="A50" s="321" t="s">
        <v>251</v>
      </c>
      <c r="B50" s="310" t="s">
        <v>3007</v>
      </c>
      <c r="C50" s="311">
        <v>9.8000000000000004E-2</v>
      </c>
      <c r="D50" s="311">
        <v>7.2999999999999995E-2</v>
      </c>
      <c r="E50" s="311">
        <v>7.0999999999999994E-2</v>
      </c>
      <c r="F50" s="322"/>
      <c r="G50" s="312">
        <v>7.2999999999999995E-2</v>
      </c>
    </row>
    <row r="51" spans="1:7">
      <c r="A51" s="321" t="s">
        <v>251</v>
      </c>
      <c r="B51" s="310" t="s">
        <v>3015</v>
      </c>
      <c r="C51" s="311">
        <v>9.9000000000000005E-2</v>
      </c>
      <c r="D51" s="311">
        <v>8.5000000000000006E-2</v>
      </c>
      <c r="E51" s="311">
        <v>6.3E-2</v>
      </c>
      <c r="F51" s="322"/>
      <c r="G51" s="312">
        <v>9.6000000000000002E-2</v>
      </c>
    </row>
    <row r="52" spans="1:7">
      <c r="A52" s="321" t="s">
        <v>251</v>
      </c>
      <c r="B52" s="310" t="s">
        <v>3023</v>
      </c>
      <c r="C52" s="311">
        <v>7.3999999999999996E-2</v>
      </c>
      <c r="D52" s="311">
        <v>9.6000000000000002E-2</v>
      </c>
      <c r="E52" s="311">
        <v>0.05</v>
      </c>
      <c r="F52" s="322"/>
      <c r="G52" s="312">
        <v>9.8000000000000004E-2</v>
      </c>
    </row>
    <row r="53" spans="1:7">
      <c r="A53" s="321" t="s">
        <v>251</v>
      </c>
      <c r="B53" s="310" t="s">
        <v>3031</v>
      </c>
      <c r="C53" s="311">
        <v>8.5999999999999993E-2</v>
      </c>
      <c r="D53" s="322"/>
      <c r="E53" s="311">
        <v>9.1999999999999998E-2</v>
      </c>
      <c r="F53" s="322"/>
      <c r="G53" s="323"/>
    </row>
    <row r="54" spans="1:7">
      <c r="A54" s="324" t="s">
        <v>251</v>
      </c>
      <c r="B54" s="314" t="s">
        <v>3039</v>
      </c>
      <c r="C54" s="315">
        <v>9.6000000000000002E-2</v>
      </c>
      <c r="D54" s="316"/>
      <c r="E54" s="325"/>
      <c r="F54" s="316"/>
      <c r="G54" s="326"/>
    </row>
    <row r="55" spans="1:7">
      <c r="A55" s="320" t="s">
        <v>259</v>
      </c>
      <c r="B55" s="306" t="s">
        <v>2795</v>
      </c>
      <c r="C55" s="307">
        <v>9.6000000000000002E-2</v>
      </c>
      <c r="D55" s="307">
        <v>8.4000000000000005E-2</v>
      </c>
      <c r="E55" s="307">
        <v>9.1999999999999998E-2</v>
      </c>
      <c r="F55" s="307">
        <v>0.1</v>
      </c>
      <c r="G55" s="308">
        <v>9.5000000000000001E-2</v>
      </c>
    </row>
    <row r="56" spans="1:7">
      <c r="A56" s="321" t="s">
        <v>259</v>
      </c>
      <c r="B56" s="310" t="s">
        <v>2808</v>
      </c>
      <c r="C56" s="311">
        <v>8.4000000000000005E-2</v>
      </c>
      <c r="D56" s="311">
        <v>9.1999999999999998E-2</v>
      </c>
      <c r="E56" s="311">
        <v>9.5000000000000001E-2</v>
      </c>
      <c r="F56" s="311">
        <v>9.1999999999999998E-2</v>
      </c>
      <c r="G56" s="312">
        <v>9.6000000000000002E-2</v>
      </c>
    </row>
    <row r="57" spans="1:7">
      <c r="A57" s="321" t="s">
        <v>259</v>
      </c>
      <c r="B57" s="310" t="s">
        <v>2822</v>
      </c>
      <c r="C57" s="311">
        <v>9.9000000000000005E-2</v>
      </c>
      <c r="D57" s="311">
        <v>9.6000000000000002E-2</v>
      </c>
      <c r="E57" s="311">
        <v>9.1999999999999998E-2</v>
      </c>
      <c r="F57" s="311">
        <v>0.1</v>
      </c>
      <c r="G57" s="312">
        <v>9.8000000000000004E-2</v>
      </c>
    </row>
    <row r="58" spans="1:7">
      <c r="A58" s="321" t="s">
        <v>259</v>
      </c>
      <c r="B58" s="310" t="s">
        <v>2834</v>
      </c>
      <c r="C58" s="311">
        <v>9.8000000000000004E-2</v>
      </c>
      <c r="D58" s="311">
        <v>9.5000000000000001E-2</v>
      </c>
      <c r="E58" s="311">
        <v>5.7000000000000002E-2</v>
      </c>
      <c r="F58" s="311">
        <v>0.1</v>
      </c>
      <c r="G58" s="312">
        <v>9.6000000000000002E-2</v>
      </c>
    </row>
    <row r="59" spans="1:7">
      <c r="A59" s="321" t="s">
        <v>259</v>
      </c>
      <c r="B59" s="310" t="s">
        <v>2846</v>
      </c>
      <c r="C59" s="311">
        <v>9.5000000000000001E-2</v>
      </c>
      <c r="D59" s="311">
        <v>0.1</v>
      </c>
      <c r="E59" s="311">
        <v>7.4999999999999997E-2</v>
      </c>
      <c r="F59" s="311">
        <v>0.1</v>
      </c>
      <c r="G59" s="312">
        <v>0.1</v>
      </c>
    </row>
    <row r="60" spans="1:7">
      <c r="A60" s="321" t="s">
        <v>259</v>
      </c>
      <c r="B60" s="310" t="s">
        <v>2857</v>
      </c>
      <c r="C60" s="311">
        <v>0.1</v>
      </c>
      <c r="D60" s="311">
        <v>9.7000000000000003E-2</v>
      </c>
      <c r="E60" s="311">
        <v>0.1</v>
      </c>
      <c r="F60" s="311">
        <v>0.1</v>
      </c>
      <c r="G60" s="312">
        <v>9.7000000000000003E-2</v>
      </c>
    </row>
    <row r="61" spans="1:7">
      <c r="A61" s="321" t="s">
        <v>259</v>
      </c>
      <c r="B61" s="310" t="s">
        <v>2868</v>
      </c>
      <c r="C61" s="311">
        <v>9.7000000000000003E-2</v>
      </c>
      <c r="D61" s="311">
        <v>0.1</v>
      </c>
      <c r="E61" s="311">
        <v>9.2999999999999999E-2</v>
      </c>
      <c r="F61" s="311">
        <v>0.1</v>
      </c>
      <c r="G61" s="312">
        <v>0.1</v>
      </c>
    </row>
    <row r="62" spans="1:7">
      <c r="A62" s="321" t="s">
        <v>259</v>
      </c>
      <c r="B62" s="310" t="s">
        <v>2879</v>
      </c>
      <c r="C62" s="311">
        <v>0.1</v>
      </c>
      <c r="D62" s="311">
        <v>9.7000000000000003E-2</v>
      </c>
      <c r="E62" s="311">
        <v>8.8999999999999996E-2</v>
      </c>
      <c r="F62" s="311">
        <v>0.1</v>
      </c>
      <c r="G62" s="312">
        <v>9.8000000000000004E-2</v>
      </c>
    </row>
    <row r="63" spans="1:7">
      <c r="A63" s="321" t="s">
        <v>259</v>
      </c>
      <c r="B63" s="310" t="s">
        <v>2889</v>
      </c>
      <c r="C63" s="311">
        <v>9.7000000000000003E-2</v>
      </c>
      <c r="D63" s="311">
        <v>9.7000000000000003E-2</v>
      </c>
      <c r="E63" s="311">
        <v>9.9000000000000005E-2</v>
      </c>
      <c r="F63" s="311">
        <v>0.1</v>
      </c>
      <c r="G63" s="312">
        <v>9.7000000000000003E-2</v>
      </c>
    </row>
    <row r="64" spans="1:7">
      <c r="A64" s="321" t="s">
        <v>259</v>
      </c>
      <c r="B64" s="310" t="s">
        <v>2899</v>
      </c>
      <c r="C64" s="311">
        <v>9.7000000000000003E-2</v>
      </c>
      <c r="D64" s="311">
        <v>7.3999999999999996E-2</v>
      </c>
      <c r="E64" s="311">
        <v>7.8E-2</v>
      </c>
      <c r="F64" s="311">
        <v>0.1</v>
      </c>
      <c r="G64" s="312">
        <v>8.8999999999999996E-2</v>
      </c>
    </row>
    <row r="65" spans="1:7">
      <c r="A65" s="321" t="s">
        <v>259</v>
      </c>
      <c r="B65" s="310" t="s">
        <v>2909</v>
      </c>
      <c r="C65" s="311">
        <v>7.2999999999999995E-2</v>
      </c>
      <c r="D65" s="311">
        <v>9.8000000000000004E-2</v>
      </c>
      <c r="E65" s="311">
        <v>9.5000000000000001E-2</v>
      </c>
      <c r="F65" s="311">
        <v>0.1</v>
      </c>
      <c r="G65" s="312">
        <v>9.9000000000000005E-2</v>
      </c>
    </row>
    <row r="66" spans="1:7">
      <c r="A66" s="321" t="s">
        <v>259</v>
      </c>
      <c r="B66" s="310" t="s">
        <v>2919</v>
      </c>
      <c r="C66" s="311">
        <v>9.8000000000000004E-2</v>
      </c>
      <c r="D66" s="311">
        <v>9.5000000000000001E-2</v>
      </c>
      <c r="E66" s="311">
        <v>0.05</v>
      </c>
      <c r="F66" s="311">
        <v>0.1</v>
      </c>
      <c r="G66" s="312">
        <v>9.7000000000000003E-2</v>
      </c>
    </row>
    <row r="67" spans="1:7">
      <c r="A67" s="321" t="s">
        <v>259</v>
      </c>
      <c r="B67" s="310" t="s">
        <v>2929</v>
      </c>
      <c r="C67" s="311">
        <v>9.5000000000000001E-2</v>
      </c>
      <c r="D67" s="311">
        <v>9.7000000000000003E-2</v>
      </c>
      <c r="E67" s="311">
        <v>9.7000000000000003E-2</v>
      </c>
      <c r="F67" s="311">
        <v>0.1</v>
      </c>
      <c r="G67" s="312">
        <v>9.9000000000000005E-2</v>
      </c>
    </row>
    <row r="68" spans="1:7">
      <c r="A68" s="321" t="s">
        <v>259</v>
      </c>
      <c r="B68" s="310" t="s">
        <v>2939</v>
      </c>
      <c r="C68" s="311">
        <v>9.7000000000000003E-2</v>
      </c>
      <c r="D68" s="311">
        <v>6.8000000000000005E-2</v>
      </c>
      <c r="E68" s="311">
        <v>6.6000000000000003E-2</v>
      </c>
      <c r="F68" s="311">
        <v>0.1</v>
      </c>
      <c r="G68" s="312">
        <v>8.4000000000000005E-2</v>
      </c>
    </row>
    <row r="69" spans="1:7">
      <c r="A69" s="321" t="s">
        <v>259</v>
      </c>
      <c r="B69" s="310" t="s">
        <v>2949</v>
      </c>
      <c r="C69" s="311">
        <v>6.8000000000000005E-2</v>
      </c>
      <c r="D69" s="311">
        <v>9.8000000000000004E-2</v>
      </c>
      <c r="E69" s="311">
        <v>9.5000000000000001E-2</v>
      </c>
      <c r="F69" s="311">
        <v>0.1</v>
      </c>
      <c r="G69" s="312">
        <v>0.1</v>
      </c>
    </row>
    <row r="70" spans="1:7">
      <c r="A70" s="321" t="s">
        <v>259</v>
      </c>
      <c r="B70" s="310" t="s">
        <v>2959</v>
      </c>
      <c r="C70" s="311">
        <v>9.8000000000000004E-2</v>
      </c>
      <c r="D70" s="311">
        <v>8.8999999999999996E-2</v>
      </c>
      <c r="E70" s="311">
        <v>5.8999999999999997E-2</v>
      </c>
      <c r="F70" s="311">
        <v>0.1</v>
      </c>
      <c r="G70" s="312">
        <v>9.6000000000000002E-2</v>
      </c>
    </row>
    <row r="71" spans="1:7">
      <c r="A71" s="321" t="s">
        <v>259</v>
      </c>
      <c r="B71" s="310" t="s">
        <v>2969</v>
      </c>
      <c r="C71" s="311">
        <v>8.8999999999999996E-2</v>
      </c>
      <c r="D71" s="311">
        <v>9.9000000000000005E-2</v>
      </c>
      <c r="E71" s="311">
        <v>9.6000000000000002E-2</v>
      </c>
      <c r="F71" s="311">
        <v>0.1</v>
      </c>
      <c r="G71" s="312">
        <v>0.1</v>
      </c>
    </row>
    <row r="72" spans="1:7">
      <c r="A72" s="321" t="s">
        <v>259</v>
      </c>
      <c r="B72" s="310" t="s">
        <v>2979</v>
      </c>
      <c r="C72" s="311">
        <v>9.9000000000000005E-2</v>
      </c>
      <c r="D72" s="311">
        <v>0.1</v>
      </c>
      <c r="E72" s="311">
        <v>7.0000000000000007E-2</v>
      </c>
      <c r="F72" s="322"/>
      <c r="G72" s="312">
        <v>0.1</v>
      </c>
    </row>
    <row r="73" spans="1:7">
      <c r="A73" s="321" t="s">
        <v>259</v>
      </c>
      <c r="B73" s="310" t="s">
        <v>2989</v>
      </c>
      <c r="C73" s="311">
        <v>0.1</v>
      </c>
      <c r="D73" s="311">
        <v>0.1</v>
      </c>
      <c r="E73" s="311">
        <v>9.6000000000000002E-2</v>
      </c>
      <c r="F73" s="322"/>
      <c r="G73" s="312">
        <v>0.1</v>
      </c>
    </row>
    <row r="74" spans="1:7">
      <c r="A74" s="321" t="s">
        <v>259</v>
      </c>
      <c r="B74" s="310" t="s">
        <v>2999</v>
      </c>
      <c r="C74" s="311">
        <v>0.1</v>
      </c>
      <c r="D74" s="311">
        <v>0.1</v>
      </c>
      <c r="E74" s="311">
        <v>9.8000000000000004E-2</v>
      </c>
      <c r="F74" s="322"/>
      <c r="G74" s="312">
        <v>0.1</v>
      </c>
    </row>
    <row r="75" spans="1:7">
      <c r="A75" s="321" t="s">
        <v>259</v>
      </c>
      <c r="B75" s="310" t="s">
        <v>3008</v>
      </c>
      <c r="C75" s="311">
        <v>0.1</v>
      </c>
      <c r="D75" s="311">
        <v>9.9000000000000005E-2</v>
      </c>
      <c r="E75" s="311">
        <v>9.8000000000000004E-2</v>
      </c>
      <c r="F75" s="322"/>
      <c r="G75" s="312">
        <v>0.1</v>
      </c>
    </row>
    <row r="76" spans="1:7">
      <c r="A76" s="321" t="s">
        <v>259</v>
      </c>
      <c r="B76" s="310" t="s">
        <v>3016</v>
      </c>
      <c r="C76" s="311">
        <v>9.9000000000000005E-2</v>
      </c>
      <c r="D76" s="311">
        <v>0.1</v>
      </c>
      <c r="E76" s="311">
        <v>9.7000000000000003E-2</v>
      </c>
      <c r="F76" s="322"/>
      <c r="G76" s="312">
        <v>0.1</v>
      </c>
    </row>
    <row r="77" spans="1:7">
      <c r="A77" s="321" t="s">
        <v>259</v>
      </c>
      <c r="B77" s="310" t="s">
        <v>3024</v>
      </c>
      <c r="C77" s="311">
        <v>0.1</v>
      </c>
      <c r="D77" s="311">
        <v>0.1</v>
      </c>
      <c r="E77" s="311">
        <v>9.6000000000000002E-2</v>
      </c>
      <c r="F77" s="322"/>
      <c r="G77" s="312">
        <v>0.1</v>
      </c>
    </row>
    <row r="78" spans="1:7">
      <c r="A78" s="321" t="s">
        <v>259</v>
      </c>
      <c r="B78" s="310" t="s">
        <v>3032</v>
      </c>
      <c r="C78" s="311">
        <v>0.1</v>
      </c>
      <c r="D78" s="311">
        <v>8.5000000000000006E-2</v>
      </c>
      <c r="E78" s="311">
        <v>9.6000000000000002E-2</v>
      </c>
      <c r="F78" s="322"/>
      <c r="G78" s="312">
        <v>9.6000000000000002E-2</v>
      </c>
    </row>
    <row r="79" spans="1:7">
      <c r="A79" s="321" t="s">
        <v>259</v>
      </c>
      <c r="B79" s="310" t="s">
        <v>3040</v>
      </c>
      <c r="C79" s="311">
        <v>0.05</v>
      </c>
      <c r="D79" s="311">
        <v>9.6000000000000002E-2</v>
      </c>
      <c r="E79" s="311">
        <v>9.5000000000000001E-2</v>
      </c>
      <c r="F79" s="322"/>
      <c r="G79" s="312">
        <v>9.8000000000000004E-2</v>
      </c>
    </row>
    <row r="80" spans="1:7">
      <c r="A80" s="321" t="s">
        <v>259</v>
      </c>
      <c r="B80" s="310" t="s">
        <v>3047</v>
      </c>
      <c r="C80" s="311">
        <v>8.5999999999999993E-2</v>
      </c>
      <c r="D80" s="327"/>
      <c r="E80" s="311">
        <v>0.1</v>
      </c>
      <c r="F80" s="322"/>
      <c r="G80" s="323"/>
    </row>
    <row r="81" spans="1:7">
      <c r="A81" s="321" t="s">
        <v>259</v>
      </c>
      <c r="B81" s="310" t="s">
        <v>3054</v>
      </c>
      <c r="C81" s="311">
        <v>9.6000000000000002E-2</v>
      </c>
      <c r="D81" s="322"/>
      <c r="E81" s="311">
        <v>9.8000000000000004E-2</v>
      </c>
      <c r="F81" s="322"/>
      <c r="G81" s="323"/>
    </row>
    <row r="82" spans="1:7">
      <c r="A82" s="321" t="s">
        <v>259</v>
      </c>
      <c r="B82" s="310" t="s">
        <v>3061</v>
      </c>
      <c r="C82" s="327"/>
      <c r="D82" s="322"/>
      <c r="E82" s="311">
        <v>7.6999999999999999E-2</v>
      </c>
      <c r="F82" s="322"/>
      <c r="G82" s="323"/>
    </row>
    <row r="83" spans="1:7">
      <c r="A83" s="321" t="s">
        <v>259</v>
      </c>
      <c r="B83" s="310" t="s">
        <v>3068</v>
      </c>
      <c r="C83" s="322"/>
      <c r="D83" s="322"/>
      <c r="E83" s="322"/>
      <c r="F83" s="311">
        <v>0.1</v>
      </c>
      <c r="G83" s="328"/>
    </row>
    <row r="84" spans="1:7">
      <c r="A84" s="321" t="s">
        <v>259</v>
      </c>
      <c r="B84" s="310" t="s">
        <v>3075</v>
      </c>
      <c r="C84" s="322"/>
      <c r="D84" s="322"/>
      <c r="E84" s="322"/>
      <c r="F84" s="311">
        <v>0.1</v>
      </c>
      <c r="G84" s="328"/>
    </row>
    <row r="85" spans="1:7">
      <c r="A85" s="321" t="s">
        <v>259</v>
      </c>
      <c r="B85" s="310" t="s">
        <v>3082</v>
      </c>
      <c r="C85" s="322"/>
      <c r="D85" s="322"/>
      <c r="E85" s="322"/>
      <c r="F85" s="311">
        <v>0.1</v>
      </c>
      <c r="G85" s="328"/>
    </row>
    <row r="86" spans="1:7">
      <c r="A86" s="324" t="s">
        <v>259</v>
      </c>
      <c r="B86" s="314" t="s">
        <v>3089</v>
      </c>
      <c r="C86" s="315">
        <v>9.8000000000000004E-2</v>
      </c>
      <c r="D86" s="315">
        <v>9.8000000000000004E-2</v>
      </c>
      <c r="E86" s="315">
        <v>9.6000000000000002E-2</v>
      </c>
      <c r="F86" s="325"/>
      <c r="G86" s="317">
        <v>0.1</v>
      </c>
    </row>
    <row r="87" spans="1:7">
      <c r="A87" s="320" t="s">
        <v>266</v>
      </c>
      <c r="B87" s="306" t="s">
        <v>2796</v>
      </c>
      <c r="C87" s="307">
        <v>0.1</v>
      </c>
      <c r="D87" s="307">
        <v>0.1</v>
      </c>
      <c r="E87" s="307">
        <v>9.8000000000000004E-2</v>
      </c>
      <c r="F87" s="307">
        <v>0.1</v>
      </c>
      <c r="G87" s="308">
        <v>0.1</v>
      </c>
    </row>
    <row r="88" spans="1:7">
      <c r="A88" s="321" t="s">
        <v>266</v>
      </c>
      <c r="B88" s="310" t="s">
        <v>2809</v>
      </c>
      <c r="C88" s="311">
        <v>9.0999999999999998E-2</v>
      </c>
      <c r="D88" s="311">
        <v>9.1999999999999998E-2</v>
      </c>
      <c r="E88" s="311">
        <v>0.1</v>
      </c>
      <c r="F88" s="311">
        <v>0.1</v>
      </c>
      <c r="G88" s="312">
        <v>9.6000000000000002E-2</v>
      </c>
    </row>
    <row r="89" spans="1:7">
      <c r="A89" s="321" t="s">
        <v>266</v>
      </c>
      <c r="B89" s="310" t="s">
        <v>2823</v>
      </c>
      <c r="C89" s="311">
        <v>0.1</v>
      </c>
      <c r="D89" s="311">
        <v>0.1</v>
      </c>
      <c r="E89" s="311">
        <v>6.7000000000000004E-2</v>
      </c>
      <c r="F89" s="311">
        <v>9.2999999999999999E-2</v>
      </c>
      <c r="G89" s="312">
        <v>0.1</v>
      </c>
    </row>
    <row r="90" spans="1:7">
      <c r="A90" s="321" t="s">
        <v>266</v>
      </c>
      <c r="B90" s="310" t="s">
        <v>2835</v>
      </c>
      <c r="C90" s="311">
        <v>9.6000000000000002E-2</v>
      </c>
      <c r="D90" s="311">
        <v>9.6000000000000002E-2</v>
      </c>
      <c r="E90" s="311">
        <v>0.1</v>
      </c>
      <c r="F90" s="311">
        <v>0.1</v>
      </c>
      <c r="G90" s="312">
        <v>9.8000000000000004E-2</v>
      </c>
    </row>
    <row r="91" spans="1:7">
      <c r="A91" s="321" t="s">
        <v>266</v>
      </c>
      <c r="B91" s="310" t="s">
        <v>2847</v>
      </c>
      <c r="C91" s="311">
        <v>7.6999999999999999E-2</v>
      </c>
      <c r="D91" s="311">
        <v>7.6999999999999999E-2</v>
      </c>
      <c r="E91" s="311">
        <v>9.6000000000000002E-2</v>
      </c>
      <c r="F91" s="311">
        <v>0.1</v>
      </c>
      <c r="G91" s="312">
        <v>7.6999999999999999E-2</v>
      </c>
    </row>
    <row r="92" spans="1:7">
      <c r="A92" s="321" t="s">
        <v>266</v>
      </c>
      <c r="B92" s="310" t="s">
        <v>2858</v>
      </c>
      <c r="C92" s="311">
        <v>0.1</v>
      </c>
      <c r="D92" s="311">
        <v>0.1</v>
      </c>
      <c r="E92" s="311">
        <v>9.1999999999999998E-2</v>
      </c>
      <c r="F92" s="311">
        <v>0.1</v>
      </c>
      <c r="G92" s="312">
        <v>0.1</v>
      </c>
    </row>
    <row r="93" spans="1:7">
      <c r="A93" s="321" t="s">
        <v>266</v>
      </c>
      <c r="B93" s="310" t="s">
        <v>2869</v>
      </c>
      <c r="C93" s="311">
        <v>9.8000000000000004E-2</v>
      </c>
      <c r="D93" s="311">
        <v>9.8000000000000004E-2</v>
      </c>
      <c r="E93" s="311">
        <v>9.6000000000000002E-2</v>
      </c>
      <c r="F93" s="311">
        <v>0.1</v>
      </c>
      <c r="G93" s="312">
        <v>9.9000000000000005E-2</v>
      </c>
    </row>
    <row r="94" spans="1:7">
      <c r="A94" s="321" t="s">
        <v>266</v>
      </c>
      <c r="B94" s="310" t="s">
        <v>2880</v>
      </c>
      <c r="C94" s="311">
        <v>8.7999999999999995E-2</v>
      </c>
      <c r="D94" s="311">
        <v>8.7999999999999995E-2</v>
      </c>
      <c r="E94" s="311">
        <v>9.6000000000000002E-2</v>
      </c>
      <c r="F94" s="311">
        <v>0.1</v>
      </c>
      <c r="G94" s="312">
        <v>8.7999999999999995E-2</v>
      </c>
    </row>
    <row r="95" spans="1:7">
      <c r="A95" s="321" t="s">
        <v>266</v>
      </c>
      <c r="B95" s="310" t="s">
        <v>2890</v>
      </c>
      <c r="C95" s="311">
        <v>9.6000000000000002E-2</v>
      </c>
      <c r="D95" s="311">
        <v>9.6000000000000002E-2</v>
      </c>
      <c r="E95" s="311">
        <v>0.1</v>
      </c>
      <c r="F95" s="311">
        <v>0.1</v>
      </c>
      <c r="G95" s="312">
        <v>9.8000000000000004E-2</v>
      </c>
    </row>
    <row r="96" spans="1:7">
      <c r="A96" s="321" t="s">
        <v>266</v>
      </c>
      <c r="B96" s="310" t="s">
        <v>2900</v>
      </c>
      <c r="C96" s="311">
        <v>9.7000000000000003E-2</v>
      </c>
      <c r="D96" s="311">
        <v>9.7000000000000003E-2</v>
      </c>
      <c r="E96" s="311">
        <v>0.1</v>
      </c>
      <c r="F96" s="311">
        <v>0.1</v>
      </c>
      <c r="G96" s="312">
        <v>9.8000000000000004E-2</v>
      </c>
    </row>
    <row r="97" spans="1:7">
      <c r="A97" s="321" t="s">
        <v>266</v>
      </c>
      <c r="B97" s="310" t="s">
        <v>2910</v>
      </c>
      <c r="C97" s="311">
        <v>9.6000000000000002E-2</v>
      </c>
      <c r="D97" s="311">
        <v>9.6000000000000002E-2</v>
      </c>
      <c r="E97" s="311">
        <v>9.9000000000000005E-2</v>
      </c>
      <c r="F97" s="311">
        <v>0.1</v>
      </c>
      <c r="G97" s="312">
        <v>9.8000000000000004E-2</v>
      </c>
    </row>
    <row r="98" spans="1:7">
      <c r="A98" s="321" t="s">
        <v>266</v>
      </c>
      <c r="B98" s="310" t="s">
        <v>2920</v>
      </c>
      <c r="C98" s="311">
        <v>9.8000000000000004E-2</v>
      </c>
      <c r="D98" s="311">
        <v>9.8000000000000004E-2</v>
      </c>
      <c r="E98" s="311">
        <v>0.1</v>
      </c>
      <c r="F98" s="311">
        <v>0.1</v>
      </c>
      <c r="G98" s="312">
        <v>9.9000000000000005E-2</v>
      </c>
    </row>
    <row r="99" spans="1:7">
      <c r="A99" s="321" t="s">
        <v>266</v>
      </c>
      <c r="B99" s="310" t="s">
        <v>2930</v>
      </c>
      <c r="C99" s="311">
        <v>9.6000000000000002E-2</v>
      </c>
      <c r="D99" s="311">
        <v>9.6000000000000002E-2</v>
      </c>
      <c r="E99" s="311">
        <v>0.1</v>
      </c>
      <c r="F99" s="311">
        <v>0.1</v>
      </c>
      <c r="G99" s="312">
        <v>9.7000000000000003E-2</v>
      </c>
    </row>
    <row r="100" spans="1:7">
      <c r="A100" s="321" t="s">
        <v>266</v>
      </c>
      <c r="B100" s="310" t="s">
        <v>2940</v>
      </c>
      <c r="C100" s="311">
        <v>0.1</v>
      </c>
      <c r="D100" s="311">
        <v>0.1</v>
      </c>
      <c r="E100" s="311">
        <v>9.7000000000000003E-2</v>
      </c>
      <c r="F100" s="311">
        <v>9.8000000000000004E-2</v>
      </c>
      <c r="G100" s="312">
        <v>0.1</v>
      </c>
    </row>
    <row r="101" spans="1:7">
      <c r="A101" s="321" t="s">
        <v>266</v>
      </c>
      <c r="B101" s="310" t="s">
        <v>2950</v>
      </c>
      <c r="C101" s="311">
        <v>0.1</v>
      </c>
      <c r="D101" s="311">
        <v>0.1</v>
      </c>
      <c r="E101" s="311">
        <v>9.5000000000000001E-2</v>
      </c>
      <c r="F101" s="311">
        <v>0.1</v>
      </c>
      <c r="G101" s="312">
        <v>0.1</v>
      </c>
    </row>
    <row r="102" spans="1:7">
      <c r="A102" s="321" t="s">
        <v>266</v>
      </c>
      <c r="B102" s="310" t="s">
        <v>2960</v>
      </c>
      <c r="C102" s="311">
        <v>0.1</v>
      </c>
      <c r="D102" s="311">
        <v>0.1</v>
      </c>
      <c r="E102" s="311">
        <v>9.9000000000000005E-2</v>
      </c>
      <c r="F102" s="311">
        <v>9.7000000000000003E-2</v>
      </c>
      <c r="G102" s="312">
        <v>0.1</v>
      </c>
    </row>
    <row r="103" spans="1:7">
      <c r="A103" s="321" t="s">
        <v>266</v>
      </c>
      <c r="B103" s="310" t="s">
        <v>2970</v>
      </c>
      <c r="C103" s="311">
        <v>0.1</v>
      </c>
      <c r="D103" s="311">
        <v>0.1</v>
      </c>
      <c r="E103" s="311">
        <v>9.8000000000000004E-2</v>
      </c>
      <c r="F103" s="311">
        <v>0.1</v>
      </c>
      <c r="G103" s="312">
        <v>0.1</v>
      </c>
    </row>
    <row r="104" spans="1:7">
      <c r="A104" s="321" t="s">
        <v>266</v>
      </c>
      <c r="B104" s="310" t="s">
        <v>2980</v>
      </c>
      <c r="C104" s="311">
        <v>0.1</v>
      </c>
      <c r="D104" s="311">
        <v>0.1</v>
      </c>
      <c r="E104" s="311">
        <v>9.8000000000000004E-2</v>
      </c>
      <c r="F104" s="311">
        <v>0.1</v>
      </c>
      <c r="G104" s="312">
        <v>0.1</v>
      </c>
    </row>
    <row r="105" spans="1:7">
      <c r="A105" s="321" t="s">
        <v>266</v>
      </c>
      <c r="B105" s="310" t="s">
        <v>2990</v>
      </c>
      <c r="C105" s="311">
        <v>9.8000000000000004E-2</v>
      </c>
      <c r="D105" s="311">
        <v>9.8000000000000004E-2</v>
      </c>
      <c r="E105" s="311">
        <v>9.8000000000000004E-2</v>
      </c>
      <c r="F105" s="311">
        <v>0.1</v>
      </c>
      <c r="G105" s="312">
        <v>9.9000000000000005E-2</v>
      </c>
    </row>
    <row r="106" spans="1:7">
      <c r="A106" s="321" t="s">
        <v>266</v>
      </c>
      <c r="B106" s="310" t="s">
        <v>3000</v>
      </c>
      <c r="C106" s="311">
        <v>9.7000000000000003E-2</v>
      </c>
      <c r="D106" s="311">
        <v>9.7000000000000003E-2</v>
      </c>
      <c r="E106" s="311">
        <v>9.7000000000000003E-2</v>
      </c>
      <c r="F106" s="311">
        <v>0.1</v>
      </c>
      <c r="G106" s="312">
        <v>9.9000000000000005E-2</v>
      </c>
    </row>
    <row r="107" spans="1:7">
      <c r="A107" s="321" t="s">
        <v>266</v>
      </c>
      <c r="B107" s="310" t="s">
        <v>3009</v>
      </c>
      <c r="C107" s="311">
        <v>0.1</v>
      </c>
      <c r="D107" s="311">
        <v>0.1</v>
      </c>
      <c r="E107" s="311">
        <v>8.5999999999999993E-2</v>
      </c>
      <c r="F107" s="311">
        <v>0.09</v>
      </c>
      <c r="G107" s="312">
        <v>0.1</v>
      </c>
    </row>
    <row r="108" spans="1:7">
      <c r="A108" s="321" t="s">
        <v>266</v>
      </c>
      <c r="B108" s="310" t="s">
        <v>3017</v>
      </c>
      <c r="C108" s="311">
        <v>0.1</v>
      </c>
      <c r="D108" s="311">
        <v>0.1</v>
      </c>
      <c r="E108" s="311">
        <v>9.6000000000000002E-2</v>
      </c>
      <c r="F108" s="322"/>
      <c r="G108" s="312">
        <v>0.1</v>
      </c>
    </row>
    <row r="109" spans="1:7">
      <c r="A109" s="321" t="s">
        <v>266</v>
      </c>
      <c r="B109" s="310" t="s">
        <v>3025</v>
      </c>
      <c r="C109" s="311">
        <v>0.1</v>
      </c>
      <c r="D109" s="311">
        <v>0.1</v>
      </c>
      <c r="E109" s="311">
        <v>0.1</v>
      </c>
      <c r="F109" s="322"/>
      <c r="G109" s="312">
        <v>0.1</v>
      </c>
    </row>
    <row r="110" spans="1:7">
      <c r="A110" s="321" t="s">
        <v>266</v>
      </c>
      <c r="B110" s="310" t="s">
        <v>3033</v>
      </c>
      <c r="C110" s="311">
        <v>0.1</v>
      </c>
      <c r="D110" s="311">
        <v>0.1</v>
      </c>
      <c r="E110" s="311">
        <v>0.1</v>
      </c>
      <c r="F110" s="322"/>
      <c r="G110" s="312">
        <v>0.1</v>
      </c>
    </row>
    <row r="111" spans="1:7">
      <c r="A111" s="321" t="s">
        <v>266</v>
      </c>
      <c r="B111" s="310" t="s">
        <v>3041</v>
      </c>
      <c r="C111" s="311">
        <v>0.1</v>
      </c>
      <c r="D111" s="311">
        <v>0.1</v>
      </c>
      <c r="E111" s="311">
        <v>9.5000000000000001E-2</v>
      </c>
      <c r="F111" s="322"/>
      <c r="G111" s="312">
        <v>0.1</v>
      </c>
    </row>
    <row r="112" spans="1:7">
      <c r="A112" s="321" t="s">
        <v>266</v>
      </c>
      <c r="B112" s="310" t="s">
        <v>3048</v>
      </c>
      <c r="C112" s="311">
        <v>9.7000000000000003E-2</v>
      </c>
      <c r="D112" s="311">
        <v>9.7000000000000003E-2</v>
      </c>
      <c r="E112" s="311">
        <v>0.05</v>
      </c>
      <c r="F112" s="322"/>
      <c r="G112" s="312">
        <v>9.8000000000000004E-2</v>
      </c>
    </row>
    <row r="113" spans="1:7">
      <c r="A113" s="321" t="s">
        <v>266</v>
      </c>
      <c r="B113" s="310" t="s">
        <v>3055</v>
      </c>
      <c r="C113" s="311">
        <v>0.1</v>
      </c>
      <c r="D113" s="311">
        <v>0.1</v>
      </c>
      <c r="E113" s="322"/>
      <c r="F113" s="322"/>
      <c r="G113" s="312">
        <v>0.1</v>
      </c>
    </row>
    <row r="114" spans="1:7">
      <c r="A114" s="321" t="s">
        <v>266</v>
      </c>
      <c r="B114" s="310" t="s">
        <v>3062</v>
      </c>
      <c r="C114" s="311">
        <v>9.7000000000000003E-2</v>
      </c>
      <c r="D114" s="311">
        <v>9.7000000000000003E-2</v>
      </c>
      <c r="E114" s="322"/>
      <c r="F114" s="322"/>
      <c r="G114" s="312">
        <v>9.9000000000000005E-2</v>
      </c>
    </row>
    <row r="115" spans="1:7">
      <c r="A115" s="321" t="s">
        <v>266</v>
      </c>
      <c r="B115" s="310" t="s">
        <v>3069</v>
      </c>
      <c r="C115" s="311">
        <v>0.1</v>
      </c>
      <c r="D115" s="311">
        <v>0.1</v>
      </c>
      <c r="E115" s="322"/>
      <c r="F115" s="322"/>
      <c r="G115" s="312">
        <v>0.1</v>
      </c>
    </row>
    <row r="116" spans="1:7">
      <c r="A116" s="321" t="s">
        <v>266</v>
      </c>
      <c r="B116" s="310" t="s">
        <v>3076</v>
      </c>
      <c r="C116" s="311">
        <v>0.1</v>
      </c>
      <c r="D116" s="311">
        <v>0.1</v>
      </c>
      <c r="E116" s="322"/>
      <c r="F116" s="322"/>
      <c r="G116" s="312">
        <v>0.1</v>
      </c>
    </row>
    <row r="117" spans="1:7">
      <c r="A117" s="321" t="s">
        <v>266</v>
      </c>
      <c r="B117" s="310" t="s">
        <v>3083</v>
      </c>
      <c r="C117" s="311">
        <v>9.7000000000000003E-2</v>
      </c>
      <c r="D117" s="311">
        <v>9.7000000000000003E-2</v>
      </c>
      <c r="E117" s="322"/>
      <c r="F117" s="322"/>
      <c r="G117" s="312">
        <v>9.7000000000000003E-2</v>
      </c>
    </row>
    <row r="118" spans="1:7">
      <c r="A118" s="321" t="s">
        <v>266</v>
      </c>
      <c r="B118" s="310" t="s">
        <v>3090</v>
      </c>
      <c r="C118" s="311">
        <v>0.1</v>
      </c>
      <c r="D118" s="311">
        <v>0.1</v>
      </c>
      <c r="E118" s="322"/>
      <c r="F118" s="322"/>
      <c r="G118" s="312">
        <v>0.1</v>
      </c>
    </row>
    <row r="119" spans="1:7">
      <c r="A119" s="321" t="s">
        <v>266</v>
      </c>
      <c r="B119" s="310" t="s">
        <v>3095</v>
      </c>
      <c r="C119" s="311">
        <v>5.0999999999999997E-2</v>
      </c>
      <c r="D119" s="311">
        <v>5.1999999999999998E-2</v>
      </c>
      <c r="E119" s="322"/>
      <c r="F119" s="327"/>
      <c r="G119" s="312">
        <v>0.06</v>
      </c>
    </row>
    <row r="120" spans="1:7">
      <c r="A120" s="321" t="s">
        <v>266</v>
      </c>
      <c r="B120" s="310" t="s">
        <v>3100</v>
      </c>
      <c r="C120" s="322"/>
      <c r="D120" s="322"/>
      <c r="E120" s="322"/>
      <c r="F120" s="311">
        <v>0.1</v>
      </c>
      <c r="G120" s="328"/>
    </row>
    <row r="121" spans="1:7">
      <c r="A121" s="321" t="s">
        <v>266</v>
      </c>
      <c r="B121" s="310" t="s">
        <v>3105</v>
      </c>
      <c r="C121" s="322"/>
      <c r="D121" s="322"/>
      <c r="E121" s="322"/>
      <c r="F121" s="311">
        <v>0.1</v>
      </c>
      <c r="G121" s="328"/>
    </row>
    <row r="122" spans="1:7">
      <c r="A122" s="321" t="s">
        <v>266</v>
      </c>
      <c r="B122" s="310" t="s">
        <v>3110</v>
      </c>
      <c r="C122" s="311">
        <v>0.1</v>
      </c>
      <c r="D122" s="311">
        <v>0.1</v>
      </c>
      <c r="E122" s="311">
        <v>9.8000000000000004E-2</v>
      </c>
      <c r="F122" s="311">
        <v>0.1</v>
      </c>
      <c r="G122" s="312">
        <v>0.1</v>
      </c>
    </row>
    <row r="123" spans="1:7">
      <c r="A123" s="321" t="s">
        <v>266</v>
      </c>
      <c r="B123" s="310" t="s">
        <v>3115</v>
      </c>
      <c r="C123" s="311">
        <v>0.1</v>
      </c>
      <c r="D123" s="311">
        <v>0.1</v>
      </c>
      <c r="E123" s="311">
        <v>9.8000000000000004E-2</v>
      </c>
      <c r="F123" s="311">
        <v>0.1</v>
      </c>
      <c r="G123" s="312">
        <v>0.1</v>
      </c>
    </row>
    <row r="124" spans="1:7">
      <c r="A124" s="321" t="s">
        <v>266</v>
      </c>
      <c r="B124" s="310" t="s">
        <v>3120</v>
      </c>
      <c r="C124" s="311">
        <v>0.1</v>
      </c>
      <c r="D124" s="311">
        <v>0.1</v>
      </c>
      <c r="E124" s="311">
        <v>9.8000000000000004E-2</v>
      </c>
      <c r="F124" s="327"/>
      <c r="G124" s="312">
        <v>0.1</v>
      </c>
    </row>
    <row r="125" spans="1:7">
      <c r="A125" s="321" t="s">
        <v>266</v>
      </c>
      <c r="B125" s="310" t="s">
        <v>3125</v>
      </c>
      <c r="C125" s="311">
        <v>9.8000000000000004E-2</v>
      </c>
      <c r="D125" s="311">
        <v>9.8000000000000004E-2</v>
      </c>
      <c r="E125" s="311">
        <v>9.6000000000000002E-2</v>
      </c>
      <c r="F125" s="327"/>
      <c r="G125" s="312">
        <v>0.1</v>
      </c>
    </row>
    <row r="126" spans="1:7">
      <c r="A126" s="324" t="s">
        <v>266</v>
      </c>
      <c r="B126" s="314" t="s">
        <v>3129</v>
      </c>
      <c r="C126" s="315">
        <v>0.1</v>
      </c>
      <c r="D126" s="315">
        <v>0.1</v>
      </c>
      <c r="E126" s="315">
        <v>9.8000000000000004E-2</v>
      </c>
      <c r="F126" s="315">
        <v>0.1</v>
      </c>
      <c r="G126" s="317">
        <v>0.1</v>
      </c>
    </row>
    <row r="127" spans="1:7">
      <c r="A127" s="320" t="s">
        <v>272</v>
      </c>
      <c r="B127" s="306" t="s">
        <v>2797</v>
      </c>
      <c r="C127" s="307">
        <v>0.121</v>
      </c>
      <c r="D127" s="307">
        <v>0.121</v>
      </c>
      <c r="E127" s="307">
        <v>0.107</v>
      </c>
      <c r="F127" s="307">
        <v>0.13</v>
      </c>
      <c r="G127" s="308">
        <v>0.122</v>
      </c>
    </row>
    <row r="128" spans="1:7">
      <c r="A128" s="321" t="s">
        <v>272</v>
      </c>
      <c r="B128" s="310" t="s">
        <v>2810</v>
      </c>
      <c r="C128" s="311">
        <v>0.11600000000000001</v>
      </c>
      <c r="D128" s="311">
        <v>0.11700000000000001</v>
      </c>
      <c r="E128" s="311">
        <v>0.104</v>
      </c>
      <c r="F128" s="311">
        <v>0.13</v>
      </c>
      <c r="G128" s="312">
        <v>0.11700000000000001</v>
      </c>
    </row>
    <row r="129" spans="1:7">
      <c r="A129" s="321" t="s">
        <v>272</v>
      </c>
      <c r="B129" s="310" t="s">
        <v>2824</v>
      </c>
      <c r="C129" s="311">
        <v>0.107</v>
      </c>
      <c r="D129" s="311">
        <v>0.108</v>
      </c>
      <c r="E129" s="311">
        <v>0.1</v>
      </c>
      <c r="F129" s="311">
        <v>0.13</v>
      </c>
      <c r="G129" s="312">
        <v>0.11700000000000001</v>
      </c>
    </row>
    <row r="130" spans="1:7">
      <c r="A130" s="321" t="s">
        <v>272</v>
      </c>
      <c r="B130" s="310" t="s">
        <v>2836</v>
      </c>
      <c r="C130" s="311">
        <v>0.13</v>
      </c>
      <c r="D130" s="311">
        <v>0.13</v>
      </c>
      <c r="E130" s="311">
        <v>0.126</v>
      </c>
      <c r="F130" s="311">
        <v>0.13</v>
      </c>
      <c r="G130" s="312">
        <v>0.13</v>
      </c>
    </row>
    <row r="131" spans="1:7">
      <c r="A131" s="321" t="s">
        <v>272</v>
      </c>
      <c r="B131" s="310" t="s">
        <v>2848</v>
      </c>
      <c r="C131" s="311">
        <v>0.13</v>
      </c>
      <c r="D131" s="311">
        <v>0.13</v>
      </c>
      <c r="E131" s="311">
        <v>0.13</v>
      </c>
      <c r="F131" s="311">
        <v>0.13</v>
      </c>
      <c r="G131" s="312">
        <v>0.13</v>
      </c>
    </row>
    <row r="132" spans="1:7">
      <c r="A132" s="321" t="s">
        <v>272</v>
      </c>
      <c r="B132" s="310" t="s">
        <v>2859</v>
      </c>
      <c r="C132" s="311">
        <v>0.13</v>
      </c>
      <c r="D132" s="311">
        <v>0.13</v>
      </c>
      <c r="E132" s="311">
        <v>0.126</v>
      </c>
      <c r="F132" s="311">
        <v>0.13</v>
      </c>
      <c r="G132" s="312">
        <v>0.13</v>
      </c>
    </row>
    <row r="133" spans="1:7">
      <c r="A133" s="321" t="s">
        <v>272</v>
      </c>
      <c r="B133" s="310" t="s">
        <v>2870</v>
      </c>
      <c r="C133" s="311">
        <v>0.111</v>
      </c>
      <c r="D133" s="311">
        <v>0.111</v>
      </c>
      <c r="E133" s="311">
        <v>0.10199999999999999</v>
      </c>
      <c r="F133" s="311">
        <v>0.13</v>
      </c>
      <c r="G133" s="312">
        <v>0.121</v>
      </c>
    </row>
    <row r="134" spans="1:7">
      <c r="A134" s="321" t="s">
        <v>272</v>
      </c>
      <c r="B134" s="310" t="s">
        <v>2881</v>
      </c>
      <c r="C134" s="311">
        <v>0.121</v>
      </c>
      <c r="D134" s="311">
        <v>0.121</v>
      </c>
      <c r="E134" s="311">
        <v>0.1</v>
      </c>
      <c r="F134" s="311">
        <v>0.13</v>
      </c>
      <c r="G134" s="312">
        <v>0.123</v>
      </c>
    </row>
    <row r="135" spans="1:7">
      <c r="A135" s="321" t="s">
        <v>272</v>
      </c>
      <c r="B135" s="310" t="s">
        <v>2891</v>
      </c>
      <c r="C135" s="311">
        <v>0.105</v>
      </c>
      <c r="D135" s="311">
        <v>0.106</v>
      </c>
      <c r="E135" s="311">
        <v>0.1</v>
      </c>
      <c r="F135" s="311">
        <v>0.13</v>
      </c>
      <c r="G135" s="312">
        <v>0.115</v>
      </c>
    </row>
    <row r="136" spans="1:7">
      <c r="A136" s="321" t="s">
        <v>272</v>
      </c>
      <c r="B136" s="310" t="s">
        <v>2901</v>
      </c>
      <c r="C136" s="311">
        <v>0.127</v>
      </c>
      <c r="D136" s="311">
        <v>0.127</v>
      </c>
      <c r="E136" s="311">
        <v>0.121</v>
      </c>
      <c r="F136" s="311">
        <v>0.123</v>
      </c>
      <c r="G136" s="312">
        <v>0.129</v>
      </c>
    </row>
    <row r="137" spans="1:7">
      <c r="A137" s="321" t="s">
        <v>272</v>
      </c>
      <c r="B137" s="310" t="s">
        <v>2911</v>
      </c>
      <c r="C137" s="311">
        <v>0.13</v>
      </c>
      <c r="D137" s="311">
        <v>0.13</v>
      </c>
      <c r="E137" s="311">
        <v>0.129</v>
      </c>
      <c r="F137" s="311">
        <v>0.13</v>
      </c>
      <c r="G137" s="312">
        <v>0.13</v>
      </c>
    </row>
    <row r="138" spans="1:7">
      <c r="A138" s="321" t="s">
        <v>272</v>
      </c>
      <c r="B138" s="310" t="s">
        <v>2921</v>
      </c>
      <c r="C138" s="311">
        <v>0.13</v>
      </c>
      <c r="D138" s="311">
        <v>0.13</v>
      </c>
      <c r="E138" s="311">
        <v>0.125</v>
      </c>
      <c r="F138" s="311">
        <v>0.13</v>
      </c>
      <c r="G138" s="312">
        <v>0.13</v>
      </c>
    </row>
    <row r="139" spans="1:7">
      <c r="A139" s="321" t="s">
        <v>272</v>
      </c>
      <c r="B139" s="310" t="s">
        <v>2931</v>
      </c>
      <c r="C139" s="311">
        <v>0.13</v>
      </c>
      <c r="D139" s="311">
        <v>0.13</v>
      </c>
      <c r="E139" s="311">
        <v>0.126</v>
      </c>
      <c r="F139" s="311">
        <v>0.13</v>
      </c>
      <c r="G139" s="312">
        <v>0.13</v>
      </c>
    </row>
    <row r="140" spans="1:7">
      <c r="A140" s="321" t="s">
        <v>272</v>
      </c>
      <c r="B140" s="310" t="s">
        <v>2941</v>
      </c>
      <c r="C140" s="311">
        <v>0.1</v>
      </c>
      <c r="D140" s="311">
        <v>0.1</v>
      </c>
      <c r="E140" s="311">
        <v>0.1</v>
      </c>
      <c r="F140" s="311">
        <v>0.123</v>
      </c>
      <c r="G140" s="312">
        <v>0.107</v>
      </c>
    </row>
    <row r="141" spans="1:7">
      <c r="A141" s="321" t="s">
        <v>272</v>
      </c>
      <c r="B141" s="310" t="s">
        <v>2951</v>
      </c>
      <c r="C141" s="311">
        <v>0.127</v>
      </c>
      <c r="D141" s="311">
        <v>0.127</v>
      </c>
      <c r="E141" s="311">
        <v>0.122</v>
      </c>
      <c r="F141" s="311">
        <v>0.1</v>
      </c>
      <c r="G141" s="312">
        <v>0.129</v>
      </c>
    </row>
    <row r="142" spans="1:7">
      <c r="A142" s="321" t="s">
        <v>272</v>
      </c>
      <c r="B142" s="310" t="s">
        <v>2961</v>
      </c>
      <c r="C142" s="311">
        <v>0.121</v>
      </c>
      <c r="D142" s="311">
        <v>0.122</v>
      </c>
      <c r="E142" s="311">
        <v>0.1</v>
      </c>
      <c r="F142" s="311">
        <v>0.123</v>
      </c>
      <c r="G142" s="312">
        <v>0.123</v>
      </c>
    </row>
    <row r="143" spans="1:7">
      <c r="A143" s="321" t="s">
        <v>272</v>
      </c>
      <c r="B143" s="310" t="s">
        <v>2971</v>
      </c>
      <c r="C143" s="311">
        <v>0.1</v>
      </c>
      <c r="D143" s="311">
        <v>0.1</v>
      </c>
      <c r="E143" s="311">
        <v>0.1</v>
      </c>
      <c r="F143" s="311">
        <v>0.13</v>
      </c>
      <c r="G143" s="312">
        <v>0.1</v>
      </c>
    </row>
    <row r="144" spans="1:7">
      <c r="A144" s="321" t="s">
        <v>272</v>
      </c>
      <c r="B144" s="310" t="s">
        <v>2981</v>
      </c>
      <c r="C144" s="311">
        <v>0.106</v>
      </c>
      <c r="D144" s="311">
        <v>0.105</v>
      </c>
      <c r="E144" s="311">
        <v>0.1</v>
      </c>
      <c r="F144" s="311">
        <v>0.13</v>
      </c>
      <c r="G144" s="312">
        <v>0.11799999999999999</v>
      </c>
    </row>
    <row r="145" spans="1:7">
      <c r="A145" s="321" t="s">
        <v>272</v>
      </c>
      <c r="B145" s="310" t="s">
        <v>2991</v>
      </c>
      <c r="C145" s="311">
        <v>0.123</v>
      </c>
      <c r="D145" s="311">
        <v>0.123</v>
      </c>
      <c r="E145" s="311">
        <v>0.11700000000000001</v>
      </c>
      <c r="F145" s="311">
        <v>0.13</v>
      </c>
      <c r="G145" s="312">
        <v>0.126</v>
      </c>
    </row>
    <row r="146" spans="1:7">
      <c r="A146" s="321" t="s">
        <v>272</v>
      </c>
      <c r="B146" s="310" t="s">
        <v>3001</v>
      </c>
      <c r="C146" s="311">
        <v>0.127</v>
      </c>
      <c r="D146" s="311">
        <v>0.127</v>
      </c>
      <c r="E146" s="311">
        <v>0.12</v>
      </c>
      <c r="F146" s="322"/>
      <c r="G146" s="312">
        <v>0.129</v>
      </c>
    </row>
    <row r="147" spans="1:7">
      <c r="A147" s="321" t="s">
        <v>272</v>
      </c>
      <c r="B147" s="310" t="s">
        <v>3010</v>
      </c>
      <c r="C147" s="311">
        <v>0.13</v>
      </c>
      <c r="D147" s="311">
        <v>0.13</v>
      </c>
      <c r="E147" s="311">
        <v>0.126</v>
      </c>
      <c r="F147" s="322"/>
      <c r="G147" s="312">
        <v>0.13</v>
      </c>
    </row>
    <row r="148" spans="1:7">
      <c r="A148" s="321" t="s">
        <v>272</v>
      </c>
      <c r="B148" s="310" t="s">
        <v>3018</v>
      </c>
      <c r="C148" s="311">
        <v>0.13</v>
      </c>
      <c r="D148" s="311">
        <v>0.13</v>
      </c>
      <c r="E148" s="311">
        <v>0.13</v>
      </c>
      <c r="F148" s="322"/>
      <c r="G148" s="312">
        <v>0.13</v>
      </c>
    </row>
    <row r="149" spans="1:7">
      <c r="A149" s="321" t="s">
        <v>272</v>
      </c>
      <c r="B149" s="310" t="s">
        <v>3026</v>
      </c>
      <c r="C149" s="311">
        <v>0.13</v>
      </c>
      <c r="D149" s="311">
        <v>0.13</v>
      </c>
      <c r="E149" s="311">
        <v>0.13</v>
      </c>
      <c r="F149" s="311">
        <v>0.13</v>
      </c>
      <c r="G149" s="312">
        <v>0.13</v>
      </c>
    </row>
    <row r="150" spans="1:7">
      <c r="A150" s="321" t="s">
        <v>272</v>
      </c>
      <c r="B150" s="310" t="s">
        <v>3034</v>
      </c>
      <c r="C150" s="311">
        <v>0.13</v>
      </c>
      <c r="D150" s="311">
        <v>0.13</v>
      </c>
      <c r="E150" s="311">
        <v>0.127</v>
      </c>
      <c r="F150" s="311">
        <v>0.13</v>
      </c>
      <c r="G150" s="312">
        <v>0.13</v>
      </c>
    </row>
    <row r="151" spans="1:7">
      <c r="A151" s="321" t="s">
        <v>272</v>
      </c>
      <c r="B151" s="310" t="s">
        <v>3042</v>
      </c>
      <c r="C151" s="311">
        <v>0.13</v>
      </c>
      <c r="D151" s="311">
        <v>0.13</v>
      </c>
      <c r="E151" s="311">
        <v>0.13</v>
      </c>
      <c r="F151" s="311">
        <v>0.13</v>
      </c>
      <c r="G151" s="312">
        <v>0.13</v>
      </c>
    </row>
    <row r="152" spans="1:7">
      <c r="A152" s="321" t="s">
        <v>272</v>
      </c>
      <c r="B152" s="310" t="s">
        <v>3049</v>
      </c>
      <c r="C152" s="311">
        <v>0.13</v>
      </c>
      <c r="D152" s="311">
        <v>0.13</v>
      </c>
      <c r="E152" s="311">
        <v>0.13</v>
      </c>
      <c r="F152" s="311">
        <v>0.13</v>
      </c>
      <c r="G152" s="312">
        <v>0.13</v>
      </c>
    </row>
    <row r="153" spans="1:7">
      <c r="A153" s="321" t="s">
        <v>272</v>
      </c>
      <c r="B153" s="310" t="s">
        <v>3056</v>
      </c>
      <c r="C153" s="311">
        <v>0.13</v>
      </c>
      <c r="D153" s="311">
        <v>0.13</v>
      </c>
      <c r="E153" s="311">
        <v>0.13</v>
      </c>
      <c r="F153" s="311">
        <v>0.13</v>
      </c>
      <c r="G153" s="312">
        <v>0.13</v>
      </c>
    </row>
    <row r="154" spans="1:7">
      <c r="A154" s="321" t="s">
        <v>272</v>
      </c>
      <c r="B154" s="310" t="s">
        <v>3063</v>
      </c>
      <c r="C154" s="311">
        <v>0.121</v>
      </c>
      <c r="D154" s="311">
        <v>0.121</v>
      </c>
      <c r="E154" s="311">
        <v>0.105</v>
      </c>
      <c r="F154" s="311">
        <v>0.121</v>
      </c>
      <c r="G154" s="312">
        <v>0.123</v>
      </c>
    </row>
    <row r="155" spans="1:7">
      <c r="A155" s="321" t="s">
        <v>272</v>
      </c>
      <c r="B155" s="310" t="s">
        <v>3070</v>
      </c>
      <c r="C155" s="311">
        <v>0.1</v>
      </c>
      <c r="D155" s="311">
        <v>0.1</v>
      </c>
      <c r="E155" s="311">
        <v>0.1</v>
      </c>
      <c r="F155" s="311">
        <v>0.1</v>
      </c>
      <c r="G155" s="312">
        <v>0.1</v>
      </c>
    </row>
    <row r="156" spans="1:7">
      <c r="A156" s="321" t="s">
        <v>272</v>
      </c>
      <c r="B156" s="310" t="s">
        <v>3077</v>
      </c>
      <c r="C156" s="311">
        <v>0.13</v>
      </c>
      <c r="D156" s="311">
        <v>0.13</v>
      </c>
      <c r="E156" s="311">
        <v>0.13</v>
      </c>
      <c r="F156" s="311">
        <v>0.13</v>
      </c>
      <c r="G156" s="312">
        <v>0.13</v>
      </c>
    </row>
    <row r="157" spans="1:7">
      <c r="A157" s="321" t="s">
        <v>272</v>
      </c>
      <c r="B157" s="310" t="s">
        <v>3084</v>
      </c>
      <c r="C157" s="311">
        <v>0.13</v>
      </c>
      <c r="D157" s="311">
        <v>0.13</v>
      </c>
      <c r="E157" s="311">
        <v>0.125</v>
      </c>
      <c r="F157" s="311">
        <v>0.13</v>
      </c>
      <c r="G157" s="312">
        <v>0.13</v>
      </c>
    </row>
    <row r="158" spans="1:7">
      <c r="A158" s="321" t="s">
        <v>272</v>
      </c>
      <c r="B158" s="310" t="s">
        <v>3091</v>
      </c>
      <c r="C158" s="311">
        <v>0.124</v>
      </c>
      <c r="D158" s="311">
        <v>0.124</v>
      </c>
      <c r="E158" s="311">
        <v>0.11700000000000001</v>
      </c>
      <c r="F158" s="311">
        <v>0.121</v>
      </c>
      <c r="G158" s="312">
        <v>0.124</v>
      </c>
    </row>
    <row r="159" spans="1:7">
      <c r="A159" s="321" t="s">
        <v>272</v>
      </c>
      <c r="B159" s="310" t="s">
        <v>3096</v>
      </c>
      <c r="C159" s="311">
        <v>0.127</v>
      </c>
      <c r="D159" s="311">
        <v>0.127</v>
      </c>
      <c r="E159" s="311">
        <v>0.122</v>
      </c>
      <c r="F159" s="311">
        <v>0.13</v>
      </c>
      <c r="G159" s="312">
        <v>0.129</v>
      </c>
    </row>
    <row r="160" spans="1:7">
      <c r="A160" s="321" t="s">
        <v>272</v>
      </c>
      <c r="B160" s="310" t="s">
        <v>3101</v>
      </c>
      <c r="C160" s="311">
        <v>0.13</v>
      </c>
      <c r="D160" s="311">
        <v>0.13</v>
      </c>
      <c r="E160" s="311">
        <v>0.124</v>
      </c>
      <c r="F160" s="311">
        <v>0.126</v>
      </c>
      <c r="G160" s="312">
        <v>0.13</v>
      </c>
    </row>
    <row r="161" spans="1:7">
      <c r="A161" s="321" t="s">
        <v>272</v>
      </c>
      <c r="B161" s="310" t="s">
        <v>3106</v>
      </c>
      <c r="C161" s="311">
        <v>0.13</v>
      </c>
      <c r="D161" s="311">
        <v>0.13</v>
      </c>
      <c r="E161" s="311">
        <v>0.124</v>
      </c>
      <c r="F161" s="311">
        <v>0.127</v>
      </c>
      <c r="G161" s="312">
        <v>0.13</v>
      </c>
    </row>
    <row r="162" spans="1:7">
      <c r="A162" s="321" t="s">
        <v>272</v>
      </c>
      <c r="B162" s="310" t="s">
        <v>3111</v>
      </c>
      <c r="C162" s="311">
        <v>0.1</v>
      </c>
      <c r="D162" s="311">
        <v>0.1</v>
      </c>
      <c r="E162" s="311">
        <v>0.1</v>
      </c>
      <c r="F162" s="311">
        <v>0.121</v>
      </c>
      <c r="G162" s="312">
        <v>0.105</v>
      </c>
    </row>
    <row r="163" spans="1:7">
      <c r="A163" s="321" t="s">
        <v>272</v>
      </c>
      <c r="B163" s="310" t="s">
        <v>3116</v>
      </c>
      <c r="C163" s="311">
        <v>0.1</v>
      </c>
      <c r="D163" s="311">
        <v>0.1</v>
      </c>
      <c r="E163" s="311">
        <v>0.1</v>
      </c>
      <c r="F163" s="311">
        <v>0.1</v>
      </c>
      <c r="G163" s="312">
        <v>0.1</v>
      </c>
    </row>
    <row r="164" spans="1:7">
      <c r="A164" s="321" t="s">
        <v>272</v>
      </c>
      <c r="B164" s="310" t="s">
        <v>3121</v>
      </c>
      <c r="C164" s="327"/>
      <c r="D164" s="327"/>
      <c r="E164" s="327"/>
      <c r="F164" s="311">
        <v>0.1</v>
      </c>
      <c r="G164" s="323"/>
    </row>
    <row r="165" spans="1:7">
      <c r="A165" s="321" t="s">
        <v>272</v>
      </c>
      <c r="B165" s="310" t="s">
        <v>500</v>
      </c>
      <c r="C165" s="311">
        <v>0.126</v>
      </c>
      <c r="D165" s="311">
        <v>0.126</v>
      </c>
      <c r="E165" s="311">
        <v>0.11899999999999999</v>
      </c>
      <c r="F165" s="311">
        <v>0.13</v>
      </c>
      <c r="G165" s="312">
        <v>0.128</v>
      </c>
    </row>
    <row r="166" spans="1:7">
      <c r="A166" s="321" t="s">
        <v>272</v>
      </c>
      <c r="B166" s="310" t="s">
        <v>3130</v>
      </c>
      <c r="C166" s="311">
        <v>0.129</v>
      </c>
      <c r="D166" s="311">
        <v>0.129</v>
      </c>
      <c r="E166" s="311">
        <v>0.123</v>
      </c>
      <c r="F166" s="311">
        <v>0.128</v>
      </c>
      <c r="G166" s="312">
        <v>0.13</v>
      </c>
    </row>
    <row r="167" spans="1:7">
      <c r="A167" s="321" t="s">
        <v>272</v>
      </c>
      <c r="B167" s="310" t="s">
        <v>3134</v>
      </c>
      <c r="C167" s="311">
        <v>0.125</v>
      </c>
      <c r="D167" s="311">
        <v>0.125</v>
      </c>
      <c r="E167" s="311">
        <v>0.11700000000000001</v>
      </c>
      <c r="F167" s="311">
        <v>0.13</v>
      </c>
      <c r="G167" s="312">
        <v>0.126</v>
      </c>
    </row>
    <row r="168" spans="1:7">
      <c r="A168" s="321" t="s">
        <v>272</v>
      </c>
      <c r="B168" s="310" t="s">
        <v>3138</v>
      </c>
      <c r="C168" s="311">
        <v>0.128</v>
      </c>
      <c r="D168" s="311">
        <v>0.128</v>
      </c>
      <c r="E168" s="311">
        <v>0.123</v>
      </c>
      <c r="F168" s="322"/>
      <c r="G168" s="312">
        <v>0.13</v>
      </c>
    </row>
    <row r="169" spans="1:7">
      <c r="A169" s="321" t="s">
        <v>272</v>
      </c>
      <c r="B169" s="310" t="s">
        <v>3142</v>
      </c>
      <c r="C169" s="327"/>
      <c r="D169" s="327"/>
      <c r="E169" s="327"/>
      <c r="F169" s="311">
        <v>0.05</v>
      </c>
      <c r="G169" s="323"/>
    </row>
    <row r="170" spans="1:7">
      <c r="A170" s="321" t="s">
        <v>272</v>
      </c>
      <c r="B170" s="310" t="s">
        <v>3146</v>
      </c>
      <c r="C170" s="327"/>
      <c r="D170" s="327"/>
      <c r="E170" s="327"/>
      <c r="F170" s="311">
        <v>0.05</v>
      </c>
      <c r="G170" s="323"/>
    </row>
    <row r="171" spans="1:7">
      <c r="A171" s="321" t="s">
        <v>272</v>
      </c>
      <c r="B171" s="310" t="s">
        <v>3149</v>
      </c>
      <c r="C171" s="327"/>
      <c r="D171" s="327"/>
      <c r="E171" s="327"/>
      <c r="F171" s="311">
        <v>0.05</v>
      </c>
      <c r="G171" s="328"/>
    </row>
    <row r="172" spans="1:7">
      <c r="A172" s="321" t="s">
        <v>272</v>
      </c>
      <c r="B172" s="310" t="s">
        <v>3151</v>
      </c>
      <c r="C172" s="327"/>
      <c r="D172" s="327"/>
      <c r="E172" s="327"/>
      <c r="F172" s="311">
        <v>0.05</v>
      </c>
      <c r="G172" s="328"/>
    </row>
    <row r="173" spans="1:7">
      <c r="A173" s="321" t="s">
        <v>272</v>
      </c>
      <c r="B173" s="310" t="s">
        <v>3153</v>
      </c>
      <c r="C173" s="327"/>
      <c r="D173" s="327"/>
      <c r="E173" s="327"/>
      <c r="F173" s="311">
        <v>0.05</v>
      </c>
      <c r="G173" s="323"/>
    </row>
    <row r="174" spans="1:7">
      <c r="A174" s="321" t="s">
        <v>272</v>
      </c>
      <c r="B174" s="310" t="s">
        <v>3155</v>
      </c>
      <c r="C174" s="327"/>
      <c r="D174" s="327"/>
      <c r="E174" s="327"/>
      <c r="F174" s="311">
        <v>0.05</v>
      </c>
      <c r="G174" s="323"/>
    </row>
    <row r="175" spans="1:7">
      <c r="A175" s="321" t="s">
        <v>272</v>
      </c>
      <c r="B175" s="310" t="s">
        <v>3157</v>
      </c>
      <c r="C175" s="327"/>
      <c r="D175" s="327"/>
      <c r="E175" s="327"/>
      <c r="F175" s="311">
        <v>0.05</v>
      </c>
      <c r="G175" s="323"/>
    </row>
    <row r="176" spans="1:7">
      <c r="A176" s="321" t="s">
        <v>272</v>
      </c>
      <c r="B176" s="310" t="s">
        <v>3159</v>
      </c>
      <c r="C176" s="327"/>
      <c r="D176" s="327"/>
      <c r="E176" s="327"/>
      <c r="F176" s="311">
        <v>0.05</v>
      </c>
      <c r="G176" s="323"/>
    </row>
    <row r="177" spans="1:7">
      <c r="A177" s="321" t="s">
        <v>272</v>
      </c>
      <c r="B177" s="310" t="s">
        <v>3161</v>
      </c>
      <c r="C177" s="322"/>
      <c r="D177" s="322"/>
      <c r="E177" s="322"/>
      <c r="F177" s="311">
        <v>0.05</v>
      </c>
      <c r="G177" s="328"/>
    </row>
    <row r="178" spans="1:7">
      <c r="A178" s="321" t="s">
        <v>272</v>
      </c>
      <c r="B178" s="310" t="s">
        <v>3162</v>
      </c>
      <c r="C178" s="322"/>
      <c r="D178" s="322"/>
      <c r="E178" s="322"/>
      <c r="F178" s="311">
        <v>0.05</v>
      </c>
      <c r="G178" s="328"/>
    </row>
    <row r="179" spans="1:7">
      <c r="A179" s="321" t="s">
        <v>272</v>
      </c>
      <c r="B179" s="310" t="s">
        <v>3163</v>
      </c>
      <c r="C179" s="322"/>
      <c r="D179" s="322"/>
      <c r="E179" s="322"/>
      <c r="F179" s="311">
        <v>0.05</v>
      </c>
      <c r="G179" s="328"/>
    </row>
    <row r="180" spans="1:7">
      <c r="A180" s="321" t="s">
        <v>272</v>
      </c>
      <c r="B180" s="310" t="s">
        <v>3164</v>
      </c>
      <c r="C180" s="322"/>
      <c r="D180" s="322"/>
      <c r="E180" s="322"/>
      <c r="F180" s="311">
        <v>0.05</v>
      </c>
      <c r="G180" s="328"/>
    </row>
    <row r="181" spans="1:7">
      <c r="A181" s="321" t="s">
        <v>272</v>
      </c>
      <c r="B181" s="310" t="s">
        <v>3165</v>
      </c>
      <c r="C181" s="322"/>
      <c r="D181" s="322"/>
      <c r="E181" s="322"/>
      <c r="F181" s="311">
        <v>0.05</v>
      </c>
      <c r="G181" s="328"/>
    </row>
    <row r="182" spans="1:7">
      <c r="A182" s="321" t="s">
        <v>272</v>
      </c>
      <c r="B182" s="310" t="s">
        <v>3166</v>
      </c>
      <c r="C182" s="322"/>
      <c r="D182" s="322"/>
      <c r="E182" s="322"/>
      <c r="F182" s="311">
        <v>0.05</v>
      </c>
      <c r="G182" s="328"/>
    </row>
    <row r="183" spans="1:7">
      <c r="A183" s="321" t="s">
        <v>272</v>
      </c>
      <c r="B183" s="310" t="s">
        <v>3167</v>
      </c>
      <c r="C183" s="322"/>
      <c r="D183" s="322"/>
      <c r="E183" s="322"/>
      <c r="F183" s="311">
        <v>0.05</v>
      </c>
      <c r="G183" s="328"/>
    </row>
    <row r="184" spans="1:7">
      <c r="A184" s="321" t="s">
        <v>272</v>
      </c>
      <c r="B184" s="310" t="s">
        <v>3168</v>
      </c>
      <c r="C184" s="322"/>
      <c r="D184" s="322"/>
      <c r="E184" s="322"/>
      <c r="F184" s="311">
        <v>0.05</v>
      </c>
      <c r="G184" s="328"/>
    </row>
    <row r="185" spans="1:7">
      <c r="A185" s="321" t="s">
        <v>272</v>
      </c>
      <c r="B185" s="310" t="s">
        <v>3169</v>
      </c>
      <c r="C185" s="322"/>
      <c r="D185" s="322"/>
      <c r="E185" s="322"/>
      <c r="F185" s="311">
        <v>0.05</v>
      </c>
      <c r="G185" s="328"/>
    </row>
    <row r="186" spans="1:7">
      <c r="A186" s="321" t="s">
        <v>272</v>
      </c>
      <c r="B186" s="310" t="s">
        <v>3170</v>
      </c>
      <c r="C186" s="322"/>
      <c r="D186" s="322"/>
      <c r="E186" s="322"/>
      <c r="F186" s="311">
        <v>0.05</v>
      </c>
      <c r="G186" s="328"/>
    </row>
    <row r="187" spans="1:7">
      <c r="A187" s="321" t="s">
        <v>272</v>
      </c>
      <c r="B187" s="310" t="s">
        <v>3171</v>
      </c>
      <c r="C187" s="322"/>
      <c r="D187" s="322"/>
      <c r="E187" s="322"/>
      <c r="F187" s="311">
        <v>0.05</v>
      </c>
      <c r="G187" s="328"/>
    </row>
    <row r="188" spans="1:7">
      <c r="A188" s="321" t="s">
        <v>272</v>
      </c>
      <c r="B188" s="310" t="s">
        <v>501</v>
      </c>
      <c r="C188" s="322"/>
      <c r="D188" s="322"/>
      <c r="E188" s="322"/>
      <c r="F188" s="311">
        <v>0.05</v>
      </c>
      <c r="G188" s="328"/>
    </row>
    <row r="189" spans="1:7">
      <c r="A189" s="324" t="s">
        <v>272</v>
      </c>
      <c r="B189" s="314" t="s">
        <v>3172</v>
      </c>
      <c r="C189" s="316"/>
      <c r="D189" s="316"/>
      <c r="E189" s="316"/>
      <c r="F189" s="315">
        <v>0.05</v>
      </c>
      <c r="G189" s="329"/>
    </row>
    <row r="190" spans="1:7">
      <c r="A190" s="320" t="s">
        <v>277</v>
      </c>
      <c r="B190" s="306" t="s">
        <v>2798</v>
      </c>
      <c r="C190" s="307">
        <v>0.124</v>
      </c>
      <c r="D190" s="307">
        <v>0.124</v>
      </c>
      <c r="E190" s="307">
        <v>0.129</v>
      </c>
      <c r="F190" s="307">
        <v>0.13</v>
      </c>
      <c r="G190" s="308">
        <v>0.127</v>
      </c>
    </row>
    <row r="191" spans="1:7">
      <c r="A191" s="321" t="s">
        <v>277</v>
      </c>
      <c r="B191" s="310" t="s">
        <v>2811</v>
      </c>
      <c r="C191" s="311">
        <v>0.13</v>
      </c>
      <c r="D191" s="311">
        <v>0.13</v>
      </c>
      <c r="E191" s="311">
        <v>0.13</v>
      </c>
      <c r="F191" s="311">
        <v>0.13</v>
      </c>
      <c r="G191" s="312">
        <v>0.13</v>
      </c>
    </row>
    <row r="192" spans="1:7">
      <c r="A192" s="321" t="s">
        <v>277</v>
      </c>
      <c r="B192" s="310" t="s">
        <v>2825</v>
      </c>
      <c r="C192" s="311">
        <v>0.13</v>
      </c>
      <c r="D192" s="311">
        <v>0.13</v>
      </c>
      <c r="E192" s="311">
        <v>0.13</v>
      </c>
      <c r="F192" s="311">
        <v>0.13</v>
      </c>
      <c r="G192" s="312">
        <v>0.13</v>
      </c>
    </row>
    <row r="193" spans="1:7">
      <c r="A193" s="321" t="s">
        <v>277</v>
      </c>
      <c r="B193" s="310" t="s">
        <v>2837</v>
      </c>
      <c r="C193" s="311">
        <v>0.13</v>
      </c>
      <c r="D193" s="311">
        <v>0.13</v>
      </c>
      <c r="E193" s="311">
        <v>0.13</v>
      </c>
      <c r="F193" s="311">
        <v>0.13</v>
      </c>
      <c r="G193" s="312">
        <v>0.13</v>
      </c>
    </row>
    <row r="194" spans="1:7">
      <c r="A194" s="321" t="s">
        <v>277</v>
      </c>
      <c r="B194" s="310" t="s">
        <v>2849</v>
      </c>
      <c r="C194" s="311">
        <v>0.123</v>
      </c>
      <c r="D194" s="311">
        <v>0.123</v>
      </c>
      <c r="E194" s="311">
        <v>0.128</v>
      </c>
      <c r="F194" s="311">
        <v>0.13</v>
      </c>
      <c r="G194" s="312">
        <v>0.126</v>
      </c>
    </row>
    <row r="195" spans="1:7">
      <c r="A195" s="321" t="s">
        <v>277</v>
      </c>
      <c r="B195" s="310" t="s">
        <v>2860</v>
      </c>
      <c r="C195" s="311">
        <v>0.127</v>
      </c>
      <c r="D195" s="311">
        <v>0.127</v>
      </c>
      <c r="E195" s="311">
        <v>0.121</v>
      </c>
      <c r="F195" s="311">
        <v>0.129</v>
      </c>
      <c r="G195" s="312">
        <v>0.129</v>
      </c>
    </row>
    <row r="196" spans="1:7">
      <c r="A196" s="321" t="s">
        <v>277</v>
      </c>
      <c r="B196" s="310" t="s">
        <v>2871</v>
      </c>
      <c r="C196" s="311">
        <v>0.127</v>
      </c>
      <c r="D196" s="311">
        <v>0.128</v>
      </c>
      <c r="E196" s="311">
        <v>0.122</v>
      </c>
      <c r="F196" s="311">
        <v>0.13</v>
      </c>
      <c r="G196" s="312">
        <v>0.129</v>
      </c>
    </row>
    <row r="197" spans="1:7">
      <c r="A197" s="321" t="s">
        <v>277</v>
      </c>
      <c r="B197" s="310" t="s">
        <v>2882</v>
      </c>
      <c r="C197" s="311">
        <v>0.126</v>
      </c>
      <c r="D197" s="311">
        <v>0.126</v>
      </c>
      <c r="E197" s="311">
        <v>0.11899999999999999</v>
      </c>
      <c r="F197" s="311">
        <v>0.13</v>
      </c>
      <c r="G197" s="312">
        <v>0.128</v>
      </c>
    </row>
    <row r="198" spans="1:7">
      <c r="A198" s="321" t="s">
        <v>277</v>
      </c>
      <c r="B198" s="310" t="s">
        <v>2892</v>
      </c>
      <c r="C198" s="311">
        <v>0.13</v>
      </c>
      <c r="D198" s="311">
        <v>0.13</v>
      </c>
      <c r="E198" s="311">
        <v>0.126</v>
      </c>
      <c r="F198" s="327"/>
      <c r="G198" s="312">
        <v>0.13</v>
      </c>
    </row>
    <row r="199" spans="1:7">
      <c r="A199" s="321" t="s">
        <v>277</v>
      </c>
      <c r="B199" s="310" t="s">
        <v>2902</v>
      </c>
      <c r="C199" s="311">
        <v>0.13</v>
      </c>
      <c r="D199" s="311">
        <v>0.13</v>
      </c>
      <c r="E199" s="311">
        <v>0.13</v>
      </c>
      <c r="F199" s="311">
        <v>0.13</v>
      </c>
      <c r="G199" s="312">
        <v>0.13</v>
      </c>
    </row>
    <row r="200" spans="1:7">
      <c r="A200" s="321" t="s">
        <v>277</v>
      </c>
      <c r="B200" s="310" t="s">
        <v>2912</v>
      </c>
      <c r="C200" s="327"/>
      <c r="D200" s="327"/>
      <c r="E200" s="327"/>
      <c r="F200" s="311">
        <v>0.13</v>
      </c>
      <c r="G200" s="323"/>
    </row>
    <row r="201" spans="1:7">
      <c r="A201" s="321" t="s">
        <v>277</v>
      </c>
      <c r="B201" s="310" t="s">
        <v>2922</v>
      </c>
      <c r="C201" s="311">
        <v>0.13</v>
      </c>
      <c r="D201" s="311">
        <v>0.13</v>
      </c>
      <c r="E201" s="311">
        <v>0.13</v>
      </c>
      <c r="F201" s="311">
        <v>0.129</v>
      </c>
      <c r="G201" s="312">
        <v>0.13</v>
      </c>
    </row>
    <row r="202" spans="1:7">
      <c r="A202" s="321" t="s">
        <v>277</v>
      </c>
      <c r="B202" s="310" t="s">
        <v>2932</v>
      </c>
      <c r="C202" s="311">
        <v>0.13</v>
      </c>
      <c r="D202" s="311">
        <v>0.13</v>
      </c>
      <c r="E202" s="311">
        <v>0.13</v>
      </c>
      <c r="F202" s="311">
        <v>0.13</v>
      </c>
      <c r="G202" s="312">
        <v>0.13</v>
      </c>
    </row>
    <row r="203" spans="1:7">
      <c r="A203" s="321" t="s">
        <v>277</v>
      </c>
      <c r="B203" s="310" t="s">
        <v>2942</v>
      </c>
      <c r="C203" s="311">
        <v>0.129</v>
      </c>
      <c r="D203" s="311">
        <v>0.129</v>
      </c>
      <c r="E203" s="311">
        <v>0.13</v>
      </c>
      <c r="F203" s="311">
        <v>0.13</v>
      </c>
      <c r="G203" s="312">
        <v>0.13</v>
      </c>
    </row>
    <row r="204" spans="1:7">
      <c r="A204" s="321" t="s">
        <v>277</v>
      </c>
      <c r="B204" s="310" t="s">
        <v>2952</v>
      </c>
      <c r="C204" s="311">
        <v>0.129</v>
      </c>
      <c r="D204" s="311">
        <v>0.129</v>
      </c>
      <c r="E204" s="311">
        <v>0.123</v>
      </c>
      <c r="F204" s="311">
        <v>0.13</v>
      </c>
      <c r="G204" s="312">
        <v>0.13</v>
      </c>
    </row>
    <row r="205" spans="1:7">
      <c r="A205" s="321" t="s">
        <v>277</v>
      </c>
      <c r="B205" s="310" t="s">
        <v>2962</v>
      </c>
      <c r="C205" s="311">
        <v>0.13</v>
      </c>
      <c r="D205" s="311">
        <v>0.13</v>
      </c>
      <c r="E205" s="311">
        <v>0.13</v>
      </c>
      <c r="F205" s="311">
        <v>0.13</v>
      </c>
      <c r="G205" s="312">
        <v>0.13</v>
      </c>
    </row>
    <row r="206" spans="1:7">
      <c r="A206" s="321" t="s">
        <v>277</v>
      </c>
      <c r="B206" s="310" t="s">
        <v>2972</v>
      </c>
      <c r="C206" s="311">
        <v>0.13</v>
      </c>
      <c r="D206" s="311">
        <v>0.13</v>
      </c>
      <c r="E206" s="311">
        <v>0.13</v>
      </c>
      <c r="F206" s="311">
        <v>0.128</v>
      </c>
      <c r="G206" s="312">
        <v>0.13</v>
      </c>
    </row>
    <row r="207" spans="1:7">
      <c r="A207" s="321" t="s">
        <v>277</v>
      </c>
      <c r="B207" s="310" t="s">
        <v>2982</v>
      </c>
      <c r="C207" s="311">
        <v>0.13</v>
      </c>
      <c r="D207" s="311">
        <v>0.13</v>
      </c>
      <c r="E207" s="311">
        <v>0.13</v>
      </c>
      <c r="F207" s="311">
        <v>0.13</v>
      </c>
      <c r="G207" s="312">
        <v>0.13</v>
      </c>
    </row>
    <row r="208" spans="1:7">
      <c r="A208" s="321" t="s">
        <v>277</v>
      </c>
      <c r="B208" s="310" t="s">
        <v>2992</v>
      </c>
      <c r="C208" s="311">
        <v>0.13</v>
      </c>
      <c r="D208" s="311">
        <v>0.13</v>
      </c>
      <c r="E208" s="311">
        <v>0.13</v>
      </c>
      <c r="F208" s="311">
        <v>0.13</v>
      </c>
      <c r="G208" s="312">
        <v>0.13</v>
      </c>
    </row>
    <row r="209" spans="1:7">
      <c r="A209" s="321" t="s">
        <v>277</v>
      </c>
      <c r="B209" s="310" t="s">
        <v>3002</v>
      </c>
      <c r="C209" s="311">
        <v>0.13</v>
      </c>
      <c r="D209" s="311">
        <v>0.13</v>
      </c>
      <c r="E209" s="311">
        <v>0.13</v>
      </c>
      <c r="F209" s="311">
        <v>0.13</v>
      </c>
      <c r="G209" s="312">
        <v>0.13</v>
      </c>
    </row>
    <row r="210" spans="1:7">
      <c r="A210" s="321" t="s">
        <v>277</v>
      </c>
      <c r="B210" s="310" t="s">
        <v>3011</v>
      </c>
      <c r="C210" s="311">
        <v>0.121</v>
      </c>
      <c r="D210" s="311">
        <v>0.121</v>
      </c>
      <c r="E210" s="311">
        <v>0.125</v>
      </c>
      <c r="F210" s="311">
        <v>0.13</v>
      </c>
      <c r="G210" s="312">
        <v>0.123</v>
      </c>
    </row>
    <row r="211" spans="1:7">
      <c r="A211" s="321" t="s">
        <v>277</v>
      </c>
      <c r="B211" s="310" t="s">
        <v>3019</v>
      </c>
      <c r="C211" s="311">
        <v>0.123</v>
      </c>
      <c r="D211" s="311">
        <v>0.123</v>
      </c>
      <c r="E211" s="311">
        <v>0.127</v>
      </c>
      <c r="F211" s="311">
        <v>0.115</v>
      </c>
      <c r="G211" s="312">
        <v>0.126</v>
      </c>
    </row>
    <row r="212" spans="1:7">
      <c r="A212" s="321" t="s">
        <v>277</v>
      </c>
      <c r="B212" s="310" t="s">
        <v>3027</v>
      </c>
      <c r="C212" s="311">
        <v>0.126</v>
      </c>
      <c r="D212" s="311">
        <v>0.126</v>
      </c>
      <c r="E212" s="311">
        <v>0.13</v>
      </c>
      <c r="F212" s="311">
        <v>0.13</v>
      </c>
      <c r="G212" s="312">
        <v>0.129</v>
      </c>
    </row>
    <row r="213" spans="1:7">
      <c r="A213" s="321" t="s">
        <v>277</v>
      </c>
      <c r="B213" s="310" t="s">
        <v>3035</v>
      </c>
      <c r="C213" s="311">
        <v>0.129</v>
      </c>
      <c r="D213" s="311">
        <v>0.13</v>
      </c>
      <c r="E213" s="311">
        <v>0.127</v>
      </c>
      <c r="F213" s="311">
        <v>0.13</v>
      </c>
      <c r="G213" s="312">
        <v>0.13</v>
      </c>
    </row>
    <row r="214" spans="1:7">
      <c r="A214" s="321" t="s">
        <v>277</v>
      </c>
      <c r="B214" s="310" t="s">
        <v>3043</v>
      </c>
      <c r="C214" s="311">
        <v>0.128</v>
      </c>
      <c r="D214" s="311">
        <v>0.128</v>
      </c>
      <c r="E214" s="311">
        <v>0.13</v>
      </c>
      <c r="F214" s="311">
        <v>0.13</v>
      </c>
      <c r="G214" s="312">
        <v>0.13</v>
      </c>
    </row>
    <row r="215" spans="1:7">
      <c r="A215" s="321" t="s">
        <v>277</v>
      </c>
      <c r="B215" s="310" t="s">
        <v>3050</v>
      </c>
      <c r="C215" s="311">
        <v>0.13</v>
      </c>
      <c r="D215" s="311">
        <v>0.13</v>
      </c>
      <c r="E215" s="311">
        <v>0.13</v>
      </c>
      <c r="F215" s="311">
        <v>0.129</v>
      </c>
      <c r="G215" s="312">
        <v>0.13</v>
      </c>
    </row>
    <row r="216" spans="1:7">
      <c r="A216" s="321" t="s">
        <v>277</v>
      </c>
      <c r="B216" s="310" t="s">
        <v>3057</v>
      </c>
      <c r="C216" s="311">
        <v>0.13</v>
      </c>
      <c r="D216" s="311">
        <v>0.13</v>
      </c>
      <c r="E216" s="311">
        <v>0.13</v>
      </c>
      <c r="F216" s="311">
        <v>0.13</v>
      </c>
      <c r="G216" s="312">
        <v>0.13</v>
      </c>
    </row>
    <row r="217" spans="1:7">
      <c r="A217" s="321" t="s">
        <v>277</v>
      </c>
      <c r="B217" s="310" t="s">
        <v>3064</v>
      </c>
      <c r="C217" s="311">
        <v>0.129</v>
      </c>
      <c r="D217" s="311">
        <v>0.129</v>
      </c>
      <c r="E217" s="311">
        <v>0.13</v>
      </c>
      <c r="F217" s="311">
        <v>0.13</v>
      </c>
      <c r="G217" s="312">
        <v>0.13</v>
      </c>
    </row>
    <row r="218" spans="1:7">
      <c r="A218" s="321" t="s">
        <v>277</v>
      </c>
      <c r="B218" s="310" t="s">
        <v>3071</v>
      </c>
      <c r="C218" s="322"/>
      <c r="D218" s="322"/>
      <c r="E218" s="322"/>
      <c r="F218" s="311">
        <v>0.05</v>
      </c>
      <c r="G218" s="328"/>
    </row>
    <row r="219" spans="1:7">
      <c r="A219" s="321" t="s">
        <v>277</v>
      </c>
      <c r="B219" s="310" t="s">
        <v>3078</v>
      </c>
      <c r="C219" s="322"/>
      <c r="D219" s="322"/>
      <c r="E219" s="322"/>
      <c r="F219" s="311">
        <v>0.05</v>
      </c>
      <c r="G219" s="328"/>
    </row>
    <row r="220" spans="1:7">
      <c r="A220" s="321" t="s">
        <v>277</v>
      </c>
      <c r="B220" s="310" t="s">
        <v>3085</v>
      </c>
      <c r="C220" s="322"/>
      <c r="D220" s="322"/>
      <c r="E220" s="322"/>
      <c r="F220" s="311">
        <v>0.05</v>
      </c>
      <c r="G220" s="328"/>
    </row>
    <row r="221" spans="1:7">
      <c r="A221" s="321" t="s">
        <v>277</v>
      </c>
      <c r="B221" s="310" t="s">
        <v>3092</v>
      </c>
      <c r="C221" s="322"/>
      <c r="D221" s="322"/>
      <c r="E221" s="322"/>
      <c r="F221" s="311">
        <v>0.05</v>
      </c>
      <c r="G221" s="328"/>
    </row>
    <row r="222" spans="1:7">
      <c r="A222" s="321" t="s">
        <v>277</v>
      </c>
      <c r="B222" s="310" t="s">
        <v>3097</v>
      </c>
      <c r="C222" s="322"/>
      <c r="D222" s="322"/>
      <c r="E222" s="322"/>
      <c r="F222" s="311">
        <v>0.05</v>
      </c>
      <c r="G222" s="328"/>
    </row>
    <row r="223" spans="1:7">
      <c r="A223" s="321" t="s">
        <v>277</v>
      </c>
      <c r="B223" s="310" t="s">
        <v>3102</v>
      </c>
      <c r="C223" s="322"/>
      <c r="D223" s="322"/>
      <c r="E223" s="322"/>
      <c r="F223" s="311">
        <v>0.05</v>
      </c>
      <c r="G223" s="328"/>
    </row>
    <row r="224" spans="1:7">
      <c r="A224" s="321" t="s">
        <v>277</v>
      </c>
      <c r="B224" s="310" t="s">
        <v>3107</v>
      </c>
      <c r="C224" s="322"/>
      <c r="D224" s="322"/>
      <c r="E224" s="322"/>
      <c r="F224" s="311">
        <v>0.05</v>
      </c>
      <c r="G224" s="328"/>
    </row>
    <row r="225" spans="1:7">
      <c r="A225" s="321" t="s">
        <v>277</v>
      </c>
      <c r="B225" s="310" t="s">
        <v>3112</v>
      </c>
      <c r="C225" s="322"/>
      <c r="D225" s="322"/>
      <c r="E225" s="322"/>
      <c r="F225" s="311">
        <v>0.05</v>
      </c>
      <c r="G225" s="328"/>
    </row>
    <row r="226" spans="1:7">
      <c r="A226" s="321" t="s">
        <v>277</v>
      </c>
      <c r="B226" s="310" t="s">
        <v>3117</v>
      </c>
      <c r="C226" s="322"/>
      <c r="D226" s="322"/>
      <c r="E226" s="322"/>
      <c r="F226" s="311">
        <v>0.05</v>
      </c>
      <c r="G226" s="328"/>
    </row>
    <row r="227" spans="1:7">
      <c r="A227" s="321" t="s">
        <v>277</v>
      </c>
      <c r="B227" s="310" t="s">
        <v>3174</v>
      </c>
      <c r="C227" s="322"/>
      <c r="D227" s="322"/>
      <c r="E227" s="322"/>
      <c r="F227" s="311">
        <v>0.05</v>
      </c>
      <c r="G227" s="328"/>
    </row>
    <row r="228" spans="1:7">
      <c r="A228" s="321" t="s">
        <v>277</v>
      </c>
      <c r="B228" s="310" t="s">
        <v>3175</v>
      </c>
      <c r="C228" s="322"/>
      <c r="D228" s="322"/>
      <c r="E228" s="322"/>
      <c r="F228" s="311">
        <v>0.05</v>
      </c>
      <c r="G228" s="328"/>
    </row>
    <row r="229" spans="1:7">
      <c r="A229" s="321" t="s">
        <v>277</v>
      </c>
      <c r="B229" s="310" t="s">
        <v>3176</v>
      </c>
      <c r="C229" s="322"/>
      <c r="D229" s="322"/>
      <c r="E229" s="322"/>
      <c r="F229" s="311">
        <v>0.05</v>
      </c>
      <c r="G229" s="328"/>
    </row>
    <row r="230" spans="1:7">
      <c r="A230" s="321" t="s">
        <v>277</v>
      </c>
      <c r="B230" s="310" t="s">
        <v>3135</v>
      </c>
      <c r="C230" s="322"/>
      <c r="D230" s="322"/>
      <c r="E230" s="322"/>
      <c r="F230" s="311">
        <v>0.05</v>
      </c>
      <c r="G230" s="328"/>
    </row>
    <row r="231" spans="1:7">
      <c r="A231" s="321" t="s">
        <v>277</v>
      </c>
      <c r="B231" s="310" t="s">
        <v>3139</v>
      </c>
      <c r="C231" s="322"/>
      <c r="D231" s="322"/>
      <c r="E231" s="322"/>
      <c r="F231" s="311">
        <v>0.05</v>
      </c>
      <c r="G231" s="328"/>
    </row>
    <row r="232" spans="1:7">
      <c r="A232" s="321" t="s">
        <v>277</v>
      </c>
      <c r="B232" s="310" t="s">
        <v>3177</v>
      </c>
      <c r="C232" s="322"/>
      <c r="D232" s="322"/>
      <c r="E232" s="322"/>
      <c r="F232" s="311">
        <v>0.05</v>
      </c>
      <c r="G232" s="328"/>
    </row>
    <row r="233" spans="1:7">
      <c r="A233" s="324" t="s">
        <v>277</v>
      </c>
      <c r="B233" s="314" t="s">
        <v>3147</v>
      </c>
      <c r="C233" s="316"/>
      <c r="D233" s="316"/>
      <c r="E233" s="316"/>
      <c r="F233" s="315">
        <v>0.05</v>
      </c>
      <c r="G233" s="329"/>
    </row>
    <row r="234" spans="1:7">
      <c r="A234" s="320" t="s">
        <v>283</v>
      </c>
      <c r="B234" s="306" t="s">
        <v>2799</v>
      </c>
      <c r="C234" s="307">
        <v>0.13</v>
      </c>
      <c r="D234" s="307">
        <v>0.128</v>
      </c>
      <c r="E234" s="307">
        <v>0.14199999999999999</v>
      </c>
      <c r="F234" s="307">
        <v>0.14699999999999999</v>
      </c>
      <c r="G234" s="308">
        <v>0.14000000000000001</v>
      </c>
    </row>
    <row r="235" spans="1:7">
      <c r="A235" s="321" t="s">
        <v>283</v>
      </c>
      <c r="B235" s="310" t="s">
        <v>2812</v>
      </c>
      <c r="C235" s="311">
        <v>0.13600000000000001</v>
      </c>
      <c r="D235" s="311">
        <v>0.13800000000000001</v>
      </c>
      <c r="E235" s="311">
        <v>0.14499999999999999</v>
      </c>
      <c r="F235" s="311">
        <v>0.14299999999999999</v>
      </c>
      <c r="G235" s="312">
        <v>0.14099999999999999</v>
      </c>
    </row>
    <row r="236" spans="1:7">
      <c r="A236" s="321" t="s">
        <v>283</v>
      </c>
      <c r="B236" s="310" t="s">
        <v>2826</v>
      </c>
      <c r="C236" s="311">
        <v>0.15</v>
      </c>
      <c r="D236" s="311">
        <v>0.15</v>
      </c>
      <c r="E236" s="311">
        <v>0.15</v>
      </c>
      <c r="F236" s="311">
        <v>0.15</v>
      </c>
      <c r="G236" s="312">
        <v>0.15</v>
      </c>
    </row>
    <row r="237" spans="1:7">
      <c r="A237" s="321" t="s">
        <v>283</v>
      </c>
      <c r="B237" s="310" t="s">
        <v>2838</v>
      </c>
      <c r="C237" s="311">
        <v>0.15</v>
      </c>
      <c r="D237" s="311">
        <v>0.15</v>
      </c>
      <c r="E237" s="311">
        <v>0.15</v>
      </c>
      <c r="F237" s="311">
        <v>0.15</v>
      </c>
      <c r="G237" s="312">
        <v>0.15</v>
      </c>
    </row>
    <row r="238" spans="1:7">
      <c r="A238" s="321" t="s">
        <v>283</v>
      </c>
      <c r="B238" s="310" t="s">
        <v>2850</v>
      </c>
      <c r="C238" s="311">
        <v>0.14899999999999999</v>
      </c>
      <c r="D238" s="311">
        <v>0.14899999999999999</v>
      </c>
      <c r="E238" s="311">
        <v>0.15</v>
      </c>
      <c r="F238" s="311">
        <v>0.15</v>
      </c>
      <c r="G238" s="312">
        <v>0.15</v>
      </c>
    </row>
    <row r="239" spans="1:7">
      <c r="A239" s="321" t="s">
        <v>283</v>
      </c>
      <c r="B239" s="310" t="s">
        <v>2861</v>
      </c>
      <c r="C239" s="311">
        <v>0.15</v>
      </c>
      <c r="D239" s="311">
        <v>0.15</v>
      </c>
      <c r="E239" s="311">
        <v>0.15</v>
      </c>
      <c r="F239" s="311">
        <v>0.15</v>
      </c>
      <c r="G239" s="312">
        <v>0.15</v>
      </c>
    </row>
    <row r="240" spans="1:7">
      <c r="A240" s="321" t="s">
        <v>283</v>
      </c>
      <c r="B240" s="310" t="s">
        <v>2872</v>
      </c>
      <c r="C240" s="311">
        <v>0.15</v>
      </c>
      <c r="D240" s="311">
        <v>0.15</v>
      </c>
      <c r="E240" s="311">
        <v>0.15</v>
      </c>
      <c r="F240" s="311">
        <v>0.15</v>
      </c>
      <c r="G240" s="312">
        <v>0.15</v>
      </c>
    </row>
    <row r="241" spans="1:7">
      <c r="A241" s="321" t="s">
        <v>283</v>
      </c>
      <c r="B241" s="310" t="s">
        <v>2883</v>
      </c>
      <c r="C241" s="311">
        <v>0.14099999999999999</v>
      </c>
      <c r="D241" s="311">
        <v>0.14199999999999999</v>
      </c>
      <c r="E241" s="311">
        <v>0.14899999999999999</v>
      </c>
      <c r="F241" s="311">
        <v>0.15</v>
      </c>
      <c r="G241" s="312">
        <v>0.14399999999999999</v>
      </c>
    </row>
    <row r="242" spans="1:7">
      <c r="A242" s="321" t="s">
        <v>283</v>
      </c>
      <c r="B242" s="310" t="s">
        <v>2893</v>
      </c>
      <c r="C242" s="311">
        <v>0.14099999999999999</v>
      </c>
      <c r="D242" s="311">
        <v>0.14199999999999999</v>
      </c>
      <c r="E242" s="311">
        <v>0.14799999999999999</v>
      </c>
      <c r="F242" s="311">
        <v>0.127</v>
      </c>
      <c r="G242" s="312">
        <v>0.14399999999999999</v>
      </c>
    </row>
    <row r="243" spans="1:7">
      <c r="A243" s="321" t="s">
        <v>283</v>
      </c>
      <c r="B243" s="310" t="s">
        <v>2903</v>
      </c>
      <c r="C243" s="311">
        <v>0.14699999999999999</v>
      </c>
      <c r="D243" s="311">
        <v>0.14699999999999999</v>
      </c>
      <c r="E243" s="311">
        <v>0.15</v>
      </c>
      <c r="F243" s="311">
        <v>0.15</v>
      </c>
      <c r="G243" s="312">
        <v>0.14899999999999999</v>
      </c>
    </row>
    <row r="244" spans="1:7">
      <c r="A244" s="321" t="s">
        <v>283</v>
      </c>
      <c r="B244" s="310" t="s">
        <v>2913</v>
      </c>
      <c r="C244" s="311">
        <v>0.15</v>
      </c>
      <c r="D244" s="311">
        <v>0.15</v>
      </c>
      <c r="E244" s="311">
        <v>0.15</v>
      </c>
      <c r="F244" s="311">
        <v>0.15</v>
      </c>
      <c r="G244" s="312">
        <v>0.15</v>
      </c>
    </row>
    <row r="245" spans="1:7">
      <c r="A245" s="321" t="s">
        <v>283</v>
      </c>
      <c r="B245" s="310" t="s">
        <v>2923</v>
      </c>
      <c r="C245" s="311">
        <v>0.14199999999999999</v>
      </c>
      <c r="D245" s="311">
        <v>0.14199999999999999</v>
      </c>
      <c r="E245" s="311">
        <v>0.15</v>
      </c>
      <c r="F245" s="311">
        <v>0.15</v>
      </c>
      <c r="G245" s="312">
        <v>0.14499999999999999</v>
      </c>
    </row>
    <row r="246" spans="1:7">
      <c r="A246" s="321" t="s">
        <v>283</v>
      </c>
      <c r="B246" s="310" t="s">
        <v>2933</v>
      </c>
      <c r="C246" s="311">
        <v>0.14199999999999999</v>
      </c>
      <c r="D246" s="311">
        <v>0.14299999999999999</v>
      </c>
      <c r="E246" s="311">
        <v>0.15</v>
      </c>
      <c r="F246" s="311">
        <v>0.14199999999999999</v>
      </c>
      <c r="G246" s="312">
        <v>0.14399999999999999</v>
      </c>
    </row>
    <row r="247" spans="1:7">
      <c r="A247" s="321" t="s">
        <v>283</v>
      </c>
      <c r="B247" s="310" t="s">
        <v>2943</v>
      </c>
      <c r="C247" s="311">
        <v>0.14899999999999999</v>
      </c>
      <c r="D247" s="311">
        <v>0.14899999999999999</v>
      </c>
      <c r="E247" s="311">
        <v>0.15</v>
      </c>
      <c r="F247" s="311">
        <v>0.15</v>
      </c>
      <c r="G247" s="312">
        <v>0.15</v>
      </c>
    </row>
    <row r="248" spans="1:7">
      <c r="A248" s="321" t="s">
        <v>283</v>
      </c>
      <c r="B248" s="310" t="s">
        <v>2953</v>
      </c>
      <c r="C248" s="311">
        <v>0.14399999999999999</v>
      </c>
      <c r="D248" s="311">
        <v>0.14399999999999999</v>
      </c>
      <c r="E248" s="311">
        <v>0.14899999999999999</v>
      </c>
      <c r="F248" s="311">
        <v>0.14799999999999999</v>
      </c>
      <c r="G248" s="312">
        <v>0.14599999999999999</v>
      </c>
    </row>
    <row r="249" spans="1:7">
      <c r="A249" s="321" t="s">
        <v>283</v>
      </c>
      <c r="B249" s="310" t="s">
        <v>2963</v>
      </c>
      <c r="C249" s="311">
        <v>0.14000000000000001</v>
      </c>
      <c r="D249" s="311">
        <v>0.14000000000000001</v>
      </c>
      <c r="E249" s="311">
        <v>0.14699999999999999</v>
      </c>
      <c r="F249" s="311">
        <v>0.14899999999999999</v>
      </c>
      <c r="G249" s="312">
        <v>0.14199999999999999</v>
      </c>
    </row>
    <row r="250" spans="1:7">
      <c r="A250" s="321" t="s">
        <v>283</v>
      </c>
      <c r="B250" s="310" t="s">
        <v>2973</v>
      </c>
      <c r="C250" s="311">
        <v>0.14399999999999999</v>
      </c>
      <c r="D250" s="311">
        <v>0.14299999999999999</v>
      </c>
      <c r="E250" s="311">
        <v>0.14899999999999999</v>
      </c>
      <c r="F250" s="311">
        <v>0.15</v>
      </c>
      <c r="G250" s="312">
        <v>0.14599999999999999</v>
      </c>
    </row>
    <row r="251" spans="1:7">
      <c r="A251" s="321" t="s">
        <v>283</v>
      </c>
      <c r="B251" s="310" t="s">
        <v>2983</v>
      </c>
      <c r="C251" s="327"/>
      <c r="D251" s="322"/>
      <c r="E251" s="322"/>
      <c r="F251" s="311">
        <v>0.1</v>
      </c>
      <c r="G251" s="328"/>
    </row>
    <row r="252" spans="1:7">
      <c r="A252" s="321" t="s">
        <v>283</v>
      </c>
      <c r="B252" s="310" t="s">
        <v>2993</v>
      </c>
      <c r="C252" s="311">
        <v>0.14399999999999999</v>
      </c>
      <c r="D252" s="311">
        <v>0.14399999999999999</v>
      </c>
      <c r="E252" s="311">
        <v>0.15</v>
      </c>
      <c r="F252" s="311">
        <v>0.14899999999999999</v>
      </c>
      <c r="G252" s="312">
        <v>0.14599999999999999</v>
      </c>
    </row>
    <row r="253" spans="1:7">
      <c r="A253" s="321" t="s">
        <v>283</v>
      </c>
      <c r="B253" s="310" t="s">
        <v>3003</v>
      </c>
      <c r="C253" s="311">
        <v>0.14199999999999999</v>
      </c>
      <c r="D253" s="311">
        <v>0.14199999999999999</v>
      </c>
      <c r="E253" s="311">
        <v>0.14599999999999999</v>
      </c>
      <c r="F253" s="311">
        <v>0.14799999999999999</v>
      </c>
      <c r="G253" s="312">
        <v>0.14499999999999999</v>
      </c>
    </row>
    <row r="254" spans="1:7">
      <c r="A254" s="321" t="s">
        <v>283</v>
      </c>
      <c r="B254" s="310" t="s">
        <v>3012</v>
      </c>
      <c r="C254" s="311">
        <v>0.15</v>
      </c>
      <c r="D254" s="311">
        <v>0.15</v>
      </c>
      <c r="E254" s="311">
        <v>0.15</v>
      </c>
      <c r="F254" s="311">
        <v>0.15</v>
      </c>
      <c r="G254" s="312">
        <v>0.15</v>
      </c>
    </row>
    <row r="255" spans="1:7">
      <c r="A255" s="321" t="s">
        <v>283</v>
      </c>
      <c r="B255" s="310" t="s">
        <v>3020</v>
      </c>
      <c r="C255" s="311">
        <v>0.14299999999999999</v>
      </c>
      <c r="D255" s="311">
        <v>0.14299999999999999</v>
      </c>
      <c r="E255" s="311">
        <v>0.15</v>
      </c>
      <c r="F255" s="311">
        <v>0.15</v>
      </c>
      <c r="G255" s="312">
        <v>0.14499999999999999</v>
      </c>
    </row>
    <row r="256" spans="1:7">
      <c r="A256" s="321" t="s">
        <v>283</v>
      </c>
      <c r="B256" s="310" t="s">
        <v>3028</v>
      </c>
      <c r="C256" s="311">
        <v>0.15</v>
      </c>
      <c r="D256" s="311">
        <v>0.15</v>
      </c>
      <c r="E256" s="311">
        <v>0.15</v>
      </c>
      <c r="F256" s="311">
        <v>0.14599999999999999</v>
      </c>
      <c r="G256" s="312">
        <v>0.15</v>
      </c>
    </row>
    <row r="257" spans="1:7">
      <c r="A257" s="321" t="s">
        <v>283</v>
      </c>
      <c r="B257" s="310" t="s">
        <v>3036</v>
      </c>
      <c r="C257" s="311">
        <v>0.14199999999999999</v>
      </c>
      <c r="D257" s="311">
        <v>0.14299999999999999</v>
      </c>
      <c r="E257" s="311">
        <v>0.14799999999999999</v>
      </c>
      <c r="F257" s="311">
        <v>0.15</v>
      </c>
      <c r="G257" s="312">
        <v>0.14499999999999999</v>
      </c>
    </row>
    <row r="258" spans="1:7">
      <c r="A258" s="321" t="s">
        <v>283</v>
      </c>
      <c r="B258" s="310" t="s">
        <v>3044</v>
      </c>
      <c r="C258" s="311">
        <v>0.14299999999999999</v>
      </c>
      <c r="D258" s="311">
        <v>0.14299999999999999</v>
      </c>
      <c r="E258" s="311">
        <v>0.15</v>
      </c>
      <c r="F258" s="311">
        <v>0.14799999999999999</v>
      </c>
      <c r="G258" s="312">
        <v>0.14599999999999999</v>
      </c>
    </row>
    <row r="259" spans="1:7">
      <c r="A259" s="321" t="s">
        <v>283</v>
      </c>
      <c r="B259" s="310" t="s">
        <v>3051</v>
      </c>
      <c r="C259" s="311">
        <v>0.14399999999999999</v>
      </c>
      <c r="D259" s="311">
        <v>0.14399999999999999</v>
      </c>
      <c r="E259" s="311">
        <v>0.14899999999999999</v>
      </c>
      <c r="F259" s="311">
        <v>0.14699999999999999</v>
      </c>
      <c r="G259" s="312">
        <v>0.14599999999999999</v>
      </c>
    </row>
    <row r="260" spans="1:7">
      <c r="A260" s="321" t="s">
        <v>283</v>
      </c>
      <c r="B260" s="310" t="s">
        <v>3058</v>
      </c>
      <c r="C260" s="311">
        <v>0.109</v>
      </c>
      <c r="D260" s="311">
        <v>0.111</v>
      </c>
      <c r="E260" s="311">
        <v>0.13100000000000001</v>
      </c>
      <c r="F260" s="311">
        <v>0.126</v>
      </c>
      <c r="G260" s="312">
        <v>0.11899999999999999</v>
      </c>
    </row>
    <row r="261" spans="1:7">
      <c r="A261" s="321" t="s">
        <v>283</v>
      </c>
      <c r="B261" s="310" t="s">
        <v>3065</v>
      </c>
      <c r="C261" s="311">
        <v>0.1</v>
      </c>
      <c r="D261" s="311">
        <v>0.1</v>
      </c>
      <c r="E261" s="311">
        <v>0.11799999999999999</v>
      </c>
      <c r="F261" s="311">
        <v>0.108</v>
      </c>
      <c r="G261" s="312">
        <v>0.107</v>
      </c>
    </row>
    <row r="262" spans="1:7">
      <c r="A262" s="321" t="s">
        <v>283</v>
      </c>
      <c r="B262" s="310" t="s">
        <v>3072</v>
      </c>
      <c r="C262" s="311">
        <v>0.1</v>
      </c>
      <c r="D262" s="311">
        <v>0.1</v>
      </c>
      <c r="E262" s="311">
        <v>0.1</v>
      </c>
      <c r="F262" s="311">
        <v>0.14099999999999999</v>
      </c>
      <c r="G262" s="312">
        <v>0.1</v>
      </c>
    </row>
    <row r="263" spans="1:7">
      <c r="A263" s="321" t="s">
        <v>283</v>
      </c>
      <c r="B263" s="310" t="s">
        <v>3079</v>
      </c>
      <c r="C263" s="311">
        <v>0.14799999999999999</v>
      </c>
      <c r="D263" s="311">
        <v>0.14799999999999999</v>
      </c>
      <c r="E263" s="311">
        <v>0.15</v>
      </c>
      <c r="F263" s="311">
        <v>0.14699999999999999</v>
      </c>
      <c r="G263" s="312">
        <v>0.15</v>
      </c>
    </row>
    <row r="264" spans="1:7">
      <c r="A264" s="321" t="s">
        <v>283</v>
      </c>
      <c r="B264" s="310" t="s">
        <v>3086</v>
      </c>
      <c r="C264" s="311">
        <v>0.14299999999999999</v>
      </c>
      <c r="D264" s="311">
        <v>0.14299999999999999</v>
      </c>
      <c r="E264" s="311">
        <v>0.15</v>
      </c>
      <c r="F264" s="311">
        <v>0.14899999999999999</v>
      </c>
      <c r="G264" s="312">
        <v>0.14599999999999999</v>
      </c>
    </row>
    <row r="265" spans="1:7">
      <c r="A265" s="321" t="s">
        <v>283</v>
      </c>
      <c r="B265" s="310" t="s">
        <v>3093</v>
      </c>
      <c r="C265" s="322"/>
      <c r="D265" s="322"/>
      <c r="E265" s="322"/>
      <c r="F265" s="311">
        <v>0.05</v>
      </c>
      <c r="G265" s="328"/>
    </row>
    <row r="266" spans="1:7">
      <c r="A266" s="321" t="s">
        <v>283</v>
      </c>
      <c r="B266" s="310" t="s">
        <v>3098</v>
      </c>
      <c r="C266" s="322"/>
      <c r="D266" s="322"/>
      <c r="E266" s="322"/>
      <c r="F266" s="311">
        <v>0.05</v>
      </c>
      <c r="G266" s="328"/>
    </row>
    <row r="267" spans="1:7">
      <c r="A267" s="321" t="s">
        <v>283</v>
      </c>
      <c r="B267" s="310" t="s">
        <v>3103</v>
      </c>
      <c r="C267" s="322"/>
      <c r="D267" s="322"/>
      <c r="E267" s="322"/>
      <c r="F267" s="311">
        <v>0.05</v>
      </c>
      <c r="G267" s="328"/>
    </row>
    <row r="268" spans="1:7">
      <c r="A268" s="321" t="s">
        <v>283</v>
      </c>
      <c r="B268" s="310" t="s">
        <v>3108</v>
      </c>
      <c r="C268" s="322"/>
      <c r="D268" s="322"/>
      <c r="E268" s="322"/>
      <c r="F268" s="311">
        <v>0.05</v>
      </c>
      <c r="G268" s="328"/>
    </row>
    <row r="269" spans="1:7">
      <c r="A269" s="321" t="s">
        <v>283</v>
      </c>
      <c r="B269" s="310" t="s">
        <v>3113</v>
      </c>
      <c r="C269" s="322"/>
      <c r="D269" s="322"/>
      <c r="E269" s="322"/>
      <c r="F269" s="311">
        <v>0.05</v>
      </c>
      <c r="G269" s="328"/>
    </row>
    <row r="270" spans="1:7">
      <c r="A270" s="321" t="s">
        <v>283</v>
      </c>
      <c r="B270" s="310" t="s">
        <v>3118</v>
      </c>
      <c r="C270" s="322"/>
      <c r="D270" s="322"/>
      <c r="E270" s="322"/>
      <c r="F270" s="311">
        <v>0.05</v>
      </c>
      <c r="G270" s="328"/>
    </row>
    <row r="271" spans="1:7">
      <c r="A271" s="321" t="s">
        <v>283</v>
      </c>
      <c r="B271" s="310" t="s">
        <v>3123</v>
      </c>
      <c r="C271" s="322"/>
      <c r="D271" s="322"/>
      <c r="E271" s="322"/>
      <c r="F271" s="311">
        <v>0.05</v>
      </c>
      <c r="G271" s="328"/>
    </row>
    <row r="272" spans="1:7">
      <c r="A272" s="321" t="s">
        <v>283</v>
      </c>
      <c r="B272" s="310" t="s">
        <v>3127</v>
      </c>
      <c r="C272" s="322"/>
      <c r="D272" s="322"/>
      <c r="E272" s="322"/>
      <c r="F272" s="311">
        <v>0.05</v>
      </c>
      <c r="G272" s="328"/>
    </row>
    <row r="273" spans="1:7">
      <c r="A273" s="321" t="s">
        <v>283</v>
      </c>
      <c r="B273" s="310" t="s">
        <v>3132</v>
      </c>
      <c r="C273" s="322"/>
      <c r="D273" s="322"/>
      <c r="E273" s="322"/>
      <c r="F273" s="311">
        <v>0.05</v>
      </c>
      <c r="G273" s="328"/>
    </row>
    <row r="274" spans="1:7">
      <c r="A274" s="321" t="s">
        <v>283</v>
      </c>
      <c r="B274" s="310" t="s">
        <v>3136</v>
      </c>
      <c r="C274" s="322"/>
      <c r="D274" s="322"/>
      <c r="E274" s="322"/>
      <c r="F274" s="311">
        <v>0.05</v>
      </c>
      <c r="G274" s="328"/>
    </row>
    <row r="275" spans="1:7">
      <c r="A275" s="321" t="s">
        <v>283</v>
      </c>
      <c r="B275" s="310" t="s">
        <v>3140</v>
      </c>
      <c r="C275" s="322"/>
      <c r="D275" s="322"/>
      <c r="E275" s="322"/>
      <c r="F275" s="311">
        <v>0.05</v>
      </c>
      <c r="G275" s="328"/>
    </row>
    <row r="276" spans="1:7">
      <c r="A276" s="324" t="s">
        <v>283</v>
      </c>
      <c r="B276" s="314" t="s">
        <v>3144</v>
      </c>
      <c r="C276" s="316"/>
      <c r="D276" s="316"/>
      <c r="E276" s="316"/>
      <c r="F276" s="315">
        <v>0.05</v>
      </c>
      <c r="G276" s="329"/>
    </row>
    <row r="277" spans="1:7">
      <c r="A277" s="320" t="s">
        <v>287</v>
      </c>
      <c r="B277" s="306" t="s">
        <v>2800</v>
      </c>
      <c r="C277" s="307">
        <v>0.15</v>
      </c>
      <c r="D277" s="307">
        <v>0.15</v>
      </c>
      <c r="E277" s="307">
        <v>0.15</v>
      </c>
      <c r="F277" s="307">
        <v>0.15</v>
      </c>
      <c r="G277" s="308">
        <v>0.15</v>
      </c>
    </row>
    <row r="278" spans="1:7">
      <c r="A278" s="321" t="s">
        <v>287</v>
      </c>
      <c r="B278" s="310" t="s">
        <v>2813</v>
      </c>
      <c r="C278" s="311">
        <v>0.15</v>
      </c>
      <c r="D278" s="311">
        <v>0.15</v>
      </c>
      <c r="E278" s="311">
        <v>0.15</v>
      </c>
      <c r="F278" s="311">
        <v>0.15</v>
      </c>
      <c r="G278" s="312">
        <v>0.15</v>
      </c>
    </row>
    <row r="279" spans="1:7">
      <c r="A279" s="321" t="s">
        <v>287</v>
      </c>
      <c r="B279" s="310" t="s">
        <v>2827</v>
      </c>
      <c r="C279" s="311">
        <v>0.15</v>
      </c>
      <c r="D279" s="311">
        <v>0.15</v>
      </c>
      <c r="E279" s="311">
        <v>0.15</v>
      </c>
      <c r="F279" s="311">
        <v>0.15</v>
      </c>
      <c r="G279" s="312">
        <v>0.15</v>
      </c>
    </row>
    <row r="280" spans="1:7">
      <c r="A280" s="321" t="s">
        <v>287</v>
      </c>
      <c r="B280" s="310" t="s">
        <v>2839</v>
      </c>
      <c r="C280" s="311">
        <v>0.15</v>
      </c>
      <c r="D280" s="311">
        <v>0.15</v>
      </c>
      <c r="E280" s="311">
        <v>0.15</v>
      </c>
      <c r="F280" s="311">
        <v>0.15</v>
      </c>
      <c r="G280" s="312">
        <v>0.15</v>
      </c>
    </row>
    <row r="281" spans="1:7">
      <c r="A281" s="321" t="s">
        <v>287</v>
      </c>
      <c r="B281" s="310" t="s">
        <v>2851</v>
      </c>
      <c r="C281" s="311">
        <v>0.15</v>
      </c>
      <c r="D281" s="311">
        <v>0.15</v>
      </c>
      <c r="E281" s="311">
        <v>0.15</v>
      </c>
      <c r="F281" s="311">
        <v>0.15</v>
      </c>
      <c r="G281" s="312">
        <v>0.15</v>
      </c>
    </row>
    <row r="282" spans="1:7">
      <c r="A282" s="321" t="s">
        <v>287</v>
      </c>
      <c r="B282" s="310" t="s">
        <v>2862</v>
      </c>
      <c r="C282" s="311">
        <v>0.15</v>
      </c>
      <c r="D282" s="311">
        <v>0.15</v>
      </c>
      <c r="E282" s="311">
        <v>0.15</v>
      </c>
      <c r="F282" s="311">
        <v>0.14499999999999999</v>
      </c>
      <c r="G282" s="312">
        <v>0.15</v>
      </c>
    </row>
    <row r="283" spans="1:7">
      <c r="A283" s="321" t="s">
        <v>287</v>
      </c>
      <c r="B283" s="310" t="s">
        <v>2873</v>
      </c>
      <c r="C283" s="311">
        <v>0.15</v>
      </c>
      <c r="D283" s="311">
        <v>0.15</v>
      </c>
      <c r="E283" s="311">
        <v>0.15</v>
      </c>
      <c r="F283" s="311">
        <v>0.14199999999999999</v>
      </c>
      <c r="G283" s="312">
        <v>0.15</v>
      </c>
    </row>
    <row r="284" spans="1:7">
      <c r="A284" s="321" t="s">
        <v>287</v>
      </c>
      <c r="B284" s="310" t="s">
        <v>2884</v>
      </c>
      <c r="C284" s="311">
        <v>0.15</v>
      </c>
      <c r="D284" s="311">
        <v>0.15</v>
      </c>
      <c r="E284" s="311">
        <v>0.15</v>
      </c>
      <c r="F284" s="311">
        <v>0.15</v>
      </c>
      <c r="G284" s="312">
        <v>0.15</v>
      </c>
    </row>
    <row r="285" spans="1:7">
      <c r="A285" s="321" t="s">
        <v>287</v>
      </c>
      <c r="B285" s="310" t="s">
        <v>2894</v>
      </c>
      <c r="C285" s="311">
        <v>0.15</v>
      </c>
      <c r="D285" s="311">
        <v>0.15</v>
      </c>
      <c r="E285" s="311">
        <v>0.15</v>
      </c>
      <c r="F285" s="311">
        <v>0.15</v>
      </c>
      <c r="G285" s="312">
        <v>0.15</v>
      </c>
    </row>
    <row r="286" spans="1:7">
      <c r="A286" s="321" t="s">
        <v>287</v>
      </c>
      <c r="B286" s="310" t="s">
        <v>2904</v>
      </c>
      <c r="C286" s="311">
        <v>0.14499999999999999</v>
      </c>
      <c r="D286" s="311">
        <v>0.14499999999999999</v>
      </c>
      <c r="E286" s="311">
        <v>0.15</v>
      </c>
      <c r="F286" s="311">
        <v>0.14099999999999999</v>
      </c>
      <c r="G286" s="312">
        <v>0.14499999999999999</v>
      </c>
    </row>
    <row r="287" spans="1:7">
      <c r="A287" s="321" t="s">
        <v>287</v>
      </c>
      <c r="B287" s="310" t="s">
        <v>2914</v>
      </c>
      <c r="C287" s="311">
        <v>0.11</v>
      </c>
      <c r="D287" s="311">
        <v>0.111</v>
      </c>
      <c r="E287" s="311">
        <v>0.14099999999999999</v>
      </c>
      <c r="F287" s="311">
        <v>0.11</v>
      </c>
      <c r="G287" s="312">
        <v>0.12</v>
      </c>
    </row>
    <row r="288" spans="1:7">
      <c r="A288" s="321" t="s">
        <v>287</v>
      </c>
      <c r="B288" s="310" t="s">
        <v>2924</v>
      </c>
      <c r="C288" s="311">
        <v>0.14199999999999999</v>
      </c>
      <c r="D288" s="311">
        <v>0.14299999999999999</v>
      </c>
      <c r="E288" s="311">
        <v>0.15</v>
      </c>
      <c r="F288" s="311">
        <v>0.14199999999999999</v>
      </c>
      <c r="G288" s="312">
        <v>0.14399999999999999</v>
      </c>
    </row>
    <row r="289" spans="1:7">
      <c r="A289" s="321" t="s">
        <v>287</v>
      </c>
      <c r="B289" s="310" t="s">
        <v>2934</v>
      </c>
      <c r="C289" s="311">
        <v>0.14299999999999999</v>
      </c>
      <c r="D289" s="311">
        <v>0.14299999999999999</v>
      </c>
      <c r="E289" s="311">
        <v>0.14799999999999999</v>
      </c>
      <c r="F289" s="311">
        <v>0.14399999999999999</v>
      </c>
      <c r="G289" s="312">
        <v>0.14399999999999999</v>
      </c>
    </row>
    <row r="290" spans="1:7">
      <c r="A290" s="321" t="s">
        <v>287</v>
      </c>
      <c r="B290" s="310" t="s">
        <v>2944</v>
      </c>
      <c r="C290" s="311">
        <v>0.14799999999999999</v>
      </c>
      <c r="D290" s="311">
        <v>0.14899999999999999</v>
      </c>
      <c r="E290" s="311">
        <v>0.15</v>
      </c>
      <c r="F290" s="311">
        <v>0.127</v>
      </c>
      <c r="G290" s="312">
        <v>0.15</v>
      </c>
    </row>
    <row r="291" spans="1:7">
      <c r="A291" s="321" t="s">
        <v>287</v>
      </c>
      <c r="B291" s="310" t="s">
        <v>2954</v>
      </c>
      <c r="C291" s="311">
        <v>0.15</v>
      </c>
      <c r="D291" s="311">
        <v>0.15</v>
      </c>
      <c r="E291" s="311">
        <v>0.15</v>
      </c>
      <c r="F291" s="311">
        <v>0.14899999999999999</v>
      </c>
      <c r="G291" s="312">
        <v>0.15</v>
      </c>
    </row>
    <row r="292" spans="1:7">
      <c r="A292" s="321" t="s">
        <v>287</v>
      </c>
      <c r="B292" s="310" t="s">
        <v>2964</v>
      </c>
      <c r="C292" s="311">
        <v>0.15</v>
      </c>
      <c r="D292" s="311">
        <v>0.15</v>
      </c>
      <c r="E292" s="311">
        <v>0.15</v>
      </c>
      <c r="F292" s="311">
        <v>0.14399999999999999</v>
      </c>
      <c r="G292" s="312">
        <v>0.15</v>
      </c>
    </row>
    <row r="293" spans="1:7">
      <c r="A293" s="321" t="s">
        <v>287</v>
      </c>
      <c r="B293" s="310" t="s">
        <v>2974</v>
      </c>
      <c r="C293" s="311">
        <v>0.15</v>
      </c>
      <c r="D293" s="311">
        <v>0.15</v>
      </c>
      <c r="E293" s="311">
        <v>0.15</v>
      </c>
      <c r="F293" s="311">
        <v>0.14499999999999999</v>
      </c>
      <c r="G293" s="312">
        <v>0.15</v>
      </c>
    </row>
    <row r="294" spans="1:7">
      <c r="A294" s="321" t="s">
        <v>287</v>
      </c>
      <c r="B294" s="310" t="s">
        <v>2984</v>
      </c>
      <c r="C294" s="311">
        <v>0.15</v>
      </c>
      <c r="D294" s="311">
        <v>0.15</v>
      </c>
      <c r="E294" s="311">
        <v>0.15</v>
      </c>
      <c r="F294" s="311">
        <v>0.14899999999999999</v>
      </c>
      <c r="G294" s="312">
        <v>0.15</v>
      </c>
    </row>
    <row r="295" spans="1:7">
      <c r="A295" s="321" t="s">
        <v>287</v>
      </c>
      <c r="B295" s="310" t="s">
        <v>2994</v>
      </c>
      <c r="C295" s="311">
        <v>0.15</v>
      </c>
      <c r="D295" s="311">
        <v>0.15</v>
      </c>
      <c r="E295" s="311">
        <v>0.15</v>
      </c>
      <c r="F295" s="311">
        <v>0.14799999999999999</v>
      </c>
      <c r="G295" s="312">
        <v>0.15</v>
      </c>
    </row>
    <row r="296" spans="1:7">
      <c r="A296" s="321" t="s">
        <v>287</v>
      </c>
      <c r="B296" s="310" t="s">
        <v>3004</v>
      </c>
      <c r="C296" s="311">
        <v>0.15</v>
      </c>
      <c r="D296" s="311">
        <v>0.15</v>
      </c>
      <c r="E296" s="311">
        <v>0.15</v>
      </c>
      <c r="F296" s="311">
        <v>0.14399999999999999</v>
      </c>
      <c r="G296" s="312">
        <v>0.15</v>
      </c>
    </row>
    <row r="297" spans="1:7">
      <c r="A297" s="321" t="s">
        <v>287</v>
      </c>
      <c r="B297" s="310" t="s">
        <v>3013</v>
      </c>
      <c r="C297" s="311">
        <v>0.15</v>
      </c>
      <c r="D297" s="311">
        <v>0.15</v>
      </c>
      <c r="E297" s="311">
        <v>0.15</v>
      </c>
      <c r="F297" s="311">
        <v>0.14499999999999999</v>
      </c>
      <c r="G297" s="312">
        <v>0.15</v>
      </c>
    </row>
    <row r="298" spans="1:7">
      <c r="A298" s="321" t="s">
        <v>287</v>
      </c>
      <c r="B298" s="310" t="s">
        <v>3021</v>
      </c>
      <c r="C298" s="311">
        <v>0.15</v>
      </c>
      <c r="D298" s="311">
        <v>0.15</v>
      </c>
      <c r="E298" s="311">
        <v>0.15</v>
      </c>
      <c r="F298" s="311">
        <v>0.15</v>
      </c>
      <c r="G298" s="312">
        <v>0.15</v>
      </c>
    </row>
    <row r="299" spans="1:7">
      <c r="A299" s="321" t="s">
        <v>287</v>
      </c>
      <c r="B299" s="330" t="s">
        <v>3029</v>
      </c>
      <c r="C299" s="311">
        <v>0.15</v>
      </c>
      <c r="D299" s="311">
        <v>0.15</v>
      </c>
      <c r="E299" s="311">
        <v>0.15</v>
      </c>
      <c r="F299" s="311">
        <v>0.14499999999999999</v>
      </c>
      <c r="G299" s="312">
        <v>0.15</v>
      </c>
    </row>
    <row r="300" spans="1:7">
      <c r="A300" s="321" t="s">
        <v>287</v>
      </c>
      <c r="B300" s="330" t="s">
        <v>3037</v>
      </c>
      <c r="C300" s="311">
        <v>0.15</v>
      </c>
      <c r="D300" s="311">
        <v>0.15</v>
      </c>
      <c r="E300" s="311">
        <v>0.15</v>
      </c>
      <c r="F300" s="311">
        <v>0.14599999999999999</v>
      </c>
      <c r="G300" s="312">
        <v>0.15</v>
      </c>
    </row>
    <row r="301" spans="1:7">
      <c r="A301" s="321" t="s">
        <v>287</v>
      </c>
      <c r="B301" s="330" t="s">
        <v>3045</v>
      </c>
      <c r="C301" s="311">
        <v>0.126</v>
      </c>
      <c r="D301" s="311">
        <v>0.124</v>
      </c>
      <c r="E301" s="311">
        <v>0.14099999999999999</v>
      </c>
      <c r="F301" s="311">
        <v>0.14399999999999999</v>
      </c>
      <c r="G301" s="312">
        <v>0.13</v>
      </c>
    </row>
    <row r="302" spans="1:7">
      <c r="A302" s="321" t="s">
        <v>287</v>
      </c>
      <c r="B302" s="310" t="s">
        <v>3052</v>
      </c>
      <c r="C302" s="311">
        <v>0.15</v>
      </c>
      <c r="D302" s="311">
        <v>0.15</v>
      </c>
      <c r="E302" s="311">
        <v>0.15</v>
      </c>
      <c r="F302" s="311">
        <v>0.14699999999999999</v>
      </c>
      <c r="G302" s="312">
        <v>0.15</v>
      </c>
    </row>
    <row r="303" spans="1:7">
      <c r="A303" s="321" t="s">
        <v>287</v>
      </c>
      <c r="B303" s="310" t="s">
        <v>3059</v>
      </c>
      <c r="C303" s="311">
        <v>0.15</v>
      </c>
      <c r="D303" s="311">
        <v>0.15</v>
      </c>
      <c r="E303" s="311">
        <v>0.15</v>
      </c>
      <c r="F303" s="311">
        <v>0.14199999999999999</v>
      </c>
      <c r="G303" s="312">
        <v>0.15</v>
      </c>
    </row>
    <row r="304" spans="1:7">
      <c r="A304" s="321" t="s">
        <v>287</v>
      </c>
      <c r="B304" s="310" t="s">
        <v>3066</v>
      </c>
      <c r="C304" s="311">
        <v>0.15</v>
      </c>
      <c r="D304" s="311">
        <v>0.15</v>
      </c>
      <c r="E304" s="311">
        <v>0.15</v>
      </c>
      <c r="F304" s="311">
        <v>0.14499999999999999</v>
      </c>
      <c r="G304" s="312">
        <v>0.15</v>
      </c>
    </row>
    <row r="305" spans="1:7">
      <c r="A305" s="321" t="s">
        <v>287</v>
      </c>
      <c r="B305" s="310" t="s">
        <v>3073</v>
      </c>
      <c r="C305" s="311">
        <v>0.15</v>
      </c>
      <c r="D305" s="311">
        <v>0.15</v>
      </c>
      <c r="E305" s="311">
        <v>0.15</v>
      </c>
      <c r="F305" s="311">
        <v>0.111</v>
      </c>
      <c r="G305" s="312">
        <v>0.15</v>
      </c>
    </row>
    <row r="306" spans="1:7">
      <c r="A306" s="321" t="s">
        <v>287</v>
      </c>
      <c r="B306" s="310" t="s">
        <v>3080</v>
      </c>
      <c r="C306" s="311">
        <v>0.15</v>
      </c>
      <c r="D306" s="311">
        <v>0.15</v>
      </c>
      <c r="E306" s="311">
        <v>0.15</v>
      </c>
      <c r="F306" s="311">
        <v>0.126</v>
      </c>
      <c r="G306" s="312">
        <v>0.15</v>
      </c>
    </row>
    <row r="307" spans="1:7">
      <c r="A307" s="321" t="s">
        <v>287</v>
      </c>
      <c r="B307" s="310" t="s">
        <v>3087</v>
      </c>
      <c r="C307" s="311">
        <v>0.15</v>
      </c>
      <c r="D307" s="311">
        <v>0.15</v>
      </c>
      <c r="E307" s="311">
        <v>0.15</v>
      </c>
      <c r="F307" s="311">
        <v>0.12</v>
      </c>
      <c r="G307" s="312">
        <v>0.15</v>
      </c>
    </row>
    <row r="308" spans="1:7">
      <c r="A308" s="321" t="s">
        <v>287</v>
      </c>
      <c r="B308" s="310" t="s">
        <v>3094</v>
      </c>
      <c r="C308" s="311">
        <v>0.15</v>
      </c>
      <c r="D308" s="311">
        <v>0.15</v>
      </c>
      <c r="E308" s="311">
        <v>0.15</v>
      </c>
      <c r="F308" s="311">
        <v>0.13</v>
      </c>
      <c r="G308" s="312">
        <v>0.15</v>
      </c>
    </row>
    <row r="309" spans="1:7">
      <c r="A309" s="321" t="s">
        <v>287</v>
      </c>
      <c r="B309" s="310" t="s">
        <v>3099</v>
      </c>
      <c r="C309" s="311">
        <v>0.15</v>
      </c>
      <c r="D309" s="311">
        <v>0.15</v>
      </c>
      <c r="E309" s="311">
        <v>0.15</v>
      </c>
      <c r="F309" s="311">
        <v>0.14099999999999999</v>
      </c>
      <c r="G309" s="312">
        <v>0.15</v>
      </c>
    </row>
    <row r="310" spans="1:7">
      <c r="A310" s="321" t="s">
        <v>287</v>
      </c>
      <c r="B310" s="310" t="s">
        <v>3104</v>
      </c>
      <c r="C310" s="311">
        <v>0.15</v>
      </c>
      <c r="D310" s="311">
        <v>0.15</v>
      </c>
      <c r="E310" s="311">
        <v>0.15</v>
      </c>
      <c r="F310" s="311">
        <v>0.15</v>
      </c>
      <c r="G310" s="312">
        <v>0.15</v>
      </c>
    </row>
    <row r="311" spans="1:7">
      <c r="A311" s="321" t="s">
        <v>287</v>
      </c>
      <c r="B311" s="310" t="s">
        <v>3109</v>
      </c>
      <c r="C311" s="311">
        <v>0.13200000000000001</v>
      </c>
      <c r="D311" s="311">
        <v>0.13300000000000001</v>
      </c>
      <c r="E311" s="311">
        <v>0.14499999999999999</v>
      </c>
      <c r="F311" s="311">
        <v>0.14199999999999999</v>
      </c>
      <c r="G311" s="312">
        <v>0.14000000000000001</v>
      </c>
    </row>
    <row r="312" spans="1:7">
      <c r="A312" s="321" t="s">
        <v>287</v>
      </c>
      <c r="B312" s="310" t="s">
        <v>3114</v>
      </c>
      <c r="C312" s="311">
        <v>0.13800000000000001</v>
      </c>
      <c r="D312" s="311">
        <v>0.14000000000000001</v>
      </c>
      <c r="E312" s="311">
        <v>0.14599999999999999</v>
      </c>
      <c r="F312" s="311">
        <v>0.14899999999999999</v>
      </c>
      <c r="G312" s="312">
        <v>0.14199999999999999</v>
      </c>
    </row>
    <row r="313" spans="1:7">
      <c r="A313" s="321" t="s">
        <v>287</v>
      </c>
      <c r="B313" s="310" t="s">
        <v>3119</v>
      </c>
      <c r="C313" s="311">
        <v>0.125</v>
      </c>
      <c r="D313" s="311">
        <v>0.127</v>
      </c>
      <c r="E313" s="311">
        <v>0.14399999999999999</v>
      </c>
      <c r="F313" s="311">
        <v>0.115</v>
      </c>
      <c r="G313" s="312">
        <v>0.13600000000000001</v>
      </c>
    </row>
    <row r="314" spans="1:7">
      <c r="A314" s="321" t="s">
        <v>287</v>
      </c>
      <c r="B314" s="310" t="s">
        <v>3124</v>
      </c>
      <c r="C314" s="327"/>
      <c r="D314" s="327"/>
      <c r="E314" s="327"/>
      <c r="F314" s="311">
        <v>0.05</v>
      </c>
      <c r="G314" s="328"/>
    </row>
    <row r="315" spans="1:7">
      <c r="A315" s="321" t="s">
        <v>287</v>
      </c>
      <c r="B315" s="310" t="s">
        <v>3128</v>
      </c>
      <c r="C315" s="327"/>
      <c r="D315" s="327"/>
      <c r="E315" s="327"/>
      <c r="F315" s="311">
        <v>0.05</v>
      </c>
      <c r="G315" s="328"/>
    </row>
    <row r="316" spans="1:7">
      <c r="A316" s="321" t="s">
        <v>287</v>
      </c>
      <c r="B316" s="310" t="s">
        <v>3133</v>
      </c>
      <c r="C316" s="322"/>
      <c r="D316" s="322"/>
      <c r="E316" s="322"/>
      <c r="F316" s="311">
        <v>0.05</v>
      </c>
      <c r="G316" s="328"/>
    </row>
    <row r="317" spans="1:7">
      <c r="A317" s="321" t="s">
        <v>287</v>
      </c>
      <c r="B317" s="310" t="s">
        <v>3137</v>
      </c>
      <c r="C317" s="322"/>
      <c r="D317" s="322"/>
      <c r="E317" s="322"/>
      <c r="F317" s="311">
        <v>0.05</v>
      </c>
      <c r="G317" s="328"/>
    </row>
    <row r="318" spans="1:7">
      <c r="A318" s="321" t="s">
        <v>287</v>
      </c>
      <c r="B318" s="310" t="s">
        <v>3141</v>
      </c>
      <c r="C318" s="322"/>
      <c r="D318" s="322"/>
      <c r="E318" s="322"/>
      <c r="F318" s="311">
        <v>0.05</v>
      </c>
      <c r="G318" s="328"/>
    </row>
    <row r="319" spans="1:7">
      <c r="A319" s="321" t="s">
        <v>287</v>
      </c>
      <c r="B319" s="310" t="s">
        <v>3145</v>
      </c>
      <c r="C319" s="322"/>
      <c r="D319" s="322"/>
      <c r="E319" s="322"/>
      <c r="F319" s="311">
        <v>0.05</v>
      </c>
      <c r="G319" s="328"/>
    </row>
    <row r="320" spans="1:7">
      <c r="A320" s="321" t="s">
        <v>287</v>
      </c>
      <c r="B320" s="310" t="s">
        <v>3148</v>
      </c>
      <c r="C320" s="322"/>
      <c r="D320" s="322"/>
      <c r="E320" s="322"/>
      <c r="F320" s="311">
        <v>0.05</v>
      </c>
      <c r="G320" s="328"/>
    </row>
    <row r="321" spans="1:7">
      <c r="A321" s="321" t="s">
        <v>287</v>
      </c>
      <c r="B321" s="310" t="s">
        <v>3150</v>
      </c>
      <c r="C321" s="322"/>
      <c r="D321" s="322"/>
      <c r="E321" s="322"/>
      <c r="F321" s="311">
        <v>0.05</v>
      </c>
      <c r="G321" s="328"/>
    </row>
    <row r="322" spans="1:7">
      <c r="A322" s="321" t="s">
        <v>287</v>
      </c>
      <c r="B322" s="310" t="s">
        <v>3152</v>
      </c>
      <c r="C322" s="322"/>
      <c r="D322" s="322"/>
      <c r="E322" s="322"/>
      <c r="F322" s="311">
        <v>0.05</v>
      </c>
      <c r="G322" s="328"/>
    </row>
    <row r="323" spans="1:7">
      <c r="A323" s="321" t="s">
        <v>287</v>
      </c>
      <c r="B323" s="310" t="s">
        <v>3154</v>
      </c>
      <c r="C323" s="322"/>
      <c r="D323" s="322"/>
      <c r="E323" s="322"/>
      <c r="F323" s="311">
        <v>0.05</v>
      </c>
      <c r="G323" s="328"/>
    </row>
    <row r="324" spans="1:7">
      <c r="A324" s="321" t="s">
        <v>287</v>
      </c>
      <c r="B324" s="310" t="s">
        <v>3156</v>
      </c>
      <c r="C324" s="322"/>
      <c r="D324" s="322"/>
      <c r="E324" s="322"/>
      <c r="F324" s="311">
        <v>0.05</v>
      </c>
      <c r="G324" s="328"/>
    </row>
    <row r="325" spans="1:7">
      <c r="A325" s="321" t="s">
        <v>287</v>
      </c>
      <c r="B325" s="310" t="s">
        <v>3158</v>
      </c>
      <c r="C325" s="322"/>
      <c r="D325" s="322"/>
      <c r="E325" s="322"/>
      <c r="F325" s="311">
        <v>0.05</v>
      </c>
      <c r="G325" s="328"/>
    </row>
    <row r="326" spans="1:7">
      <c r="A326" s="324" t="s">
        <v>287</v>
      </c>
      <c r="B326" s="314" t="s">
        <v>3160</v>
      </c>
      <c r="C326" s="316"/>
      <c r="D326" s="316"/>
      <c r="E326" s="316"/>
      <c r="F326" s="315">
        <v>0.05</v>
      </c>
      <c r="G326" s="329"/>
    </row>
    <row r="327" spans="1:7">
      <c r="A327" s="320" t="s">
        <v>291</v>
      </c>
      <c r="B327" s="306" t="s">
        <v>2801</v>
      </c>
      <c r="C327" s="307">
        <v>0.15</v>
      </c>
      <c r="D327" s="307">
        <v>0.15</v>
      </c>
      <c r="E327" s="307">
        <v>0.15</v>
      </c>
      <c r="F327" s="307">
        <v>0.15</v>
      </c>
      <c r="G327" s="308">
        <v>0.15</v>
      </c>
    </row>
    <row r="328" spans="1:7">
      <c r="A328" s="321" t="s">
        <v>291</v>
      </c>
      <c r="B328" s="310" t="s">
        <v>2814</v>
      </c>
      <c r="C328" s="311">
        <v>0.15</v>
      </c>
      <c r="D328" s="311">
        <v>0.15</v>
      </c>
      <c r="E328" s="311">
        <v>0.15</v>
      </c>
      <c r="F328" s="311">
        <v>0.126</v>
      </c>
      <c r="G328" s="312">
        <v>0.15</v>
      </c>
    </row>
    <row r="329" spans="1:7">
      <c r="A329" s="321" t="s">
        <v>291</v>
      </c>
      <c r="B329" s="310" t="s">
        <v>2828</v>
      </c>
      <c r="C329" s="311">
        <v>0.15</v>
      </c>
      <c r="D329" s="311">
        <v>0.15</v>
      </c>
      <c r="E329" s="311">
        <v>0.15</v>
      </c>
      <c r="F329" s="311">
        <v>0.15</v>
      </c>
      <c r="G329" s="312">
        <v>0.15</v>
      </c>
    </row>
    <row r="330" spans="1:7">
      <c r="A330" s="321" t="s">
        <v>291</v>
      </c>
      <c r="B330" s="310" t="s">
        <v>2840</v>
      </c>
      <c r="C330" s="311">
        <v>0.15</v>
      </c>
      <c r="D330" s="311">
        <v>0.15</v>
      </c>
      <c r="E330" s="311">
        <v>0.15</v>
      </c>
      <c r="F330" s="311">
        <v>0.15</v>
      </c>
      <c r="G330" s="312">
        <v>0.15</v>
      </c>
    </row>
    <row r="331" spans="1:7">
      <c r="A331" s="321" t="s">
        <v>291</v>
      </c>
      <c r="B331" s="310" t="s">
        <v>2852</v>
      </c>
      <c r="C331" s="311">
        <v>0.15</v>
      </c>
      <c r="D331" s="311">
        <v>0.15</v>
      </c>
      <c r="E331" s="311">
        <v>0.15</v>
      </c>
      <c r="F331" s="311">
        <v>0.15</v>
      </c>
      <c r="G331" s="312">
        <v>0.15</v>
      </c>
    </row>
    <row r="332" spans="1:7">
      <c r="A332" s="321" t="s">
        <v>291</v>
      </c>
      <c r="B332" s="310" t="s">
        <v>2863</v>
      </c>
      <c r="C332" s="311">
        <v>0.15</v>
      </c>
      <c r="D332" s="311">
        <v>0.15</v>
      </c>
      <c r="E332" s="311">
        <v>0.15</v>
      </c>
      <c r="F332" s="311">
        <v>0.15</v>
      </c>
      <c r="G332" s="312">
        <v>0.15</v>
      </c>
    </row>
    <row r="333" spans="1:7">
      <c r="A333" s="321" t="s">
        <v>291</v>
      </c>
      <c r="B333" s="310" t="s">
        <v>2874</v>
      </c>
      <c r="C333" s="311">
        <v>0.14899999999999999</v>
      </c>
      <c r="D333" s="311">
        <v>0.14899999999999999</v>
      </c>
      <c r="E333" s="311">
        <v>0.15</v>
      </c>
      <c r="F333" s="311">
        <v>0.11600000000000001</v>
      </c>
      <c r="G333" s="312">
        <v>0.15</v>
      </c>
    </row>
    <row r="334" spans="1:7">
      <c r="A334" s="321" t="s">
        <v>291</v>
      </c>
      <c r="B334" s="310" t="s">
        <v>2885</v>
      </c>
      <c r="C334" s="311">
        <v>0.15</v>
      </c>
      <c r="D334" s="311">
        <v>0.15</v>
      </c>
      <c r="E334" s="311">
        <v>0.15</v>
      </c>
      <c r="F334" s="311">
        <v>0.13</v>
      </c>
      <c r="G334" s="312">
        <v>0.15</v>
      </c>
    </row>
    <row r="335" spans="1:7">
      <c r="A335" s="321" t="s">
        <v>291</v>
      </c>
      <c r="B335" s="310" t="s">
        <v>2895</v>
      </c>
      <c r="C335" s="311">
        <v>0.15</v>
      </c>
      <c r="D335" s="311">
        <v>0.15</v>
      </c>
      <c r="E335" s="311">
        <v>0.15</v>
      </c>
      <c r="F335" s="311">
        <v>0.14399999999999999</v>
      </c>
      <c r="G335" s="312">
        <v>0.15</v>
      </c>
    </row>
    <row r="336" spans="1:7">
      <c r="A336" s="321" t="s">
        <v>291</v>
      </c>
      <c r="B336" s="310" t="s">
        <v>2905</v>
      </c>
      <c r="C336" s="311">
        <v>0.15</v>
      </c>
      <c r="D336" s="311">
        <v>0.15</v>
      </c>
      <c r="E336" s="311">
        <v>0.15</v>
      </c>
      <c r="F336" s="311">
        <v>0.14199999999999999</v>
      </c>
      <c r="G336" s="312">
        <v>0.15</v>
      </c>
    </row>
    <row r="337" spans="1:7">
      <c r="A337" s="321" t="s">
        <v>291</v>
      </c>
      <c r="B337" s="310" t="s">
        <v>2915</v>
      </c>
      <c r="C337" s="311">
        <v>0.15</v>
      </c>
      <c r="D337" s="311">
        <v>0.15</v>
      </c>
      <c r="E337" s="311">
        <v>0.15</v>
      </c>
      <c r="F337" s="311">
        <v>0.14499999999999999</v>
      </c>
      <c r="G337" s="312">
        <v>0.15</v>
      </c>
    </row>
    <row r="338" spans="1:7">
      <c r="A338" s="321" t="s">
        <v>291</v>
      </c>
      <c r="B338" s="310" t="s">
        <v>2925</v>
      </c>
      <c r="C338" s="311">
        <v>0.15</v>
      </c>
      <c r="D338" s="311">
        <v>0.15</v>
      </c>
      <c r="E338" s="311">
        <v>0.15</v>
      </c>
      <c r="F338" s="311">
        <v>0.15</v>
      </c>
      <c r="G338" s="312">
        <v>0.15</v>
      </c>
    </row>
    <row r="339" spans="1:7">
      <c r="A339" s="321" t="s">
        <v>291</v>
      </c>
      <c r="B339" s="310" t="s">
        <v>2935</v>
      </c>
      <c r="C339" s="311">
        <v>0.15</v>
      </c>
      <c r="D339" s="311">
        <v>0.15</v>
      </c>
      <c r="E339" s="311">
        <v>0.15</v>
      </c>
      <c r="F339" s="311">
        <v>0.14699999999999999</v>
      </c>
      <c r="G339" s="312">
        <v>0.15</v>
      </c>
    </row>
    <row r="340" spans="1:7">
      <c r="A340" s="321" t="s">
        <v>291</v>
      </c>
      <c r="B340" s="310" t="s">
        <v>2945</v>
      </c>
      <c r="C340" s="311">
        <v>0.14599999999999999</v>
      </c>
      <c r="D340" s="311">
        <v>0.14599999999999999</v>
      </c>
      <c r="E340" s="311">
        <v>0.15</v>
      </c>
      <c r="F340" s="311">
        <v>0.14099999999999999</v>
      </c>
      <c r="G340" s="312">
        <v>0.14699999999999999</v>
      </c>
    </row>
    <row r="341" spans="1:7">
      <c r="A341" s="321" t="s">
        <v>291</v>
      </c>
      <c r="B341" s="310" t="s">
        <v>2955</v>
      </c>
      <c r="C341" s="311">
        <v>0.126</v>
      </c>
      <c r="D341" s="311">
        <v>0.124</v>
      </c>
      <c r="E341" s="311">
        <v>0.14099999999999999</v>
      </c>
      <c r="F341" s="311">
        <v>0.14399999999999999</v>
      </c>
      <c r="G341" s="312">
        <v>0.13</v>
      </c>
    </row>
    <row r="342" spans="1:7">
      <c r="A342" s="321" t="s">
        <v>291</v>
      </c>
      <c r="B342" s="310" t="s">
        <v>2965</v>
      </c>
      <c r="C342" s="311">
        <v>0.15</v>
      </c>
      <c r="D342" s="311">
        <v>0.15</v>
      </c>
      <c r="E342" s="311">
        <v>0.15</v>
      </c>
      <c r="F342" s="311">
        <v>0.14399999999999999</v>
      </c>
      <c r="G342" s="312">
        <v>0.15</v>
      </c>
    </row>
    <row r="343" spans="1:7">
      <c r="A343" s="321" t="s">
        <v>291</v>
      </c>
      <c r="B343" s="310" t="s">
        <v>2975</v>
      </c>
      <c r="C343" s="311">
        <v>0.15</v>
      </c>
      <c r="D343" s="311">
        <v>0.15</v>
      </c>
      <c r="E343" s="311">
        <v>0.15</v>
      </c>
      <c r="F343" s="311">
        <v>0.128</v>
      </c>
      <c r="G343" s="312">
        <v>0.15</v>
      </c>
    </row>
    <row r="344" spans="1:7">
      <c r="A344" s="321" t="s">
        <v>291</v>
      </c>
      <c r="B344" s="310" t="s">
        <v>2985</v>
      </c>
      <c r="C344" s="311">
        <v>0.15</v>
      </c>
      <c r="D344" s="311">
        <v>0.15</v>
      </c>
      <c r="E344" s="311">
        <v>0.15</v>
      </c>
      <c r="F344" s="311">
        <v>0.14799999999999999</v>
      </c>
      <c r="G344" s="312">
        <v>0.15</v>
      </c>
    </row>
    <row r="345" spans="1:7">
      <c r="A345" s="321" t="s">
        <v>291</v>
      </c>
      <c r="B345" s="310" t="s">
        <v>2995</v>
      </c>
      <c r="C345" s="311">
        <v>0.15</v>
      </c>
      <c r="D345" s="311">
        <v>0.15</v>
      </c>
      <c r="E345" s="311">
        <v>0.15</v>
      </c>
      <c r="F345" s="311">
        <v>0.13800000000000001</v>
      </c>
      <c r="G345" s="312">
        <v>0.15</v>
      </c>
    </row>
    <row r="346" spans="1:7">
      <c r="A346" s="321" t="s">
        <v>291</v>
      </c>
      <c r="B346" s="310" t="s">
        <v>3005</v>
      </c>
      <c r="C346" s="311">
        <v>0.15</v>
      </c>
      <c r="D346" s="311">
        <v>0.15</v>
      </c>
      <c r="E346" s="311">
        <v>0.15</v>
      </c>
      <c r="F346" s="311">
        <v>0.14399999999999999</v>
      </c>
      <c r="G346" s="312">
        <v>0.15</v>
      </c>
    </row>
    <row r="347" spans="1:7">
      <c r="A347" s="321" t="s">
        <v>291</v>
      </c>
      <c r="B347" s="310" t="s">
        <v>3014</v>
      </c>
      <c r="C347" s="311">
        <v>0.15</v>
      </c>
      <c r="D347" s="311">
        <v>0.15</v>
      </c>
      <c r="E347" s="311">
        <v>0.15</v>
      </c>
      <c r="F347" s="311">
        <v>0.14599999999999999</v>
      </c>
      <c r="G347" s="312">
        <v>0.15</v>
      </c>
    </row>
    <row r="348" spans="1:7">
      <c r="A348" s="321" t="s">
        <v>291</v>
      </c>
      <c r="B348" s="310" t="s">
        <v>3022</v>
      </c>
      <c r="C348" s="311">
        <v>0.15</v>
      </c>
      <c r="D348" s="311">
        <v>0.15</v>
      </c>
      <c r="E348" s="311">
        <v>0.15</v>
      </c>
      <c r="F348" s="311">
        <v>0.14399999999999999</v>
      </c>
      <c r="G348" s="312">
        <v>0.15</v>
      </c>
    </row>
    <row r="349" spans="1:7">
      <c r="A349" s="321" t="s">
        <v>291</v>
      </c>
      <c r="B349" s="310" t="s">
        <v>3030</v>
      </c>
      <c r="C349" s="311">
        <v>0.15</v>
      </c>
      <c r="D349" s="311">
        <v>0.15</v>
      </c>
      <c r="E349" s="311">
        <v>0.15</v>
      </c>
      <c r="F349" s="311">
        <v>0.15</v>
      </c>
      <c r="G349" s="312">
        <v>0.15</v>
      </c>
    </row>
    <row r="350" spans="1:7">
      <c r="A350" s="321" t="s">
        <v>291</v>
      </c>
      <c r="B350" s="310" t="s">
        <v>3038</v>
      </c>
      <c r="C350" s="311">
        <v>0.15</v>
      </c>
      <c r="D350" s="311">
        <v>0.15</v>
      </c>
      <c r="E350" s="311">
        <v>0.15</v>
      </c>
      <c r="F350" s="311">
        <v>0.14699999999999999</v>
      </c>
      <c r="G350" s="312">
        <v>0.15</v>
      </c>
    </row>
    <row r="351" spans="1:7">
      <c r="A351" s="321" t="s">
        <v>291</v>
      </c>
      <c r="B351" s="310" t="s">
        <v>3046</v>
      </c>
      <c r="C351" s="311">
        <v>0.15</v>
      </c>
      <c r="D351" s="311">
        <v>0.15</v>
      </c>
      <c r="E351" s="311">
        <v>0.15</v>
      </c>
      <c r="F351" s="311">
        <v>0.13</v>
      </c>
      <c r="G351" s="312">
        <v>0.15</v>
      </c>
    </row>
    <row r="352" spans="1:7">
      <c r="A352" s="321" t="s">
        <v>291</v>
      </c>
      <c r="B352" s="310" t="s">
        <v>3053</v>
      </c>
      <c r="C352" s="311">
        <v>0.15</v>
      </c>
      <c r="D352" s="311">
        <v>0.15</v>
      </c>
      <c r="E352" s="311">
        <v>0.15</v>
      </c>
      <c r="F352" s="311">
        <v>0.14599999999999999</v>
      </c>
      <c r="G352" s="312">
        <v>0.15</v>
      </c>
    </row>
    <row r="353" spans="1:7">
      <c r="A353" s="321" t="s">
        <v>291</v>
      </c>
      <c r="B353" s="310" t="s">
        <v>3060</v>
      </c>
      <c r="C353" s="311">
        <v>0.15</v>
      </c>
      <c r="D353" s="311">
        <v>0.15</v>
      </c>
      <c r="E353" s="311">
        <v>0.15</v>
      </c>
      <c r="F353" s="311">
        <v>0.14499999999999999</v>
      </c>
      <c r="G353" s="312">
        <v>0.15</v>
      </c>
    </row>
    <row r="354" spans="1:7">
      <c r="A354" s="321" t="s">
        <v>291</v>
      </c>
      <c r="B354" s="310" t="s">
        <v>3067</v>
      </c>
      <c r="C354" s="311">
        <v>0.15</v>
      </c>
      <c r="D354" s="311">
        <v>0.15</v>
      </c>
      <c r="E354" s="311">
        <v>0.15</v>
      </c>
      <c r="F354" s="311">
        <v>0.14099999999999999</v>
      </c>
      <c r="G354" s="312">
        <v>0.15</v>
      </c>
    </row>
    <row r="355" spans="1:7">
      <c r="A355" s="321" t="s">
        <v>291</v>
      </c>
      <c r="B355" s="310" t="s">
        <v>3074</v>
      </c>
      <c r="C355" s="311">
        <v>0.15</v>
      </c>
      <c r="D355" s="311">
        <v>0.15</v>
      </c>
      <c r="E355" s="311">
        <v>0.15</v>
      </c>
      <c r="F355" s="311">
        <v>0.15</v>
      </c>
      <c r="G355" s="312">
        <v>0.15</v>
      </c>
    </row>
    <row r="356" spans="1:7">
      <c r="A356" s="321" t="s">
        <v>291</v>
      </c>
      <c r="B356" s="310" t="s">
        <v>3081</v>
      </c>
      <c r="C356" s="311">
        <v>0.15</v>
      </c>
      <c r="D356" s="311">
        <v>0.15</v>
      </c>
      <c r="E356" s="311">
        <v>0.15</v>
      </c>
      <c r="F356" s="311">
        <v>0.15</v>
      </c>
      <c r="G356" s="312">
        <v>0.15</v>
      </c>
    </row>
    <row r="357" spans="1:7">
      <c r="A357" s="324" t="s">
        <v>291</v>
      </c>
      <c r="B357" s="314" t="s">
        <v>3088</v>
      </c>
      <c r="C357" s="315">
        <v>0.126</v>
      </c>
      <c r="D357" s="315">
        <v>0.127</v>
      </c>
      <c r="E357" s="315">
        <v>0.14299999999999999</v>
      </c>
      <c r="F357" s="315">
        <v>0.125</v>
      </c>
      <c r="G357" s="317">
        <v>0.129</v>
      </c>
    </row>
    <row r="358" spans="1:7">
      <c r="A358" s="320" t="s">
        <v>295</v>
      </c>
      <c r="B358" s="306" t="s">
        <v>2802</v>
      </c>
      <c r="C358" s="307">
        <v>0.15</v>
      </c>
      <c r="D358" s="307">
        <v>0.15</v>
      </c>
      <c r="E358" s="307">
        <v>0.15</v>
      </c>
      <c r="F358" s="307">
        <v>0.15</v>
      </c>
      <c r="G358" s="308">
        <v>0.15</v>
      </c>
    </row>
    <row r="359" spans="1:7">
      <c r="A359" s="321" t="s">
        <v>295</v>
      </c>
      <c r="B359" s="310" t="s">
        <v>2815</v>
      </c>
      <c r="C359" s="311">
        <v>0.1</v>
      </c>
      <c r="D359" s="311">
        <v>0.1</v>
      </c>
      <c r="E359" s="311">
        <v>0.1</v>
      </c>
      <c r="F359" s="311">
        <v>0.1</v>
      </c>
      <c r="G359" s="312">
        <v>0.1</v>
      </c>
    </row>
    <row r="360" spans="1:7">
      <c r="A360" s="321" t="s">
        <v>295</v>
      </c>
      <c r="B360" s="310" t="s">
        <v>2829</v>
      </c>
      <c r="C360" s="311">
        <v>0.15</v>
      </c>
      <c r="D360" s="311">
        <v>0.15</v>
      </c>
      <c r="E360" s="311">
        <v>0.15</v>
      </c>
      <c r="F360" s="311">
        <v>0.14899999999999999</v>
      </c>
      <c r="G360" s="312">
        <v>0.15</v>
      </c>
    </row>
    <row r="361" spans="1:7">
      <c r="A361" s="321" t="s">
        <v>295</v>
      </c>
      <c r="B361" s="310" t="s">
        <v>2841</v>
      </c>
      <c r="C361" s="311">
        <v>0.15</v>
      </c>
      <c r="D361" s="311">
        <v>0.15</v>
      </c>
      <c r="E361" s="311">
        <v>0.15</v>
      </c>
      <c r="F361" s="311">
        <v>0.115</v>
      </c>
      <c r="G361" s="312">
        <v>0.15</v>
      </c>
    </row>
    <row r="362" spans="1:7">
      <c r="A362" s="321" t="s">
        <v>295</v>
      </c>
      <c r="B362" s="310" t="s">
        <v>2853</v>
      </c>
      <c r="C362" s="311">
        <v>0.15</v>
      </c>
      <c r="D362" s="311">
        <v>0.15</v>
      </c>
      <c r="E362" s="311">
        <v>0.15</v>
      </c>
      <c r="F362" s="311">
        <v>0.106</v>
      </c>
      <c r="G362" s="312">
        <v>0.15</v>
      </c>
    </row>
    <row r="363" spans="1:7">
      <c r="A363" s="321" t="s">
        <v>295</v>
      </c>
      <c r="B363" s="310" t="s">
        <v>2864</v>
      </c>
      <c r="C363" s="311">
        <v>0.15</v>
      </c>
      <c r="D363" s="311">
        <v>0.15</v>
      </c>
      <c r="E363" s="311">
        <v>0.15</v>
      </c>
      <c r="F363" s="311">
        <v>0.14699999999999999</v>
      </c>
      <c r="G363" s="312">
        <v>0.15</v>
      </c>
    </row>
    <row r="364" spans="1:7">
      <c r="A364" s="321" t="s">
        <v>295</v>
      </c>
      <c r="B364" s="310" t="s">
        <v>2875</v>
      </c>
      <c r="C364" s="311">
        <v>0.15</v>
      </c>
      <c r="D364" s="311">
        <v>0.15</v>
      </c>
      <c r="E364" s="311">
        <v>0.15</v>
      </c>
      <c r="F364" s="311">
        <v>0.14799999999999999</v>
      </c>
      <c r="G364" s="312">
        <v>0.15</v>
      </c>
    </row>
    <row r="365" spans="1:7">
      <c r="A365" s="321" t="s">
        <v>295</v>
      </c>
      <c r="B365" s="310" t="s">
        <v>2886</v>
      </c>
      <c r="C365" s="311">
        <v>0.15</v>
      </c>
      <c r="D365" s="311">
        <v>0.15</v>
      </c>
      <c r="E365" s="311">
        <v>0.15</v>
      </c>
      <c r="F365" s="311">
        <v>0.15</v>
      </c>
      <c r="G365" s="312">
        <v>0.15</v>
      </c>
    </row>
    <row r="366" spans="1:7">
      <c r="A366" s="321" t="s">
        <v>295</v>
      </c>
      <c r="B366" s="310" t="s">
        <v>2896</v>
      </c>
      <c r="C366" s="311">
        <v>0.15</v>
      </c>
      <c r="D366" s="311">
        <v>0.15</v>
      </c>
      <c r="E366" s="311">
        <v>0.15</v>
      </c>
      <c r="F366" s="311">
        <v>0.15</v>
      </c>
      <c r="G366" s="312">
        <v>0.15</v>
      </c>
    </row>
    <row r="367" spans="1:7">
      <c r="A367" s="321" t="s">
        <v>295</v>
      </c>
      <c r="B367" s="310" t="s">
        <v>2906</v>
      </c>
      <c r="C367" s="311">
        <v>0.15</v>
      </c>
      <c r="D367" s="311">
        <v>0.15</v>
      </c>
      <c r="E367" s="311">
        <v>0.15</v>
      </c>
      <c r="F367" s="311">
        <v>0.14699999999999999</v>
      </c>
      <c r="G367" s="312">
        <v>0.15</v>
      </c>
    </row>
    <row r="368" spans="1:7">
      <c r="A368" s="321" t="s">
        <v>295</v>
      </c>
      <c r="B368" s="310" t="s">
        <v>2916</v>
      </c>
      <c r="C368" s="311">
        <v>0.15</v>
      </c>
      <c r="D368" s="311">
        <v>0.15</v>
      </c>
      <c r="E368" s="311">
        <v>0.15</v>
      </c>
      <c r="F368" s="311">
        <v>0.13600000000000001</v>
      </c>
      <c r="G368" s="312">
        <v>0.15</v>
      </c>
    </row>
    <row r="369" spans="1:7">
      <c r="A369" s="321" t="s">
        <v>295</v>
      </c>
      <c r="B369" s="310" t="s">
        <v>2926</v>
      </c>
      <c r="C369" s="311">
        <v>0.15</v>
      </c>
      <c r="D369" s="311">
        <v>0.15</v>
      </c>
      <c r="E369" s="311">
        <v>0.15</v>
      </c>
      <c r="F369" s="311">
        <v>0.14399999999999999</v>
      </c>
      <c r="G369" s="312">
        <v>0.15</v>
      </c>
    </row>
    <row r="370" spans="1:7">
      <c r="A370" s="321" t="s">
        <v>295</v>
      </c>
      <c r="B370" s="310" t="s">
        <v>2936</v>
      </c>
      <c r="C370" s="311">
        <v>0.15</v>
      </c>
      <c r="D370" s="311">
        <v>0.15</v>
      </c>
      <c r="E370" s="311">
        <v>0.15</v>
      </c>
      <c r="F370" s="311">
        <v>0.14599999999999999</v>
      </c>
      <c r="G370" s="312">
        <v>0.15</v>
      </c>
    </row>
    <row r="371" spans="1:7">
      <c r="A371" s="321" t="s">
        <v>295</v>
      </c>
      <c r="B371" s="310" t="s">
        <v>2946</v>
      </c>
      <c r="C371" s="311">
        <v>0.15</v>
      </c>
      <c r="D371" s="311">
        <v>0.15</v>
      </c>
      <c r="E371" s="311">
        <v>0.15</v>
      </c>
      <c r="F371" s="311">
        <v>0.12</v>
      </c>
      <c r="G371" s="312">
        <v>0.15</v>
      </c>
    </row>
    <row r="372" spans="1:7">
      <c r="A372" s="321" t="s">
        <v>295</v>
      </c>
      <c r="B372" s="310" t="s">
        <v>2956</v>
      </c>
      <c r="C372" s="311">
        <v>0.15</v>
      </c>
      <c r="D372" s="311">
        <v>0.15</v>
      </c>
      <c r="E372" s="311">
        <v>0.15</v>
      </c>
      <c r="F372" s="311">
        <v>0.14299999999999999</v>
      </c>
      <c r="G372" s="312">
        <v>0.15</v>
      </c>
    </row>
    <row r="373" spans="1:7">
      <c r="A373" s="321" t="s">
        <v>295</v>
      </c>
      <c r="B373" s="310" t="s">
        <v>2966</v>
      </c>
      <c r="C373" s="311">
        <v>0.15</v>
      </c>
      <c r="D373" s="311">
        <v>0.15</v>
      </c>
      <c r="E373" s="311">
        <v>0.15</v>
      </c>
      <c r="F373" s="311">
        <v>0.14599999999999999</v>
      </c>
      <c r="G373" s="312">
        <v>0.15</v>
      </c>
    </row>
    <row r="374" spans="1:7">
      <c r="A374" s="321" t="s">
        <v>295</v>
      </c>
      <c r="B374" s="310" t="s">
        <v>2976</v>
      </c>
      <c r="C374" s="311">
        <v>0.15</v>
      </c>
      <c r="D374" s="311">
        <v>0.15</v>
      </c>
      <c r="E374" s="311">
        <v>0.15</v>
      </c>
      <c r="F374" s="311">
        <v>0.14399999999999999</v>
      </c>
      <c r="G374" s="312">
        <v>0.15</v>
      </c>
    </row>
    <row r="375" spans="1:7">
      <c r="A375" s="321" t="s">
        <v>295</v>
      </c>
      <c r="B375" s="310" t="s">
        <v>2986</v>
      </c>
      <c r="C375" s="311">
        <v>0.15</v>
      </c>
      <c r="D375" s="311">
        <v>0.15</v>
      </c>
      <c r="E375" s="311">
        <v>0.15</v>
      </c>
      <c r="F375" s="311">
        <v>0.13</v>
      </c>
      <c r="G375" s="312">
        <v>0.15</v>
      </c>
    </row>
    <row r="376" spans="1:7">
      <c r="A376" s="321" t="s">
        <v>295</v>
      </c>
      <c r="B376" s="310" t="s">
        <v>2996</v>
      </c>
      <c r="C376" s="311">
        <v>0.15</v>
      </c>
      <c r="D376" s="311">
        <v>0.15</v>
      </c>
      <c r="E376" s="311">
        <v>0.15</v>
      </c>
      <c r="F376" s="311">
        <v>0.14199999999999999</v>
      </c>
      <c r="G376" s="312">
        <v>0.15</v>
      </c>
    </row>
    <row r="377" spans="1:7">
      <c r="A377" s="324" t="s">
        <v>295</v>
      </c>
      <c r="B377" s="314" t="s">
        <v>3006</v>
      </c>
      <c r="C377" s="315">
        <v>0.15</v>
      </c>
      <c r="D377" s="315">
        <v>0.15</v>
      </c>
      <c r="E377" s="315">
        <v>0.15</v>
      </c>
      <c r="F377" s="315">
        <v>0.14000000000000001</v>
      </c>
      <c r="G377" s="317">
        <v>0.15</v>
      </c>
    </row>
    <row r="378" spans="1:7">
      <c r="A378" s="320" t="s">
        <v>299</v>
      </c>
      <c r="B378" s="306" t="s">
        <v>2803</v>
      </c>
      <c r="C378" s="307">
        <v>0.15</v>
      </c>
      <c r="D378" s="307">
        <v>0.15</v>
      </c>
      <c r="E378" s="307">
        <v>0.15</v>
      </c>
      <c r="F378" s="307">
        <v>0.107</v>
      </c>
      <c r="G378" s="308">
        <v>0.15</v>
      </c>
    </row>
    <row r="379" spans="1:7">
      <c r="A379" s="321" t="s">
        <v>299</v>
      </c>
      <c r="B379" s="310" t="s">
        <v>2816</v>
      </c>
      <c r="C379" s="311">
        <v>0.15</v>
      </c>
      <c r="D379" s="311">
        <v>0.15</v>
      </c>
      <c r="E379" s="311">
        <v>0.15</v>
      </c>
      <c r="F379" s="311">
        <v>0.115</v>
      </c>
      <c r="G379" s="312">
        <v>0.14899999999999999</v>
      </c>
    </row>
    <row r="380" spans="1:7">
      <c r="A380" s="321" t="s">
        <v>299</v>
      </c>
      <c r="B380" s="310" t="s">
        <v>2830</v>
      </c>
      <c r="C380" s="311">
        <v>0.15</v>
      </c>
      <c r="D380" s="311">
        <v>0.15</v>
      </c>
      <c r="E380" s="311">
        <v>0.15</v>
      </c>
      <c r="F380" s="311">
        <v>0.1</v>
      </c>
      <c r="G380" s="312">
        <v>0.14799999999999999</v>
      </c>
    </row>
    <row r="381" spans="1:7">
      <c r="A381" s="321" t="s">
        <v>299</v>
      </c>
      <c r="B381" s="310" t="s">
        <v>2842</v>
      </c>
      <c r="C381" s="311">
        <v>0.15</v>
      </c>
      <c r="D381" s="311">
        <v>0.15</v>
      </c>
      <c r="E381" s="311">
        <v>0.15</v>
      </c>
      <c r="F381" s="311">
        <v>0.126</v>
      </c>
      <c r="G381" s="312">
        <v>0.15</v>
      </c>
    </row>
    <row r="382" spans="1:7">
      <c r="A382" s="321" t="s">
        <v>299</v>
      </c>
      <c r="B382" s="310" t="s">
        <v>2854</v>
      </c>
      <c r="C382" s="311">
        <v>0.15</v>
      </c>
      <c r="D382" s="311">
        <v>0.15</v>
      </c>
      <c r="E382" s="311">
        <v>0.15</v>
      </c>
      <c r="F382" s="311">
        <v>0.15</v>
      </c>
      <c r="G382" s="312">
        <v>0.15</v>
      </c>
    </row>
    <row r="383" spans="1:7">
      <c r="A383" s="321" t="s">
        <v>299</v>
      </c>
      <c r="B383" s="310" t="s">
        <v>2865</v>
      </c>
      <c r="C383" s="311">
        <v>0.15</v>
      </c>
      <c r="D383" s="311">
        <v>0.15</v>
      </c>
      <c r="E383" s="311">
        <v>0.15</v>
      </c>
      <c r="F383" s="311">
        <v>0.14699999999999999</v>
      </c>
      <c r="G383" s="312">
        <v>0.15</v>
      </c>
    </row>
    <row r="384" spans="1:7">
      <c r="A384" s="331" t="s">
        <v>299</v>
      </c>
      <c r="B384" s="332" t="s">
        <v>2876</v>
      </c>
      <c r="C384" s="333">
        <v>0.15</v>
      </c>
      <c r="D384" s="333">
        <v>0.15</v>
      </c>
      <c r="E384" s="333">
        <v>0.15</v>
      </c>
      <c r="F384" s="333">
        <v>0.15</v>
      </c>
      <c r="G384" s="334">
        <v>0.15</v>
      </c>
    </row>
  </sheetData>
  <sheetProtection password="CEE9" sheet="1" objects="1" scenarios="1"/>
  <mergeCells count="1">
    <mergeCell ref="A1:B1"/>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927" t="s">
        <v>3178</v>
      </c>
      <c r="B1" s="3927"/>
      <c r="C1" s="3927"/>
      <c r="D1" s="3927"/>
      <c r="E1" s="3927"/>
      <c r="F1" s="3928"/>
    </row>
    <row r="2" spans="1:6">
      <c r="A2" s="291" t="s">
        <v>3179</v>
      </c>
      <c r="B2" s="292"/>
      <c r="C2" s="292"/>
      <c r="D2" s="292"/>
      <c r="E2" s="292"/>
      <c r="F2" s="292"/>
    </row>
    <row r="3" spans="1:6">
      <c r="A3" s="291" t="s">
        <v>3180</v>
      </c>
      <c r="B3" s="292"/>
      <c r="C3" s="292"/>
      <c r="D3" s="292"/>
      <c r="E3" s="292"/>
      <c r="F3" s="293" t="s">
        <v>3181</v>
      </c>
    </row>
    <row r="4" spans="1:6">
      <c r="A4" s="294" t="s">
        <v>405</v>
      </c>
      <c r="B4" s="294" t="s">
        <v>919</v>
      </c>
      <c r="C4" s="294" t="s">
        <v>2471</v>
      </c>
      <c r="D4" s="294" t="s">
        <v>3182</v>
      </c>
      <c r="E4" s="294" t="s">
        <v>409</v>
      </c>
      <c r="F4" s="294" t="s">
        <v>279</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266</v>
      </c>
      <c r="B10" s="297">
        <v>15050</v>
      </c>
      <c r="C10" s="297">
        <v>14980</v>
      </c>
      <c r="D10" s="297">
        <v>17300</v>
      </c>
      <c r="E10" s="297">
        <v>3450</v>
      </c>
      <c r="F10" s="297">
        <v>9900</v>
      </c>
    </row>
    <row r="11" spans="1:6">
      <c r="A11" s="295" t="s">
        <v>272</v>
      </c>
      <c r="B11" s="297">
        <v>11550</v>
      </c>
      <c r="C11" s="297">
        <v>11490</v>
      </c>
      <c r="D11" s="297">
        <v>13850</v>
      </c>
      <c r="E11" s="297">
        <v>2400</v>
      </c>
      <c r="F11" s="297">
        <v>7390</v>
      </c>
    </row>
    <row r="12" spans="1:6">
      <c r="A12" s="295" t="s">
        <v>277</v>
      </c>
      <c r="B12" s="297">
        <v>8630</v>
      </c>
      <c r="C12" s="297">
        <v>8580</v>
      </c>
      <c r="D12" s="297">
        <v>10740</v>
      </c>
      <c r="E12" s="297">
        <v>1720</v>
      </c>
      <c r="F12" s="297">
        <v>5420</v>
      </c>
    </row>
    <row r="13" spans="1:6">
      <c r="A13" s="295" t="s">
        <v>283</v>
      </c>
      <c r="B13" s="297">
        <v>6620</v>
      </c>
      <c r="C13" s="297">
        <v>6580</v>
      </c>
      <c r="D13" s="297">
        <v>7830</v>
      </c>
      <c r="E13" s="297">
        <v>1260</v>
      </c>
      <c r="F13" s="297">
        <v>4040</v>
      </c>
    </row>
    <row r="14" spans="1:6">
      <c r="A14" s="295" t="s">
        <v>287</v>
      </c>
      <c r="B14" s="297">
        <v>4900</v>
      </c>
      <c r="C14" s="297">
        <v>4860</v>
      </c>
      <c r="D14" s="297">
        <v>5540</v>
      </c>
      <c r="E14" s="297">
        <v>950</v>
      </c>
      <c r="F14" s="297">
        <v>2930</v>
      </c>
    </row>
    <row r="15" spans="1:6">
      <c r="A15" s="295" t="s">
        <v>291</v>
      </c>
      <c r="B15" s="297">
        <v>3380</v>
      </c>
      <c r="C15" s="297">
        <v>3340</v>
      </c>
      <c r="D15" s="297">
        <v>3630</v>
      </c>
      <c r="E15" s="297">
        <v>730</v>
      </c>
      <c r="F15" s="297">
        <v>1990</v>
      </c>
    </row>
    <row r="16" spans="1:6">
      <c r="A16" s="295" t="s">
        <v>295</v>
      </c>
      <c r="B16" s="297">
        <v>2230</v>
      </c>
      <c r="C16" s="297">
        <v>2200</v>
      </c>
      <c r="D16" s="297">
        <v>2180</v>
      </c>
      <c r="E16" s="297">
        <v>570</v>
      </c>
      <c r="F16" s="297">
        <v>1330</v>
      </c>
    </row>
    <row r="17" spans="1:6">
      <c r="A17" s="295" t="s">
        <v>299</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599" t="str">
        <f>IF(项目基本情况!B9="房地产市场价值","估价结果一览表","结果表-2")</f>
        <v>结果表-2</v>
      </c>
      <c r="B1" s="3599"/>
      <c r="C1" s="3599"/>
      <c r="D1" s="3599"/>
      <c r="E1" s="3599"/>
      <c r="F1" s="3599"/>
      <c r="G1" s="3599"/>
      <c r="H1" s="3599"/>
      <c r="I1" s="3599"/>
    </row>
    <row r="2" spans="1:9" ht="30" customHeight="1">
      <c r="A2" s="3600" t="s">
        <v>107</v>
      </c>
      <c r="B2" s="3600" t="s">
        <v>108</v>
      </c>
      <c r="C2" s="3600" t="s">
        <v>109</v>
      </c>
      <c r="D2" s="3600" t="str">
        <f>结果表!D116</f>
        <v>出让国有建设用地使用权价值</v>
      </c>
      <c r="E2" s="3600"/>
      <c r="F2" s="3600" t="str">
        <f>结果表!F116</f>
        <v>在建建筑物价值</v>
      </c>
      <c r="G2" s="3600"/>
      <c r="H2" s="3600" t="str">
        <f>IF(项目基本情况!B9="房地产市场价值","房地产市场价值","房地产价值")</f>
        <v>房地产价值</v>
      </c>
      <c r="I2" s="3600"/>
    </row>
    <row r="3" spans="1:9" ht="15">
      <c r="A3" s="3595"/>
      <c r="B3" s="3595"/>
      <c r="C3" s="3595"/>
      <c r="D3" s="3468" t="s">
        <v>110</v>
      </c>
      <c r="E3" s="3468" t="s">
        <v>111</v>
      </c>
      <c r="F3" s="3468" t="s">
        <v>110</v>
      </c>
      <c r="G3" s="3468" t="s">
        <v>111</v>
      </c>
      <c r="H3" s="3468" t="s">
        <v>110</v>
      </c>
      <c r="I3" s="3468" t="s">
        <v>111</v>
      </c>
    </row>
    <row r="4" spans="1:9" ht="15">
      <c r="A4" s="3469" t="str">
        <f>项目基本情况!S2</f>
        <v>北京市兴盛国际房地产</v>
      </c>
      <c r="B4" s="3468">
        <f>项目基本情况!C17</f>
        <v>38.93</v>
      </c>
      <c r="C4" s="3468">
        <f>项目基本情况!C18</f>
        <v>0</v>
      </c>
      <c r="D4" s="3468">
        <f>结果表!D118</f>
        <v>0</v>
      </c>
      <c r="E4" s="3468">
        <f>结果表!E118</f>
        <v>0</v>
      </c>
      <c r="F4" s="3468">
        <f>结果表!F118</f>
        <v>0</v>
      </c>
      <c r="G4" s="3468">
        <f>结果表!G118</f>
        <v>0</v>
      </c>
      <c r="H4" s="3468">
        <f ca="1">结果表!H118</f>
        <v>54</v>
      </c>
      <c r="I4" s="3468">
        <f ca="1">结果表!I118</f>
        <v>13946</v>
      </c>
    </row>
    <row r="5" spans="1:9" ht="30" customHeight="1">
      <c r="A5" s="3595" t="s">
        <v>112</v>
      </c>
      <c r="B5" s="3595"/>
      <c r="C5" s="3595"/>
      <c r="D5" s="3595" t="str">
        <f>结果表!D119</f>
        <v>零元整</v>
      </c>
      <c r="E5" s="3595"/>
      <c r="F5" s="3595" t="str">
        <f>结果表!F119</f>
        <v>零元整</v>
      </c>
      <c r="G5" s="3595"/>
      <c r="H5" s="3595" t="str">
        <f ca="1">结果表!H119</f>
        <v>伍拾肆万元整</v>
      </c>
      <c r="I5" s="3595"/>
    </row>
    <row r="6" spans="1:9" ht="15.75">
      <c r="A6" s="3592" t="str">
        <f>结果表!A120</f>
        <v>估价师知悉的法定优先受偿款</v>
      </c>
      <c r="B6" s="3592"/>
      <c r="C6" s="3592"/>
      <c r="D6" s="3592">
        <f>结果表!D120</f>
        <v>0</v>
      </c>
      <c r="E6" s="3592"/>
      <c r="F6" s="3592"/>
      <c r="G6" s="3592"/>
      <c r="H6" s="3592"/>
      <c r="I6" s="3592"/>
    </row>
    <row r="7" spans="1:9" ht="15">
      <c r="A7" s="3595" t="s">
        <v>112</v>
      </c>
      <c r="B7" s="3595"/>
      <c r="C7" s="3595"/>
      <c r="D7" s="3596" t="str">
        <f>结果表!D121</f>
        <v>零元整</v>
      </c>
      <c r="E7" s="3597"/>
      <c r="F7" s="3597"/>
      <c r="G7" s="3597"/>
      <c r="H7" s="3597"/>
      <c r="I7" s="3598"/>
    </row>
    <row r="8" spans="1:9" ht="15.75">
      <c r="A8" s="3592" t="str">
        <f>结果表!A122</f>
        <v>房地产抵押价值</v>
      </c>
      <c r="B8" s="3592"/>
      <c r="C8" s="3592"/>
      <c r="D8" s="3592">
        <f ca="1">结果表!D122</f>
        <v>6665</v>
      </c>
      <c r="E8" s="3592"/>
      <c r="F8" s="3592"/>
      <c r="G8" s="3592"/>
      <c r="H8" s="3592"/>
      <c r="I8" s="3592"/>
    </row>
    <row r="9" spans="1:9" ht="15">
      <c r="A9" s="3595" t="s">
        <v>112</v>
      </c>
      <c r="B9" s="3595"/>
      <c r="C9" s="3595"/>
      <c r="D9" s="3595" t="str">
        <f ca="1">结果表!D123</f>
        <v>陆仟陆佰陆拾伍万元整</v>
      </c>
      <c r="E9" s="3595"/>
      <c r="F9" s="3595"/>
      <c r="G9" s="3595"/>
      <c r="H9" s="3595"/>
      <c r="I9" s="3595"/>
    </row>
    <row r="10" spans="1:9" ht="15.75">
      <c r="A10" s="3592" t="str">
        <f>结果表!A124</f>
        <v/>
      </c>
      <c r="B10" s="3592"/>
      <c r="C10" s="3592"/>
      <c r="D10" s="3592" t="str">
        <f>结果表!D124</f>
        <v>——</v>
      </c>
      <c r="E10" s="3592"/>
      <c r="F10" s="3592"/>
      <c r="G10" s="3592"/>
      <c r="H10" s="3592"/>
      <c r="I10" s="3592"/>
    </row>
    <row r="11" spans="1:9" ht="15">
      <c r="A11" s="3595" t="s">
        <v>112</v>
      </c>
      <c r="B11" s="3595"/>
      <c r="C11" s="3595"/>
      <c r="D11" s="3595" t="e">
        <f>结果表!D125</f>
        <v>#VALUE!</v>
      </c>
      <c r="E11" s="3595"/>
      <c r="F11" s="3595"/>
      <c r="G11" s="3595"/>
      <c r="H11" s="3595"/>
      <c r="I11" s="3595"/>
    </row>
    <row r="12" spans="1:9" ht="15.75">
      <c r="A12" s="3592" t="str">
        <f>结果表!A126</f>
        <v>抵押净值</v>
      </c>
      <c r="B12" s="3592"/>
      <c r="C12" s="3592"/>
      <c r="D12" s="3592">
        <f ca="1">结果表!D126</f>
        <v>6464</v>
      </c>
      <c r="E12" s="3592"/>
      <c r="F12" s="3592"/>
      <c r="G12" s="3592"/>
      <c r="H12" s="3592"/>
      <c r="I12" s="3592"/>
    </row>
    <row r="13" spans="1:9" ht="15">
      <c r="A13" s="3593" t="s">
        <v>112</v>
      </c>
      <c r="B13" s="3593"/>
      <c r="C13" s="3593"/>
      <c r="D13" s="3593" t="str">
        <f ca="1">结果表!D127</f>
        <v>陆仟肆佰陆拾肆万元整</v>
      </c>
      <c r="E13" s="3593"/>
      <c r="F13" s="3593"/>
      <c r="G13" s="3593"/>
      <c r="H13" s="3593"/>
      <c r="I13" s="3593"/>
    </row>
    <row r="14" spans="1:9">
      <c r="A14" s="3594" t="s">
        <v>113</v>
      </c>
      <c r="B14" s="3594"/>
      <c r="C14" s="3594"/>
      <c r="D14" s="3594"/>
      <c r="E14" s="3594"/>
      <c r="F14" s="3594"/>
      <c r="G14" s="3594"/>
      <c r="H14" s="3594"/>
      <c r="I14" s="3594"/>
    </row>
    <row r="16" spans="1:9" ht="18.75">
      <c r="A16" s="347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7">
        <f>'基准地价修正-商业'!G23</f>
        <v>45300</v>
      </c>
      <c r="B1" s="218" t="s">
        <v>3183</v>
      </c>
      <c r="C1" s="219"/>
      <c r="D1" s="219"/>
      <c r="E1" s="219"/>
      <c r="F1" s="219"/>
      <c r="G1" s="219"/>
      <c r="H1" s="219"/>
      <c r="I1" s="219"/>
      <c r="J1" s="245"/>
      <c r="K1" s="219" t="s">
        <v>3184</v>
      </c>
      <c r="L1" s="219"/>
      <c r="M1" s="219"/>
      <c r="N1" s="219"/>
      <c r="O1" s="219"/>
      <c r="P1" s="219"/>
      <c r="Q1" s="245"/>
      <c r="R1" s="3929" t="s">
        <v>3185</v>
      </c>
      <c r="S1" s="3930"/>
      <c r="T1" s="3930"/>
      <c r="U1" s="3930"/>
      <c r="V1" s="3930"/>
      <c r="W1" s="3930"/>
      <c r="X1" s="245"/>
      <c r="Y1" s="3929" t="s">
        <v>3186</v>
      </c>
      <c r="Z1" s="3930"/>
      <c r="AA1" s="3930"/>
      <c r="AB1" s="3930"/>
      <c r="AC1" s="3930"/>
      <c r="AD1" s="3930"/>
    </row>
    <row r="2" spans="1:30" s="209" customFormat="1">
      <c r="B2" s="220"/>
      <c r="C2" s="221"/>
      <c r="D2" s="222" t="s">
        <v>3187</v>
      </c>
      <c r="E2" s="223" t="s">
        <v>919</v>
      </c>
      <c r="F2" s="223" t="s">
        <v>2471</v>
      </c>
      <c r="G2" s="223" t="s">
        <v>413</v>
      </c>
      <c r="H2" s="223" t="s">
        <v>409</v>
      </c>
      <c r="I2" s="223" t="s">
        <v>279</v>
      </c>
      <c r="J2" s="246"/>
      <c r="K2" s="222" t="s">
        <v>3187</v>
      </c>
      <c r="L2" s="223" t="s">
        <v>919</v>
      </c>
      <c r="M2" s="223" t="s">
        <v>2471</v>
      </c>
      <c r="N2" s="223" t="s">
        <v>413</v>
      </c>
      <c r="O2" s="223" t="s">
        <v>409</v>
      </c>
      <c r="P2" s="223" t="s">
        <v>279</v>
      </c>
      <c r="Q2" s="246"/>
      <c r="R2" s="222" t="s">
        <v>3187</v>
      </c>
      <c r="S2" s="223" t="s">
        <v>919</v>
      </c>
      <c r="T2" s="223" t="s">
        <v>2471</v>
      </c>
      <c r="U2" s="223" t="s">
        <v>413</v>
      </c>
      <c r="V2" s="223" t="s">
        <v>409</v>
      </c>
      <c r="W2" s="223" t="s">
        <v>279</v>
      </c>
      <c r="X2" s="246"/>
      <c r="Y2" s="222" t="s">
        <v>3187</v>
      </c>
      <c r="Z2" s="223" t="s">
        <v>919</v>
      </c>
      <c r="AA2" s="223" t="s">
        <v>2471</v>
      </c>
      <c r="AB2" s="223" t="s">
        <v>413</v>
      </c>
      <c r="AC2" s="223" t="s">
        <v>409</v>
      </c>
      <c r="AD2" s="223" t="s">
        <v>279</v>
      </c>
    </row>
    <row r="3" spans="1:30" s="210" customFormat="1" ht="12.75">
      <c r="A3" s="224" t="s">
        <v>3188</v>
      </c>
      <c r="B3" s="225"/>
      <c r="C3" s="226"/>
      <c r="D3" s="226">
        <f>ROUND(AVERAGEIF(D4:D18,"&lt;&gt;0"),2)</f>
        <v>0.78</v>
      </c>
      <c r="E3" s="226">
        <f t="shared" ref="E3:H3" si="0">ROUND(AVERAGEIF(E4:E18,"&lt;&gt;0"),2)</f>
        <v>0.41</v>
      </c>
      <c r="F3" s="226">
        <f t="shared" si="0"/>
        <v>0.23</v>
      </c>
      <c r="G3" s="226">
        <f t="shared" si="0"/>
        <v>0.84</v>
      </c>
      <c r="H3" s="226">
        <f t="shared" si="0"/>
        <v>0.63</v>
      </c>
      <c r="I3" s="226">
        <f>F3</f>
        <v>0.23</v>
      </c>
      <c r="J3" s="247"/>
      <c r="K3" s="248">
        <f>ROUND(AVERAGEIF(K4:K18,"&lt;&gt;0"),4)</f>
        <v>7.7999999999999996E-3</v>
      </c>
      <c r="L3" s="249">
        <f t="shared" ref="L3:O3" si="1">ROUND(AVERAGEIF(L4:L18,"&lt;&gt;0"),4)</f>
        <v>4.1000000000000003E-3</v>
      </c>
      <c r="M3" s="249">
        <f t="shared" si="1"/>
        <v>2.3E-3</v>
      </c>
      <c r="N3" s="249">
        <f t="shared" si="1"/>
        <v>8.3999999999999995E-3</v>
      </c>
      <c r="O3" s="249">
        <f t="shared" si="1"/>
        <v>6.3E-3</v>
      </c>
      <c r="P3" s="249">
        <f>M3</f>
        <v>2.3E-3</v>
      </c>
      <c r="Q3" s="247"/>
      <c r="R3" s="265">
        <f>ROUND(SUMPRODUCT(PRODUCT(1+K4:K18)),4)</f>
        <v>1.0888</v>
      </c>
      <c r="S3" s="266">
        <f t="shared" ref="S3:V3" si="2">ROUND(SUMPRODUCT(PRODUCT(1+L4:L18)),4)</f>
        <v>1.0463</v>
      </c>
      <c r="T3" s="266">
        <f t="shared" si="2"/>
        <v>1.0257000000000001</v>
      </c>
      <c r="U3" s="266">
        <f t="shared" si="2"/>
        <v>1.0961000000000001</v>
      </c>
      <c r="V3" s="266">
        <f t="shared" si="2"/>
        <v>1.0713999999999999</v>
      </c>
      <c r="W3" s="265">
        <f>T3</f>
        <v>1.0257000000000001</v>
      </c>
      <c r="X3" s="247"/>
      <c r="Y3" s="273">
        <f>ROUND(AVERAGEIF(Y5:Y18,"&lt;&gt;0"),4)</f>
        <v>8.6999999999999994E-3</v>
      </c>
      <c r="Z3" s="274">
        <f t="shared" ref="Z3:AC3" si="3">ROUND(AVERAGEIF(Z5:Z18,"&lt;&gt;0"),4)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3189</v>
      </c>
      <c r="B5" s="229">
        <v>2023</v>
      </c>
      <c r="C5" s="230">
        <v>4</v>
      </c>
      <c r="D5" s="231">
        <v>0</v>
      </c>
      <c r="E5" s="231">
        <v>0</v>
      </c>
      <c r="F5" s="231">
        <v>0</v>
      </c>
      <c r="G5" s="231">
        <v>0</v>
      </c>
      <c r="H5" s="231">
        <v>0</v>
      </c>
      <c r="I5" s="252">
        <f t="shared" ref="I5:I18" si="4">F5</f>
        <v>0</v>
      </c>
      <c r="J5" s="253"/>
      <c r="K5" s="254">
        <f t="shared" ref="K5:O18" si="5">D5/100</f>
        <v>0</v>
      </c>
      <c r="L5" s="255">
        <f t="shared" si="5"/>
        <v>0</v>
      </c>
      <c r="M5" s="255">
        <f t="shared" si="5"/>
        <v>0</v>
      </c>
      <c r="N5" s="255">
        <f t="shared" si="5"/>
        <v>0</v>
      </c>
      <c r="O5" s="255">
        <f t="shared" si="5"/>
        <v>0</v>
      </c>
      <c r="P5" s="255">
        <f>M5</f>
        <v>0</v>
      </c>
      <c r="Q5" s="253"/>
      <c r="R5" s="271">
        <f>ROUND(IF(项目基本情况!$B$8="出让",SUMPRODUCT(PRODUCT(1+K5:$K$18)),SUMPRODUCT(PRODUCT(1+K5:$K$17))),4)</f>
        <v>1.0783</v>
      </c>
      <c r="S5" s="271">
        <f>ROUND(IF(项目基本情况!$B$8="出让",SUMPRODUCT(PRODUCT(1+L5:$L$18)),SUMPRODUCT(PRODUCT(1+L5:$L$17))),4)</f>
        <v>1.0447</v>
      </c>
      <c r="T5" s="271">
        <f>ROUND(IF(项目基本情况!$B$8="出让",SUMPRODUCT(PRODUCT(1+M5:$M$18)),SUMPRODUCT(PRODUCT(1+M5:$M$17))),4)</f>
        <v>1.0282</v>
      </c>
      <c r="U5" s="271">
        <f>ROUND(IF(项目基本情况!$B$8="出让",SUMPRODUCT(PRODUCT(1+N5:$N$18)),SUMPRODUCT(PRODUCT(1+N5:$N$17))),4)</f>
        <v>1.0841000000000001</v>
      </c>
      <c r="V5" s="271">
        <f>ROUND(IF(项目基本情况!$B$8="出让",SUMPRODUCT(PRODUCT(1+O5:$O$18)),SUMPRODUCT(PRODUCT(1+O5:$O$17))),4)</f>
        <v>1.0674999999999999</v>
      </c>
      <c r="W5" s="271">
        <f>T5</f>
        <v>1.0282</v>
      </c>
      <c r="X5" s="253"/>
      <c r="Y5" s="280">
        <f>IF(D5=0,0,ROUND(AVERAGE(D5:D18)/100,4))</f>
        <v>0</v>
      </c>
      <c r="Z5" s="280">
        <f t="shared" ref="Z5:AC5" si="6">IF(E5=0,0,ROUND(AVERAGE(E5:E18)/100,4))</f>
        <v>0</v>
      </c>
      <c r="AA5" s="280">
        <f t="shared" si="6"/>
        <v>0</v>
      </c>
      <c r="AB5" s="280">
        <f t="shared" si="6"/>
        <v>0</v>
      </c>
      <c r="AC5" s="280">
        <f t="shared" si="6"/>
        <v>0</v>
      </c>
      <c r="AD5" s="280">
        <f t="shared" ref="AD5:AD18" si="7">AA5</f>
        <v>0</v>
      </c>
    </row>
    <row r="6" spans="1:30" s="212" customFormat="1" ht="12.75">
      <c r="A6" s="98" t="s">
        <v>3190</v>
      </c>
      <c r="B6" s="229">
        <v>2023</v>
      </c>
      <c r="C6" s="230">
        <v>3</v>
      </c>
      <c r="D6" s="231">
        <v>0</v>
      </c>
      <c r="E6" s="231">
        <v>0</v>
      </c>
      <c r="F6" s="231">
        <v>0</v>
      </c>
      <c r="G6" s="231">
        <v>0</v>
      </c>
      <c r="H6" s="232">
        <v>0</v>
      </c>
      <c r="I6" s="252">
        <v>0</v>
      </c>
      <c r="J6" s="253"/>
      <c r="K6" s="254">
        <f t="shared" ref="K6" si="8">D6/100</f>
        <v>0</v>
      </c>
      <c r="L6" s="255">
        <f t="shared" ref="L6" si="9">E6/100</f>
        <v>0</v>
      </c>
      <c r="M6" s="255">
        <f t="shared" ref="M6" si="10">F6/100</f>
        <v>0</v>
      </c>
      <c r="N6" s="255">
        <f t="shared" ref="N6" si="11">G6/100</f>
        <v>0</v>
      </c>
      <c r="O6" s="255">
        <f t="shared" ref="O6" si="12">H6/100</f>
        <v>0</v>
      </c>
      <c r="P6" s="255">
        <f t="shared" ref="P6" si="13">M6</f>
        <v>0</v>
      </c>
      <c r="Q6" s="253"/>
      <c r="R6" s="271">
        <f>ROUND(IF(项目基本情况!$B$8="出让",SUMPRODUCT(PRODUCT(1+K6:$K$18)),SUMPRODUCT(PRODUCT(1+K6:$K$17))),4)</f>
        <v>1.0783</v>
      </c>
      <c r="S6" s="271">
        <f>ROUND(IF(项目基本情况!$B$8="出让",SUMPRODUCT(PRODUCT(1+L6:$L$18)),SUMPRODUCT(PRODUCT(1+L6:$L$17))),4)</f>
        <v>1.0447</v>
      </c>
      <c r="T6" s="271">
        <f>ROUND(IF(项目基本情况!$B$8="出让",SUMPRODUCT(PRODUCT(1+M6:$M$18)),SUMPRODUCT(PRODUCT(1+M6:$M$17))),4)</f>
        <v>1.0282</v>
      </c>
      <c r="U6" s="271">
        <f>ROUND(IF(项目基本情况!$B$8="出让",SUMPRODUCT(PRODUCT(1+N6:$N$18)),SUMPRODUCT(PRODUCT(1+N6:$N$17))),4)</f>
        <v>1.0841000000000001</v>
      </c>
      <c r="V6" s="271">
        <f>ROUND(IF(项目基本情况!$B$8="出让",SUMPRODUCT(PRODUCT(1+O6:$O$18)),SUMPRODUCT(PRODUCT(1+O6:$O$17))),4)</f>
        <v>1.0674999999999999</v>
      </c>
      <c r="W6" s="271">
        <f t="shared" ref="W6" si="14">T6</f>
        <v>1.0282</v>
      </c>
      <c r="X6" s="253"/>
      <c r="Y6" s="280"/>
      <c r="Z6" s="280"/>
      <c r="AA6" s="280"/>
      <c r="AB6" s="280"/>
      <c r="AC6" s="280"/>
      <c r="AD6" s="280"/>
    </row>
    <row r="7" spans="1:30" s="212" customFormat="1" ht="12.75">
      <c r="A7" s="98" t="s">
        <v>3191</v>
      </c>
      <c r="B7" s="229">
        <v>2023</v>
      </c>
      <c r="C7" s="230">
        <v>3</v>
      </c>
      <c r="D7" s="231">
        <v>0</v>
      </c>
      <c r="E7" s="231">
        <v>0</v>
      </c>
      <c r="F7" s="231">
        <v>0</v>
      </c>
      <c r="G7" s="231">
        <v>0</v>
      </c>
      <c r="H7" s="232">
        <v>0</v>
      </c>
      <c r="I7" s="252">
        <v>0</v>
      </c>
      <c r="J7" s="253"/>
      <c r="K7" s="254">
        <f t="shared" si="5"/>
        <v>0</v>
      </c>
      <c r="L7" s="255">
        <f t="shared" si="5"/>
        <v>0</v>
      </c>
      <c r="M7" s="255">
        <f t="shared" si="5"/>
        <v>0</v>
      </c>
      <c r="N7" s="255">
        <f t="shared" si="5"/>
        <v>0</v>
      </c>
      <c r="O7" s="255">
        <f t="shared" si="5"/>
        <v>0</v>
      </c>
      <c r="P7" s="255">
        <f t="shared" ref="P7" si="15">M7</f>
        <v>0</v>
      </c>
      <c r="Q7" s="253"/>
      <c r="R7" s="271">
        <f>ROUND(IF(项目基本情况!$B$8="出让",SUMPRODUCT(PRODUCT(1+K7:$K$18)),SUMPRODUCT(PRODUCT(1+K7:$K$17))),4)</f>
        <v>1.0783</v>
      </c>
      <c r="S7" s="271">
        <f>ROUND(IF(项目基本情况!$B$8="出让",SUMPRODUCT(PRODUCT(1+L7:$L$18)),SUMPRODUCT(PRODUCT(1+L7:$L$17))),4)</f>
        <v>1.0447</v>
      </c>
      <c r="T7" s="271">
        <f>ROUND(IF(项目基本情况!$B$8="出让",SUMPRODUCT(PRODUCT(1+M7:$M$18)),SUMPRODUCT(PRODUCT(1+M7:$M$17))),4)</f>
        <v>1.0282</v>
      </c>
      <c r="U7" s="271">
        <f>ROUND(IF(项目基本情况!$B$8="出让",SUMPRODUCT(PRODUCT(1+N7:$N$18)),SUMPRODUCT(PRODUCT(1+N7:$N$17))),4)</f>
        <v>1.0841000000000001</v>
      </c>
      <c r="V7" s="271">
        <f>ROUND(IF(项目基本情况!$B$8="出让",SUMPRODUCT(PRODUCT(1+O7:$O$18)),SUMPRODUCT(PRODUCT(1+O7:$O$17))),4)</f>
        <v>1.0674999999999999</v>
      </c>
      <c r="W7" s="271">
        <f t="shared" ref="W7" si="16">T7</f>
        <v>1.0282</v>
      </c>
      <c r="X7" s="253"/>
      <c r="Y7" s="280"/>
      <c r="Z7" s="280"/>
      <c r="AA7" s="280"/>
      <c r="AB7" s="280"/>
      <c r="AC7" s="280"/>
      <c r="AD7" s="280"/>
    </row>
    <row r="8" spans="1:30" s="213" customFormat="1" ht="12.75">
      <c r="A8" s="233" t="s">
        <v>3192</v>
      </c>
      <c r="B8" s="234">
        <v>2023</v>
      </c>
      <c r="C8" s="235">
        <v>3</v>
      </c>
      <c r="D8" s="236">
        <v>0.25</v>
      </c>
      <c r="E8" s="236">
        <v>0.5</v>
      </c>
      <c r="F8" s="236">
        <v>0.31</v>
      </c>
      <c r="G8" s="236">
        <v>0.21</v>
      </c>
      <c r="H8" s="237">
        <v>0.43</v>
      </c>
      <c r="I8" s="256">
        <f t="shared" si="4"/>
        <v>0.31</v>
      </c>
      <c r="J8" s="257"/>
      <c r="K8" s="258">
        <f t="shared" ref="K8:K10" si="17">D8/100</f>
        <v>2.5000000000000001E-3</v>
      </c>
      <c r="L8" s="259">
        <f t="shared" ref="L8:L10" si="18">E8/100</f>
        <v>5.0000000000000001E-3</v>
      </c>
      <c r="M8" s="259">
        <f t="shared" ref="M8:M10" si="19">F8/100</f>
        <v>3.0999999999999999E-3</v>
      </c>
      <c r="N8" s="259">
        <f t="shared" ref="N8:N10" si="20">G8/100</f>
        <v>2.0999999999999999E-3</v>
      </c>
      <c r="O8" s="259">
        <f t="shared" ref="O8:O10" si="21">H8/100</f>
        <v>4.3E-3</v>
      </c>
      <c r="P8" s="259">
        <f t="shared" ref="P8:P10" si="22">M8</f>
        <v>3.0999999999999999E-3</v>
      </c>
      <c r="Q8" s="257"/>
      <c r="R8" s="257">
        <f>ROUND(IF(项目基本情况!$B$8="出让",SUMPRODUCT(PRODUCT(1+K8:$K$18)),SUMPRODUCT(PRODUCT(1+K8:$K$17))),4)</f>
        <v>1.0783</v>
      </c>
      <c r="S8" s="257">
        <f>ROUND(IF(项目基本情况!$B$8="出让",SUMPRODUCT(PRODUCT(1+L8:$L$18)),SUMPRODUCT(PRODUCT(1+L8:$L$17))),4)</f>
        <v>1.0447</v>
      </c>
      <c r="T8" s="257">
        <f>ROUND(IF(项目基本情况!$B$8="出让",SUMPRODUCT(PRODUCT(1+M8:$M$18)),SUMPRODUCT(PRODUCT(1+M8:$M$17))),4)</f>
        <v>1.0282</v>
      </c>
      <c r="U8" s="257">
        <f>ROUND(IF(项目基本情况!$B$8="出让",SUMPRODUCT(PRODUCT(1+N8:$N$18)),SUMPRODUCT(PRODUCT(1+N8:$N$17))),4)</f>
        <v>1.0841000000000001</v>
      </c>
      <c r="V8" s="257">
        <f>ROUND(IF(项目基本情况!$B$8="出让",SUMPRODUCT(PRODUCT(1+O8:$O$18)),SUMPRODUCT(PRODUCT(1+O8:$O$17))),4)</f>
        <v>1.0674999999999999</v>
      </c>
      <c r="W8" s="257">
        <f t="shared" ref="W8:W9" si="23">T8</f>
        <v>1.0282</v>
      </c>
      <c r="X8" s="257"/>
      <c r="Y8" s="259"/>
      <c r="Z8" s="259"/>
      <c r="AA8" s="259"/>
      <c r="AB8" s="259"/>
      <c r="AC8" s="259"/>
      <c r="AD8" s="259"/>
    </row>
    <row r="9" spans="1:30" s="212" customFormat="1" ht="12.75">
      <c r="A9" s="238" t="s">
        <v>3193</v>
      </c>
      <c r="B9" s="229">
        <v>2023</v>
      </c>
      <c r="C9" s="230">
        <v>2</v>
      </c>
      <c r="D9" s="231">
        <v>0.91</v>
      </c>
      <c r="E9" s="231">
        <v>0.66</v>
      </c>
      <c r="F9" s="231">
        <v>0.47</v>
      </c>
      <c r="G9" s="231">
        <v>0.96</v>
      </c>
      <c r="H9" s="232">
        <v>0.71</v>
      </c>
      <c r="I9" s="252">
        <f t="shared" si="4"/>
        <v>0.47</v>
      </c>
      <c r="J9" s="253"/>
      <c r="K9" s="254">
        <f t="shared" si="17"/>
        <v>9.1000000000000004E-3</v>
      </c>
      <c r="L9" s="255">
        <f t="shared" si="18"/>
        <v>6.6E-3</v>
      </c>
      <c r="M9" s="255">
        <f t="shared" si="19"/>
        <v>4.7000000000000002E-3</v>
      </c>
      <c r="N9" s="255">
        <f t="shared" si="20"/>
        <v>9.5999999999999992E-3</v>
      </c>
      <c r="O9" s="255">
        <f t="shared" si="21"/>
        <v>7.1000000000000004E-3</v>
      </c>
      <c r="P9" s="255">
        <f t="shared" si="22"/>
        <v>4.7000000000000002E-3</v>
      </c>
      <c r="Q9" s="253"/>
      <c r="R9" s="271">
        <f>ROUND(IF(项目基本情况!$B$8="出让",SUMPRODUCT(PRODUCT(1+K9:$K$18)),SUMPRODUCT(PRODUCT(1+K9:$K$17))),4)</f>
        <v>1.0755999999999999</v>
      </c>
      <c r="S9" s="271">
        <f>ROUND(IF(项目基本情况!$B$8="出让",SUMPRODUCT(PRODUCT(1+L9:$L$18)),SUMPRODUCT(PRODUCT(1+L9:$L$17))),4)</f>
        <v>1.0395000000000001</v>
      </c>
      <c r="T9" s="271">
        <f>ROUND(IF(项目基本情况!$B$8="出让",SUMPRODUCT(PRODUCT(1+M9:$M$18)),SUMPRODUCT(PRODUCT(1+M9:$M$17))),4)</f>
        <v>1.0250999999999999</v>
      </c>
      <c r="U9" s="271">
        <f>ROUND(IF(项目基本情况!$B$8="出让",SUMPRODUCT(PRODUCT(1+N9:$N$18)),SUMPRODUCT(PRODUCT(1+N9:$N$17))),4)</f>
        <v>1.0818000000000001</v>
      </c>
      <c r="V9" s="271">
        <f>ROUND(IF(项目基本情况!$B$8="出让",SUMPRODUCT(PRODUCT(1+O9:$O$18)),SUMPRODUCT(PRODUCT(1+O9:$O$17))),4)</f>
        <v>1.0629999999999999</v>
      </c>
      <c r="W9" s="271">
        <f t="shared" si="23"/>
        <v>1.0250999999999999</v>
      </c>
      <c r="X9" s="253"/>
      <c r="Y9" s="280"/>
      <c r="Z9" s="280"/>
      <c r="AA9" s="280"/>
      <c r="AB9" s="280"/>
      <c r="AC9" s="280"/>
      <c r="AD9" s="280"/>
    </row>
    <row r="10" spans="1:30" s="212" customFormat="1" ht="12.75">
      <c r="A10" s="238" t="s">
        <v>3194</v>
      </c>
      <c r="B10" s="229">
        <v>2023</v>
      </c>
      <c r="C10" s="230">
        <v>1</v>
      </c>
      <c r="D10" s="231">
        <v>0.89</v>
      </c>
      <c r="E10" s="231">
        <v>0.74</v>
      </c>
      <c r="F10" s="231">
        <v>0.56999999999999995</v>
      </c>
      <c r="G10" s="231">
        <v>0.92</v>
      </c>
      <c r="H10" s="232">
        <v>0.5</v>
      </c>
      <c r="I10" s="252">
        <f t="shared" si="4"/>
        <v>0.56999999999999995</v>
      </c>
      <c r="J10" s="253"/>
      <c r="K10" s="254">
        <f t="shared" si="17"/>
        <v>8.8999999999999999E-3</v>
      </c>
      <c r="L10" s="255">
        <f t="shared" si="18"/>
        <v>7.4000000000000003E-3</v>
      </c>
      <c r="M10" s="255">
        <f t="shared" si="19"/>
        <v>5.7000000000000002E-3</v>
      </c>
      <c r="N10" s="255">
        <f t="shared" si="20"/>
        <v>9.1999999999999998E-3</v>
      </c>
      <c r="O10" s="255">
        <f t="shared" si="21"/>
        <v>5.0000000000000001E-3</v>
      </c>
      <c r="P10" s="255">
        <f t="shared" si="22"/>
        <v>5.7000000000000002E-3</v>
      </c>
      <c r="Q10" s="253"/>
      <c r="R10" s="271">
        <f>ROUND(IF(项目基本情况!$B$8="出让",SUMPRODUCT(PRODUCT(1+K10:$K$18)),SUMPRODUCT(PRODUCT(1+K10:$K$17))),4)</f>
        <v>1.0659000000000001</v>
      </c>
      <c r="S10" s="271">
        <f>ROUND(IF(项目基本情况!$B$8="出让",SUMPRODUCT(PRODUCT(1+L10:$L$18)),SUMPRODUCT(PRODUCT(1+L10:$L$17))),4)</f>
        <v>1.0326</v>
      </c>
      <c r="T10" s="271">
        <f>ROUND(IF(项目基本情况!$B$8="出让",SUMPRODUCT(PRODUCT(1+M10:$M$18)),SUMPRODUCT(PRODUCT(1+M10:$M$17))),4)</f>
        <v>1.0203</v>
      </c>
      <c r="U10" s="271">
        <f>ROUND(IF(项目基本情况!$B$8="出让",SUMPRODUCT(PRODUCT(1+N10:$N$18)),SUMPRODUCT(PRODUCT(1+N10:$N$17))),4)</f>
        <v>1.0714999999999999</v>
      </c>
      <c r="V10" s="271">
        <f>ROUND(IF(项目基本情况!$B$8="出让",SUMPRODUCT(PRODUCT(1+O10:$O$18)),SUMPRODUCT(PRODUCT(1+O10:$O$17))),4)</f>
        <v>1.0555000000000001</v>
      </c>
      <c r="W10" s="271">
        <f t="shared" ref="W10:W17" si="24">T10</f>
        <v>1.0203</v>
      </c>
      <c r="X10" s="253"/>
      <c r="Y10" s="280"/>
      <c r="Z10" s="280"/>
      <c r="AA10" s="280"/>
      <c r="AB10" s="280"/>
      <c r="AC10" s="280"/>
      <c r="AD10" s="280"/>
    </row>
    <row r="11" spans="1:30" s="212" customFormat="1" ht="12.75">
      <c r="A11" s="238" t="s">
        <v>3195</v>
      </c>
      <c r="B11" s="229">
        <v>2022</v>
      </c>
      <c r="C11" s="230">
        <v>4</v>
      </c>
      <c r="D11" s="231">
        <v>0.62</v>
      </c>
      <c r="E11" s="231">
        <v>0.2</v>
      </c>
      <c r="F11" s="231">
        <v>0.11</v>
      </c>
      <c r="G11" s="231">
        <v>0.69</v>
      </c>
      <c r="H11" s="232">
        <v>0.53</v>
      </c>
      <c r="I11" s="252">
        <f t="shared" si="4"/>
        <v>0.11</v>
      </c>
      <c r="J11" s="253"/>
      <c r="K11" s="254">
        <f t="shared" si="5"/>
        <v>6.1999999999999998E-3</v>
      </c>
      <c r="L11" s="255">
        <f t="shared" si="5"/>
        <v>2E-3</v>
      </c>
      <c r="M11" s="255">
        <f t="shared" si="5"/>
        <v>1.1000000000000001E-3</v>
      </c>
      <c r="N11" s="255">
        <f t="shared" si="5"/>
        <v>6.8999999999999999E-3</v>
      </c>
      <c r="O11" s="255">
        <f t="shared" si="5"/>
        <v>5.3E-3</v>
      </c>
      <c r="P11" s="255">
        <f t="shared" ref="P11:P18" si="25">M11</f>
        <v>1.1000000000000001E-3</v>
      </c>
      <c r="Q11" s="253"/>
      <c r="R11" s="271">
        <f>ROUND(IF(项目基本情况!$B$8="出让",SUMPRODUCT(PRODUCT(1+K11:$K$18)),SUMPRODUCT(PRODUCT(1+K11:$K$17))),4)</f>
        <v>1.0565</v>
      </c>
      <c r="S11" s="271">
        <f>ROUND(IF(项目基本情况!$B$8="出让",SUMPRODUCT(PRODUCT(1+L11:$L$18)),SUMPRODUCT(PRODUCT(1+L11:$L$17))),4)</f>
        <v>1.0250999999999999</v>
      </c>
      <c r="T11" s="271">
        <f>ROUND(IF(项目基本情况!$B$8="出让",SUMPRODUCT(PRODUCT(1+M11:$M$18)),SUMPRODUCT(PRODUCT(1+M11:$M$17))),4)</f>
        <v>1.0145</v>
      </c>
      <c r="U11" s="271">
        <f>ROUND(IF(项目基本情况!$B$8="出让",SUMPRODUCT(PRODUCT(1+N11:$N$18)),SUMPRODUCT(PRODUCT(1+N11:$N$17))),4)</f>
        <v>1.0618000000000001</v>
      </c>
      <c r="V11" s="271">
        <f>ROUND(IF(项目基本情况!$B$8="出让",SUMPRODUCT(PRODUCT(1+O11:$O$18)),SUMPRODUCT(PRODUCT(1+O11:$O$17))),4)</f>
        <v>1.0502</v>
      </c>
      <c r="W11" s="271">
        <f t="shared" si="24"/>
        <v>1.0145</v>
      </c>
      <c r="X11" s="253"/>
      <c r="Y11" s="280">
        <f>IF(D11=0,0,ROUND(AVERAGE(D11:D19)/100,4))</f>
        <v>8.0999999999999996E-3</v>
      </c>
      <c r="Z11" s="280">
        <f t="shared" ref="Z11:AC11" si="26">IF(E11=0,0,ROUND(AVERAGE(E11:E18)/100,4))</f>
        <v>3.3E-3</v>
      </c>
      <c r="AA11" s="280">
        <f t="shared" si="26"/>
        <v>1.5E-3</v>
      </c>
      <c r="AB11" s="280">
        <f t="shared" si="26"/>
        <v>8.8999999999999999E-3</v>
      </c>
      <c r="AC11" s="280">
        <f t="shared" si="26"/>
        <v>6.6E-3</v>
      </c>
      <c r="AD11" s="280">
        <f t="shared" si="7"/>
        <v>1.5E-3</v>
      </c>
    </row>
    <row r="12" spans="1:30" s="212" customFormat="1" ht="12.75">
      <c r="A12" s="238" t="s">
        <v>3196</v>
      </c>
      <c r="B12" s="229">
        <v>2022</v>
      </c>
      <c r="C12" s="230">
        <v>3</v>
      </c>
      <c r="D12" s="231">
        <v>0.66</v>
      </c>
      <c r="E12" s="231">
        <v>0.32</v>
      </c>
      <c r="F12" s="231">
        <v>0.23</v>
      </c>
      <c r="G12" s="231">
        <v>0.72</v>
      </c>
      <c r="H12" s="232">
        <v>0.63</v>
      </c>
      <c r="I12" s="252">
        <f t="shared" si="4"/>
        <v>0.23</v>
      </c>
      <c r="J12" s="253"/>
      <c r="K12" s="254">
        <f t="shared" si="5"/>
        <v>6.6E-3</v>
      </c>
      <c r="L12" s="255">
        <f t="shared" si="5"/>
        <v>3.2000000000000002E-3</v>
      </c>
      <c r="M12" s="255">
        <f t="shared" si="5"/>
        <v>2.3E-3</v>
      </c>
      <c r="N12" s="255">
        <f t="shared" si="5"/>
        <v>7.1999999999999998E-3</v>
      </c>
      <c r="O12" s="255">
        <f t="shared" si="5"/>
        <v>6.3E-3</v>
      </c>
      <c r="P12" s="255">
        <f t="shared" si="25"/>
        <v>2.3E-3</v>
      </c>
      <c r="Q12" s="253"/>
      <c r="R12" s="271">
        <f>ROUND(IF(项目基本情况!$B$8="出让",SUMPRODUCT(PRODUCT(1+K12:$K$18)),SUMPRODUCT(PRODUCT(1+K12:$K$17))),4)</f>
        <v>1.05</v>
      </c>
      <c r="S12" s="271">
        <f>ROUND(IF(项目基本情况!$B$8="出让",SUMPRODUCT(PRODUCT(1+L12:$L$18)),SUMPRODUCT(PRODUCT(1+L12:$L$17))),4)</f>
        <v>1.0229999999999999</v>
      </c>
      <c r="T12" s="271">
        <f>ROUND(IF(项目基本情况!$B$8="出让",SUMPRODUCT(PRODUCT(1+M12:$M$18)),SUMPRODUCT(PRODUCT(1+M12:$M$17))),4)</f>
        <v>1.0134000000000001</v>
      </c>
      <c r="U12" s="271">
        <f>ROUND(IF(项目基本情况!$B$8="出让",SUMPRODUCT(PRODUCT(1+N12:$N$18)),SUMPRODUCT(PRODUCT(1+N12:$N$17))),4)</f>
        <v>1.0545</v>
      </c>
      <c r="V12" s="271">
        <f>ROUND(IF(项目基本情况!$B$8="出让",SUMPRODUCT(PRODUCT(1+O12:$O$18)),SUMPRODUCT(PRODUCT(1+O12:$O$17))),4)</f>
        <v>1.0447</v>
      </c>
      <c r="W12" s="271">
        <f t="shared" si="24"/>
        <v>1.0134000000000001</v>
      </c>
      <c r="X12" s="253"/>
      <c r="Y12" s="280">
        <f>IF(D12=0,0,ROUND(AVERAGE(D12:D18)/100,4))</f>
        <v>8.3999999999999995E-3</v>
      </c>
      <c r="Z12" s="280">
        <f t="shared" ref="Z12:AC12" si="27">IF(E12=0,0,ROUND(AVERAGE(E12:E18)/100,4))</f>
        <v>3.5000000000000001E-3</v>
      </c>
      <c r="AA12" s="280">
        <f t="shared" si="27"/>
        <v>1.5E-3</v>
      </c>
      <c r="AB12" s="280">
        <f t="shared" si="27"/>
        <v>9.1999999999999998E-3</v>
      </c>
      <c r="AC12" s="280">
        <f t="shared" si="27"/>
        <v>6.7999999999999996E-3</v>
      </c>
      <c r="AD12" s="280">
        <f t="shared" si="7"/>
        <v>1.5E-3</v>
      </c>
    </row>
    <row r="13" spans="1:30" s="212" customFormat="1" ht="12.75">
      <c r="A13" s="238" t="s">
        <v>3197</v>
      </c>
      <c r="B13" s="229">
        <v>2022</v>
      </c>
      <c r="C13" s="230">
        <v>2</v>
      </c>
      <c r="D13" s="231">
        <v>0.93</v>
      </c>
      <c r="E13" s="231">
        <v>0.15</v>
      </c>
      <c r="F13" s="231">
        <v>0.01</v>
      </c>
      <c r="G13" s="231">
        <v>1.05</v>
      </c>
      <c r="H13" s="232">
        <v>1.08</v>
      </c>
      <c r="I13" s="252">
        <f t="shared" si="4"/>
        <v>0.01</v>
      </c>
      <c r="J13" s="253"/>
      <c r="K13" s="254">
        <f t="shared" si="5"/>
        <v>9.2999999999999992E-3</v>
      </c>
      <c r="L13" s="255">
        <f t="shared" si="5"/>
        <v>1.5E-3</v>
      </c>
      <c r="M13" s="255">
        <f t="shared" si="5"/>
        <v>1E-4</v>
      </c>
      <c r="N13" s="255">
        <f t="shared" si="5"/>
        <v>1.0500000000000001E-2</v>
      </c>
      <c r="O13" s="255">
        <f t="shared" si="5"/>
        <v>1.0800000000000001E-2</v>
      </c>
      <c r="P13" s="255">
        <f t="shared" si="25"/>
        <v>1E-4</v>
      </c>
      <c r="Q13" s="253"/>
      <c r="R13" s="271">
        <f>ROUND(IF(项目基本情况!$B$8="出让",SUMPRODUCT(PRODUCT(1+K13:$K$18)),SUMPRODUCT(PRODUCT(1+K13:$K$17))),4)</f>
        <v>1.0430999999999999</v>
      </c>
      <c r="S13" s="271">
        <f>ROUND(IF(项目基本情况!$B$8="出让",SUMPRODUCT(PRODUCT(1+L13:$L$18)),SUMPRODUCT(PRODUCT(1+L13:$L$17))),4)</f>
        <v>1.0197000000000001</v>
      </c>
      <c r="T13" s="271">
        <f>ROUND(IF(项目基本情况!$B$8="出让",SUMPRODUCT(PRODUCT(1+M13:$M$18)),SUMPRODUCT(PRODUCT(1+M13:$M$17))),4)</f>
        <v>1.0109999999999999</v>
      </c>
      <c r="U13" s="271">
        <f>ROUND(IF(项目基本情况!$B$8="出让",SUMPRODUCT(PRODUCT(1+N13:$N$18)),SUMPRODUCT(PRODUCT(1+N13:$N$17))),4)</f>
        <v>1.0468999999999999</v>
      </c>
      <c r="V13" s="271">
        <f>ROUND(IF(项目基本情况!$B$8="出让",SUMPRODUCT(PRODUCT(1+O13:$O$18)),SUMPRODUCT(PRODUCT(1+O13:$O$17))),4)</f>
        <v>1.0382</v>
      </c>
      <c r="W13" s="271">
        <f t="shared" si="24"/>
        <v>1.0109999999999999</v>
      </c>
      <c r="X13" s="253"/>
      <c r="Y13" s="280">
        <f>IF(D13=0,0,ROUND(AVERAGE(D13:D18)/100,4))</f>
        <v>8.6999999999999994E-3</v>
      </c>
      <c r="Z13" s="280">
        <f t="shared" ref="Z13:AC13" si="28">IF(E13=0,0,ROUND(AVERAGE(E13:E18)/100,4))</f>
        <v>3.5000000000000001E-3</v>
      </c>
      <c r="AA13" s="280">
        <f t="shared" si="28"/>
        <v>1.4E-3</v>
      </c>
      <c r="AB13" s="280">
        <f t="shared" si="28"/>
        <v>9.4999999999999998E-3</v>
      </c>
      <c r="AC13" s="280">
        <f t="shared" si="28"/>
        <v>6.8999999999999999E-3</v>
      </c>
      <c r="AD13" s="280">
        <f t="shared" si="7"/>
        <v>1.4E-3</v>
      </c>
    </row>
    <row r="14" spans="1:30" s="212" customFormat="1" ht="12.75">
      <c r="A14" s="238" t="s">
        <v>3198</v>
      </c>
      <c r="B14" s="229">
        <v>2022</v>
      </c>
      <c r="C14" s="230">
        <v>1</v>
      </c>
      <c r="D14" s="231">
        <v>0.89</v>
      </c>
      <c r="E14" s="231">
        <v>0.44</v>
      </c>
      <c r="F14" s="231">
        <v>0.37</v>
      </c>
      <c r="G14" s="231">
        <v>0.96</v>
      </c>
      <c r="H14" s="232">
        <v>0.64</v>
      </c>
      <c r="I14" s="252">
        <f t="shared" si="4"/>
        <v>0.37</v>
      </c>
      <c r="J14" s="253"/>
      <c r="K14" s="254">
        <f t="shared" si="5"/>
        <v>8.8999999999999999E-3</v>
      </c>
      <c r="L14" s="255">
        <f t="shared" si="5"/>
        <v>4.4000000000000003E-3</v>
      </c>
      <c r="M14" s="255">
        <f t="shared" si="5"/>
        <v>3.7000000000000002E-3</v>
      </c>
      <c r="N14" s="255">
        <f t="shared" si="5"/>
        <v>9.5999999999999992E-3</v>
      </c>
      <c r="O14" s="255">
        <f t="shared" si="5"/>
        <v>6.4000000000000003E-3</v>
      </c>
      <c r="P14" s="255">
        <f t="shared" si="25"/>
        <v>3.7000000000000002E-3</v>
      </c>
      <c r="Q14" s="253"/>
      <c r="R14" s="271">
        <f>ROUND(IF(项目基本情况!$B$8="出让",SUMPRODUCT(PRODUCT(1+K14:$K$18)),SUMPRODUCT(PRODUCT(1+K14:$K$17))),4)</f>
        <v>1.0335000000000001</v>
      </c>
      <c r="S14" s="271">
        <f>ROUND(IF(项目基本情况!$B$8="出让",SUMPRODUCT(PRODUCT(1+L14:$L$18)),SUMPRODUCT(PRODUCT(1+L14:$L$17))),4)</f>
        <v>1.0182</v>
      </c>
      <c r="T14" s="271">
        <f>ROUND(IF(项目基本情况!$B$8="出让",SUMPRODUCT(PRODUCT(1+M14:$M$18)),SUMPRODUCT(PRODUCT(1+M14:$M$17))),4)</f>
        <v>1.0108999999999999</v>
      </c>
      <c r="U14" s="271">
        <f>ROUND(IF(项目基本情况!$B$8="出让",SUMPRODUCT(PRODUCT(1+N14:$N$18)),SUMPRODUCT(PRODUCT(1+N14:$N$17))),4)</f>
        <v>1.0361</v>
      </c>
      <c r="V14" s="271">
        <f>ROUND(IF(项目基本情况!$B$8="出让",SUMPRODUCT(PRODUCT(1+O14:$O$18)),SUMPRODUCT(PRODUCT(1+O14:$O$17))),4)</f>
        <v>1.0270999999999999</v>
      </c>
      <c r="W14" s="271">
        <f t="shared" si="24"/>
        <v>1.0108999999999999</v>
      </c>
      <c r="X14" s="253"/>
      <c r="Y14" s="280">
        <f>IF(D14=0,0,ROUND(AVERAGE(D14:D18)/100,4))</f>
        <v>8.6E-3</v>
      </c>
      <c r="Z14" s="280">
        <f t="shared" ref="Z14:AC14" si="29">IF(E14=0,0,ROUND(AVERAGE(E14:E18)/100,4))</f>
        <v>3.8999999999999998E-3</v>
      </c>
      <c r="AA14" s="280">
        <f t="shared" si="29"/>
        <v>1.6999999999999999E-3</v>
      </c>
      <c r="AB14" s="280">
        <f t="shared" si="29"/>
        <v>9.2999999999999992E-3</v>
      </c>
      <c r="AC14" s="280">
        <f t="shared" si="29"/>
        <v>6.1000000000000004E-3</v>
      </c>
      <c r="AD14" s="280">
        <f t="shared" si="7"/>
        <v>1.6999999999999999E-3</v>
      </c>
    </row>
    <row r="15" spans="1:30" s="212" customFormat="1" ht="12.75">
      <c r="A15" s="238" t="s">
        <v>3199</v>
      </c>
      <c r="B15" s="229">
        <v>2021</v>
      </c>
      <c r="C15" s="230">
        <v>4</v>
      </c>
      <c r="D15" s="231">
        <v>1.03</v>
      </c>
      <c r="E15" s="231">
        <v>0.24</v>
      </c>
      <c r="F15" s="231">
        <v>7.0000000000000007E-2</v>
      </c>
      <c r="G15" s="231">
        <v>1.17</v>
      </c>
      <c r="H15" s="232">
        <v>0.55000000000000004</v>
      </c>
      <c r="I15" s="252">
        <f t="shared" si="4"/>
        <v>7.0000000000000007E-2</v>
      </c>
      <c r="J15" s="253"/>
      <c r="K15" s="254">
        <f t="shared" si="5"/>
        <v>1.03E-2</v>
      </c>
      <c r="L15" s="255">
        <f t="shared" si="5"/>
        <v>2.3999999999999998E-3</v>
      </c>
      <c r="M15" s="255">
        <f t="shared" si="5"/>
        <v>6.9999999999999999E-4</v>
      </c>
      <c r="N15" s="255">
        <f t="shared" si="5"/>
        <v>1.17E-2</v>
      </c>
      <c r="O15" s="255">
        <f t="shared" si="5"/>
        <v>5.4999999999999997E-3</v>
      </c>
      <c r="P15" s="255">
        <f t="shared" si="25"/>
        <v>6.9999999999999999E-4</v>
      </c>
      <c r="Q15" s="253"/>
      <c r="R15" s="271">
        <f>ROUND(IF(项目基本情况!$B$8="出让",SUMPRODUCT(PRODUCT(1+K15:$K$18)),SUMPRODUCT(PRODUCT(1+K15:$K$17))),4)</f>
        <v>1.0244</v>
      </c>
      <c r="S15" s="271">
        <f>ROUND(IF(项目基本情况!$B$8="出让",SUMPRODUCT(PRODUCT(1+L15:$L$18)),SUMPRODUCT(PRODUCT(1+L15:$L$17))),4)</f>
        <v>1.0138</v>
      </c>
      <c r="T15" s="271">
        <f>ROUND(IF(项目基本情况!$B$8="出让",SUMPRODUCT(PRODUCT(1+M15:$M$18)),SUMPRODUCT(PRODUCT(1+M15:$M$17))),4)</f>
        <v>1.0072000000000001</v>
      </c>
      <c r="U15" s="271">
        <f>ROUND(IF(项目基本情况!$B$8="出让",SUMPRODUCT(PRODUCT(1+N15:$N$18)),SUMPRODUCT(PRODUCT(1+N15:$N$17))),4)</f>
        <v>1.0262</v>
      </c>
      <c r="V15" s="271">
        <f>ROUND(IF(项目基本情况!$B$8="出让",SUMPRODUCT(PRODUCT(1+O15:$O$18)),SUMPRODUCT(PRODUCT(1+O15:$O$17))),4)</f>
        <v>1.0205</v>
      </c>
      <c r="W15" s="271">
        <f t="shared" si="24"/>
        <v>1.0072000000000001</v>
      </c>
      <c r="X15" s="253"/>
      <c r="Y15" s="280">
        <f>IF(D15=0,0,ROUND(AVERAGE(D15:D18)/100,4))</f>
        <v>8.5000000000000006E-3</v>
      </c>
      <c r="Z15" s="280">
        <f t="shared" ref="Z15:AC15" si="30">IF(E15=0,0,ROUND(AVERAGE(E15:E18)/100,4))</f>
        <v>3.8E-3</v>
      </c>
      <c r="AA15" s="280">
        <f t="shared" si="30"/>
        <v>1.1999999999999999E-3</v>
      </c>
      <c r="AB15" s="280">
        <f t="shared" si="30"/>
        <v>9.2999999999999992E-3</v>
      </c>
      <c r="AC15" s="280">
        <f t="shared" si="30"/>
        <v>6.0000000000000001E-3</v>
      </c>
      <c r="AD15" s="280">
        <f t="shared" si="7"/>
        <v>1.1999999999999999E-3</v>
      </c>
    </row>
    <row r="16" spans="1:30" s="212" customFormat="1" ht="12.75">
      <c r="A16" s="238" t="s">
        <v>3200</v>
      </c>
      <c r="B16" s="229">
        <v>2021</v>
      </c>
      <c r="C16" s="230">
        <v>3</v>
      </c>
      <c r="D16" s="231">
        <v>0.47</v>
      </c>
      <c r="E16" s="231">
        <v>0.41</v>
      </c>
      <c r="F16" s="231">
        <v>0.24</v>
      </c>
      <c r="G16" s="231">
        <v>0.48</v>
      </c>
      <c r="H16" s="232">
        <v>0.48</v>
      </c>
      <c r="I16" s="252">
        <f t="shared" si="4"/>
        <v>0.24</v>
      </c>
      <c r="J16" s="253"/>
      <c r="K16" s="254">
        <f t="shared" si="5"/>
        <v>4.7000000000000002E-3</v>
      </c>
      <c r="L16" s="255">
        <f t="shared" si="5"/>
        <v>4.1000000000000003E-3</v>
      </c>
      <c r="M16" s="255">
        <f t="shared" si="5"/>
        <v>2.3999999999999998E-3</v>
      </c>
      <c r="N16" s="255">
        <f t="shared" si="5"/>
        <v>4.7999999999999996E-3</v>
      </c>
      <c r="O16" s="255">
        <f t="shared" si="5"/>
        <v>4.7999999999999996E-3</v>
      </c>
      <c r="P16" s="255">
        <f t="shared" si="25"/>
        <v>2.3999999999999998E-3</v>
      </c>
      <c r="Q16" s="253"/>
      <c r="R16" s="271">
        <f>ROUND(IF(项目基本情况!$B$8="出让",SUMPRODUCT(PRODUCT(1+K16:$K$18)),SUMPRODUCT(PRODUCT(1+K16:$K$17))),4)</f>
        <v>1.0139</v>
      </c>
      <c r="S16" s="271">
        <f>ROUND(IF(项目基本情况!$B$8="出让",SUMPRODUCT(PRODUCT(1+L16:$L$18)),SUMPRODUCT(PRODUCT(1+L16:$L$17))),4)</f>
        <v>1.0113000000000001</v>
      </c>
      <c r="T16" s="271">
        <f>ROUND(IF(项目基本情况!$B$8="出让",SUMPRODUCT(PRODUCT(1+M16:$M$18)),SUMPRODUCT(PRODUCT(1+M16:$M$17))),4)</f>
        <v>1.0065</v>
      </c>
      <c r="U16" s="271">
        <f>ROUND(IF(项目基本情况!$B$8="出让",SUMPRODUCT(PRODUCT(1+N16:$N$18)),SUMPRODUCT(PRODUCT(1+N16:$N$17))),4)</f>
        <v>1.0143</v>
      </c>
      <c r="V16" s="271">
        <f>ROUND(IF(项目基本情况!$B$8="出让",SUMPRODUCT(PRODUCT(1+O16:$O$18)),SUMPRODUCT(PRODUCT(1+O16:$O$17))),4)</f>
        <v>1.0148999999999999</v>
      </c>
      <c r="W16" s="271">
        <f t="shared" si="24"/>
        <v>1.0065</v>
      </c>
      <c r="X16" s="253"/>
      <c r="Y16" s="280">
        <f>IF(D16=0,0,ROUND(AVERAGE(D16:D18)/100,4))</f>
        <v>7.9000000000000008E-3</v>
      </c>
      <c r="Z16" s="280">
        <f>IF(E16=0,0,ROUND(AVERAGE(E16:E18)/100,4))</f>
        <v>4.3E-3</v>
      </c>
      <c r="AA16" s="280">
        <f>IF(F16=0,0,ROUND(AVERAGE(F16:F18)/100,4))</f>
        <v>1.2999999999999999E-3</v>
      </c>
      <c r="AB16" s="280">
        <f>IF(G16=0,0,ROUND(AVERAGE(G16:G18)/100,4))</f>
        <v>8.5000000000000006E-3</v>
      </c>
      <c r="AC16" s="280">
        <f>IF(H16=0,0,ROUND(AVERAGE(H16:H18)/100,4))</f>
        <v>6.1999999999999998E-3</v>
      </c>
      <c r="AD16" s="280">
        <f t="shared" si="7"/>
        <v>1.2999999999999999E-3</v>
      </c>
    </row>
    <row r="17" spans="1:30" s="212" customFormat="1" ht="12.75">
      <c r="A17" s="238" t="s">
        <v>3201</v>
      </c>
      <c r="B17" s="229">
        <v>2021</v>
      </c>
      <c r="C17" s="230">
        <v>2</v>
      </c>
      <c r="D17" s="231">
        <v>0.92</v>
      </c>
      <c r="E17" s="231">
        <v>0.72</v>
      </c>
      <c r="F17" s="231">
        <v>0.41</v>
      </c>
      <c r="G17" s="231">
        <v>0.95</v>
      </c>
      <c r="H17" s="232">
        <v>1.01</v>
      </c>
      <c r="I17" s="252">
        <f t="shared" si="4"/>
        <v>0.41</v>
      </c>
      <c r="J17" s="253"/>
      <c r="K17" s="254">
        <f t="shared" si="5"/>
        <v>9.1999999999999998E-3</v>
      </c>
      <c r="L17" s="255">
        <f t="shared" si="5"/>
        <v>7.1999999999999998E-3</v>
      </c>
      <c r="M17" s="255">
        <f t="shared" si="5"/>
        <v>4.1000000000000003E-3</v>
      </c>
      <c r="N17" s="255">
        <f t="shared" si="5"/>
        <v>9.4999999999999998E-3</v>
      </c>
      <c r="O17" s="255">
        <f t="shared" si="5"/>
        <v>1.01E-2</v>
      </c>
      <c r="P17" s="255">
        <f t="shared" si="25"/>
        <v>4.1000000000000003E-3</v>
      </c>
      <c r="Q17" s="253"/>
      <c r="R17" s="271">
        <f>ROUND(IF(项目基本情况!$B$8="出让",SUMPRODUCT(PRODUCT(1+K17:$K$18)),SUMPRODUCT(PRODUCT(1+K17:$K$17))),4)</f>
        <v>1.0092000000000001</v>
      </c>
      <c r="S17" s="271">
        <f>ROUND(IF(项目基本情况!$B$8="出让",SUMPRODUCT(PRODUCT(1+L17:$L$18)),SUMPRODUCT(PRODUCT(1+L17:$L$17))),4)</f>
        <v>1.0072000000000001</v>
      </c>
      <c r="T17" s="271">
        <f>ROUND(IF(项目基本情况!$B$8="出让",SUMPRODUCT(PRODUCT(1+M17:$M$18)),SUMPRODUCT(PRODUCT(1+M17:$M$17))),4)</f>
        <v>1.0041</v>
      </c>
      <c r="U17" s="271">
        <f>ROUND(IF(项目基本情况!$B$8="出让",SUMPRODUCT(PRODUCT(1+N17:$N$18)),SUMPRODUCT(PRODUCT(1+N17:$N$17))),4)</f>
        <v>1.0095000000000001</v>
      </c>
      <c r="V17" s="271">
        <f>ROUND(IF(项目基本情况!$B$8="出让",SUMPRODUCT(PRODUCT(1+O17:$O$18)),SUMPRODUCT(PRODUCT(1+O17:$O$17))),4)</f>
        <v>1.0101</v>
      </c>
      <c r="W17" s="271">
        <f t="shared" si="24"/>
        <v>1.0041</v>
      </c>
      <c r="X17" s="253"/>
      <c r="Y17" s="280">
        <f>IF(D17=0,0,ROUND(AVERAGE(D17:D18)/100,4))</f>
        <v>9.4999999999999998E-3</v>
      </c>
      <c r="Z17" s="280">
        <f>IF(E17=0,0,ROUND(AVERAGE(E17:E18)/100,4))</f>
        <v>4.4000000000000003E-3</v>
      </c>
      <c r="AA17" s="280">
        <f>IF(F17=0,0,ROUND(AVERAGE(F17:F18)/100,4))</f>
        <v>8.0000000000000004E-4</v>
      </c>
      <c r="AB17" s="280">
        <f>IF(G17=0,0,ROUND(AVERAGE(G17:G18)/100,4))</f>
        <v>1.03E-2</v>
      </c>
      <c r="AC17" s="280">
        <f>IF(H17=0,0,ROUND(AVERAGE(H17:H18)/100,4))</f>
        <v>6.8999999999999999E-3</v>
      </c>
      <c r="AD17" s="280">
        <f t="shared" si="7"/>
        <v>8.0000000000000004E-4</v>
      </c>
    </row>
    <row r="18" spans="1:30" s="214" customFormat="1" ht="12.75">
      <c r="A18" s="239" t="s">
        <v>3202</v>
      </c>
      <c r="B18" s="240">
        <v>2021</v>
      </c>
      <c r="C18" s="241">
        <v>1</v>
      </c>
      <c r="D18" s="242">
        <v>0.97</v>
      </c>
      <c r="E18" s="242">
        <v>0.16</v>
      </c>
      <c r="F18" s="242">
        <v>-0.25</v>
      </c>
      <c r="G18" s="242">
        <v>1.1100000000000001</v>
      </c>
      <c r="H18" s="243">
        <v>0.36</v>
      </c>
      <c r="I18" s="260">
        <f t="shared" si="4"/>
        <v>-0.25</v>
      </c>
      <c r="J18" s="261"/>
      <c r="K18" s="262">
        <f t="shared" si="5"/>
        <v>9.7000000000000003E-3</v>
      </c>
      <c r="L18" s="263">
        <f t="shared" si="5"/>
        <v>1.6000000000000001E-3</v>
      </c>
      <c r="M18" s="263">
        <f>F18/100</f>
        <v>-2.5000000000000001E-3</v>
      </c>
      <c r="N18" s="263">
        <f t="shared" si="5"/>
        <v>1.11E-2</v>
      </c>
      <c r="O18" s="263">
        <f t="shared" si="5"/>
        <v>3.5999999999999999E-3</v>
      </c>
      <c r="P18" s="263">
        <f t="shared" si="25"/>
        <v>-2.5000000000000001E-3</v>
      </c>
      <c r="Q18" s="261"/>
      <c r="R18" s="272">
        <v>1</v>
      </c>
      <c r="S18" s="272">
        <v>1</v>
      </c>
      <c r="T18" s="272">
        <v>1</v>
      </c>
      <c r="U18" s="272">
        <v>1</v>
      </c>
      <c r="V18" s="272">
        <v>1</v>
      </c>
      <c r="W18" s="272">
        <f t="shared" ref="W18" si="31">T18</f>
        <v>1</v>
      </c>
      <c r="X18" s="261"/>
      <c r="Y18" s="263">
        <f>IF(D18=0,0,ROUND(AVERAGE(D18:D18)/100,4))</f>
        <v>9.7000000000000003E-3</v>
      </c>
      <c r="Z18" s="263">
        <f>IF(E18=0,0,ROUND(AVERAGE(E18:E18)/100,4))</f>
        <v>1.6000000000000001E-3</v>
      </c>
      <c r="AA18" s="263">
        <f>IF(F18=0,0,ROUND(AVERAGE(F18:F18)/100,4))</f>
        <v>-2.5000000000000001E-3</v>
      </c>
      <c r="AB18" s="263">
        <f>IF(G18=0,0,ROUND(AVERAGE(G18:G18)/100,4))</f>
        <v>1.11E-2</v>
      </c>
      <c r="AC18" s="263">
        <f>IF(H18=0,0,ROUND(AVERAGE(H18:H18)/100,4))</f>
        <v>3.5999999999999999E-3</v>
      </c>
      <c r="AD18" s="263">
        <f t="shared" si="7"/>
        <v>-2.5000000000000001E-3</v>
      </c>
    </row>
    <row r="19" spans="1:30" s="215" customFormat="1"/>
    <row r="20" spans="1:30" s="215" customFormat="1">
      <c r="A20" s="244" t="s">
        <v>3203</v>
      </c>
    </row>
    <row r="21" spans="1:30" s="215" customFormat="1">
      <c r="I21" s="264" t="s">
        <v>2020</v>
      </c>
    </row>
    <row r="22" spans="1:30" s="215" customFormat="1"/>
    <row r="23" spans="1:30" s="216" customFormat="1" ht="12.75">
      <c r="B23" s="218" t="s">
        <v>3204</v>
      </c>
      <c r="C23" s="219"/>
      <c r="D23" s="219"/>
      <c r="E23" s="219"/>
      <c r="F23" s="219"/>
      <c r="G23" s="219"/>
      <c r="H23" s="219"/>
      <c r="I23" s="219"/>
      <c r="J23" s="245"/>
      <c r="K23" s="219" t="s">
        <v>3184</v>
      </c>
      <c r="L23" s="219"/>
      <c r="M23" s="219"/>
      <c r="N23" s="219"/>
      <c r="O23" s="219"/>
      <c r="P23" s="219"/>
      <c r="Q23" s="245"/>
      <c r="R23" s="3929" t="s">
        <v>3185</v>
      </c>
      <c r="S23" s="3930"/>
      <c r="T23" s="3930"/>
      <c r="U23" s="3930"/>
      <c r="V23" s="3930"/>
      <c r="W23" s="3930"/>
      <c r="X23" s="245"/>
      <c r="Y23" s="3929" t="s">
        <v>3186</v>
      </c>
      <c r="Z23" s="3930"/>
      <c r="AA23" s="3930"/>
      <c r="AB23" s="3930"/>
      <c r="AC23" s="3930"/>
      <c r="AD23" s="3930"/>
    </row>
    <row r="24" spans="1:30" s="209" customFormat="1">
      <c r="B24" s="220"/>
      <c r="C24" s="221"/>
      <c r="D24" s="222" t="s">
        <v>3187</v>
      </c>
      <c r="E24" s="223" t="s">
        <v>919</v>
      </c>
      <c r="F24" s="223" t="s">
        <v>2471</v>
      </c>
      <c r="G24" s="223" t="s">
        <v>413</v>
      </c>
      <c r="H24" s="223"/>
      <c r="I24" s="223" t="s">
        <v>279</v>
      </c>
      <c r="J24" s="246"/>
      <c r="K24" s="222" t="s">
        <v>3187</v>
      </c>
      <c r="L24" s="223" t="s">
        <v>919</v>
      </c>
      <c r="M24" s="223" t="s">
        <v>2471</v>
      </c>
      <c r="N24" s="223" t="s">
        <v>413</v>
      </c>
      <c r="O24" s="223"/>
      <c r="P24" s="223" t="s">
        <v>279</v>
      </c>
      <c r="Q24" s="246"/>
      <c r="R24" s="222" t="s">
        <v>3187</v>
      </c>
      <c r="S24" s="223" t="s">
        <v>919</v>
      </c>
      <c r="T24" s="223" t="s">
        <v>2471</v>
      </c>
      <c r="U24" s="223" t="s">
        <v>413</v>
      </c>
      <c r="V24" s="223"/>
      <c r="W24" s="223" t="s">
        <v>279</v>
      </c>
      <c r="X24" s="246"/>
      <c r="Y24" s="222" t="s">
        <v>3187</v>
      </c>
      <c r="Z24" s="223" t="s">
        <v>919</v>
      </c>
      <c r="AA24" s="223" t="s">
        <v>2471</v>
      </c>
      <c r="AB24" s="223" t="s">
        <v>413</v>
      </c>
      <c r="AC24" s="223"/>
      <c r="AD24" s="223" t="s">
        <v>279</v>
      </c>
    </row>
    <row r="25" spans="1:30" s="210" customFormat="1" ht="12.75">
      <c r="A25" s="224" t="s">
        <v>3188</v>
      </c>
      <c r="B25" s="225"/>
      <c r="C25" s="226"/>
      <c r="D25" s="226"/>
      <c r="E25" s="226">
        <f t="shared" ref="E25:G25" si="32">ROUND(AVERAGEIF(E26:E40,"&lt;&gt;0"),2)</f>
        <v>0.42</v>
      </c>
      <c r="F25" s="226">
        <f t="shared" si="32"/>
        <v>0.3</v>
      </c>
      <c r="G25" s="226">
        <f t="shared" si="32"/>
        <v>0.73</v>
      </c>
      <c r="H25" s="226"/>
      <c r="I25" s="226">
        <f>F25</f>
        <v>0.3</v>
      </c>
      <c r="J25" s="247"/>
      <c r="K25" s="248"/>
      <c r="L25" s="249">
        <f t="shared" ref="L25:N25" si="33">ROUND(AVERAGEIF(L26:L40,"&lt;&gt;0"),4)</f>
        <v>4.1999999999999997E-3</v>
      </c>
      <c r="M25" s="249">
        <f t="shared" si="33"/>
        <v>3.0000000000000001E-3</v>
      </c>
      <c r="N25" s="249">
        <f t="shared" si="33"/>
        <v>7.3000000000000001E-3</v>
      </c>
      <c r="O25" s="249"/>
      <c r="P25" s="249">
        <f>M25</f>
        <v>3.0000000000000001E-3</v>
      </c>
      <c r="Q25" s="247"/>
      <c r="R25" s="265"/>
      <c r="S25" s="266">
        <f>ROUND(SUMPRODUCT(PRODUCT(1+L26:L40)),4)</f>
        <v>1.0468</v>
      </c>
      <c r="T25" s="266">
        <f t="shared" ref="T25:U25" si="34">ROUND(SUMPRODUCT(PRODUCT(1+M26:M40)),4)</f>
        <v>1.0337000000000001</v>
      </c>
      <c r="U25" s="266">
        <f t="shared" si="34"/>
        <v>1.0828</v>
      </c>
      <c r="V25" s="266"/>
      <c r="W25" s="265">
        <f>T25</f>
        <v>1.0337000000000001</v>
      </c>
      <c r="X25" s="247"/>
      <c r="Y25" s="273"/>
      <c r="Z25" s="274">
        <f t="shared" ref="Z25:AB25" si="35">ROUND(AVERAGEIF(Z26:Z40,"&lt;&gt;0"),4)</f>
        <v>4.3E-3</v>
      </c>
      <c r="AA25" s="275">
        <f t="shared" si="35"/>
        <v>3.5999999999999999E-3</v>
      </c>
      <c r="AB25" s="273">
        <f t="shared" si="35"/>
        <v>8.8999999999999999E-3</v>
      </c>
      <c r="AC25" s="276"/>
      <c r="AD25" s="273">
        <f>AA25</f>
        <v>3.5999999999999999E-3</v>
      </c>
    </row>
    <row r="26" spans="1:30" s="211" customFormat="1" ht="12.75">
      <c r="B26" s="227"/>
      <c r="C26" s="228"/>
      <c r="D26" s="228"/>
      <c r="E26" s="228"/>
      <c r="F26" s="228"/>
      <c r="G26" s="228"/>
      <c r="H26" s="228"/>
      <c r="I26" s="228"/>
      <c r="J26" s="245"/>
      <c r="K26" s="250"/>
      <c r="L26" s="251"/>
      <c r="M26" s="251"/>
      <c r="N26" s="251"/>
      <c r="O26" s="251"/>
      <c r="P26" s="251"/>
      <c r="Q26" s="245"/>
      <c r="R26" s="267"/>
      <c r="S26" s="268"/>
      <c r="T26" s="269"/>
      <c r="U26" s="267"/>
      <c r="V26" s="270"/>
      <c r="W26" s="267"/>
      <c r="X26" s="245"/>
      <c r="Y26" s="255"/>
      <c r="Z26" s="277"/>
      <c r="AA26" s="278"/>
      <c r="AB26" s="255"/>
      <c r="AC26" s="279"/>
      <c r="AD26" s="255"/>
    </row>
    <row r="27" spans="1:30" s="212" customFormat="1" ht="12.75">
      <c r="A27" s="98" t="s">
        <v>3189</v>
      </c>
      <c r="B27" s="229">
        <v>2023</v>
      </c>
      <c r="C27" s="230">
        <v>4</v>
      </c>
      <c r="D27" s="231"/>
      <c r="E27" s="231">
        <v>0</v>
      </c>
      <c r="F27" s="231">
        <v>0</v>
      </c>
      <c r="G27" s="231">
        <v>0</v>
      </c>
      <c r="H27" s="231"/>
      <c r="I27" s="252">
        <f t="shared" ref="I27:I40" si="36">F27</f>
        <v>0</v>
      </c>
      <c r="J27" s="253"/>
      <c r="K27" s="254"/>
      <c r="L27" s="255">
        <f t="shared" ref="L27:N40" si="37">E27/100</f>
        <v>0</v>
      </c>
      <c r="M27" s="255">
        <f t="shared" si="37"/>
        <v>0</v>
      </c>
      <c r="N27" s="255">
        <f t="shared" si="37"/>
        <v>0</v>
      </c>
      <c r="O27" s="255"/>
      <c r="P27" s="255">
        <f>M27</f>
        <v>0</v>
      </c>
      <c r="Q27" s="253"/>
      <c r="R27" s="271"/>
      <c r="S27" s="271">
        <f>ROUND(IF(项目基本情况!$B$8="出让",SUMPRODUCT(PRODUCT(1+L27:L$40)),SUMPRODUCT(PRODUCT(1+L27:L$39))),4)</f>
        <v>1.0431999999999999</v>
      </c>
      <c r="T27" s="271">
        <f>ROUND(IF(项目基本情况!$B$8="出让",SUMPRODUCT(PRODUCT(1+M27:M$40)),SUMPRODUCT(PRODUCT(1+M27:M$39))),4)</f>
        <v>1.0286999999999999</v>
      </c>
      <c r="U27" s="271">
        <f>ROUND(IF(项目基本情况!$B$8="出让",SUMPRODUCT(PRODUCT(1+N27:N$40)),SUMPRODUCT(PRODUCT(1+N27:N$39))),4)</f>
        <v>1.0723</v>
      </c>
      <c r="V27" s="271"/>
      <c r="W27" s="271">
        <f>T27</f>
        <v>1.0286999999999999</v>
      </c>
      <c r="X27" s="253"/>
      <c r="Y27" s="280"/>
      <c r="Z27" s="281">
        <f>IF(E27=0,0,ROUND(AVERAGE(E27:E40)/100,4))</f>
        <v>0</v>
      </c>
      <c r="AA27" s="281">
        <f>IF(F27=0,0,ROUND(AVERAGE(F27:F40)/100,4))</f>
        <v>0</v>
      </c>
      <c r="AB27" s="281">
        <f>IF(G27=0,0,ROUND(AVERAGE(G27:G40)/100,4))</f>
        <v>0</v>
      </c>
      <c r="AC27" s="282"/>
      <c r="AD27" s="280">
        <f>IF(I27=0,0,ROUND(AVERAGE(I27:I40)/100,4))</f>
        <v>0</v>
      </c>
    </row>
    <row r="28" spans="1:30" s="212" customFormat="1" ht="12.75">
      <c r="A28" s="98" t="s">
        <v>3190</v>
      </c>
      <c r="B28" s="229">
        <v>2023</v>
      </c>
      <c r="C28" s="230">
        <v>3</v>
      </c>
      <c r="D28" s="231"/>
      <c r="E28" s="231">
        <v>0</v>
      </c>
      <c r="F28" s="231">
        <v>0</v>
      </c>
      <c r="G28" s="231">
        <v>0</v>
      </c>
      <c r="H28" s="231"/>
      <c r="I28" s="252">
        <f t="shared" ref="I28:I29" si="38">F28</f>
        <v>0</v>
      </c>
      <c r="J28" s="253"/>
      <c r="K28" s="254"/>
      <c r="L28" s="255">
        <f t="shared" ref="L28" si="39">E28/100</f>
        <v>0</v>
      </c>
      <c r="M28" s="255">
        <f t="shared" ref="M28" si="40">F28/100</f>
        <v>0</v>
      </c>
      <c r="N28" s="255">
        <f t="shared" ref="N28" si="41">G28/100</f>
        <v>0</v>
      </c>
      <c r="O28" s="255"/>
      <c r="P28" s="255">
        <f t="shared" ref="P28" si="42">M28</f>
        <v>0</v>
      </c>
      <c r="Q28" s="253"/>
      <c r="R28" s="271"/>
      <c r="S28" s="271">
        <f>ROUND(IF(项目基本情况!$B$8="出让",SUMPRODUCT(PRODUCT(1+L28:L$40)),SUMPRODUCT(PRODUCT(1+L28:L$39))),4)</f>
        <v>1.0431999999999999</v>
      </c>
      <c r="T28" s="271">
        <f>ROUND(IF(项目基本情况!$B$8="出让",SUMPRODUCT(PRODUCT(1+M28:M$40)),SUMPRODUCT(PRODUCT(1+M28:M$39))),4)</f>
        <v>1.0286999999999999</v>
      </c>
      <c r="U28" s="271">
        <f>ROUND(IF(项目基本情况!$B$8="出让",SUMPRODUCT(PRODUCT(1+N28:N$40)),SUMPRODUCT(PRODUCT(1+N28:N$39))),4)</f>
        <v>1.0723</v>
      </c>
      <c r="V28" s="271"/>
      <c r="W28" s="271">
        <f t="shared" ref="W28" si="43">T28</f>
        <v>1.0286999999999999</v>
      </c>
      <c r="X28" s="253"/>
      <c r="Y28" s="280"/>
      <c r="Z28" s="281"/>
      <c r="AA28" s="283"/>
      <c r="AB28" s="280"/>
      <c r="AC28" s="282"/>
      <c r="AD28" s="280"/>
    </row>
    <row r="29" spans="1:30" s="212" customFormat="1" ht="12.75">
      <c r="A29" s="98" t="s">
        <v>3191</v>
      </c>
      <c r="B29" s="229">
        <v>2023</v>
      </c>
      <c r="C29" s="230">
        <v>3</v>
      </c>
      <c r="D29" s="231"/>
      <c r="E29" s="231">
        <v>0</v>
      </c>
      <c r="F29" s="231">
        <v>0</v>
      </c>
      <c r="G29" s="231">
        <v>0</v>
      </c>
      <c r="H29" s="231"/>
      <c r="I29" s="252">
        <f t="shared" si="38"/>
        <v>0</v>
      </c>
      <c r="J29" s="253"/>
      <c r="K29" s="254"/>
      <c r="L29" s="255">
        <f t="shared" si="37"/>
        <v>0</v>
      </c>
      <c r="M29" s="255">
        <f t="shared" si="37"/>
        <v>0</v>
      </c>
      <c r="N29" s="255">
        <f t="shared" si="37"/>
        <v>0</v>
      </c>
      <c r="O29" s="255"/>
      <c r="P29" s="255">
        <f t="shared" ref="P29" si="44">M29</f>
        <v>0</v>
      </c>
      <c r="Q29" s="253"/>
      <c r="R29" s="271"/>
      <c r="S29" s="271">
        <f>ROUND(IF(项目基本情况!$B$8="出让",SUMPRODUCT(PRODUCT(1+L29:L$40)),SUMPRODUCT(PRODUCT(1+L29:L$39))),4)</f>
        <v>1.0431999999999999</v>
      </c>
      <c r="T29" s="271">
        <f>ROUND(IF(项目基本情况!$B$8="出让",SUMPRODUCT(PRODUCT(1+M29:M$40)),SUMPRODUCT(PRODUCT(1+M29:M$39))),4)</f>
        <v>1.0286999999999999</v>
      </c>
      <c r="U29" s="271">
        <f>ROUND(IF(项目基本情况!$B$8="出让",SUMPRODUCT(PRODUCT(1+N29:N$40)),SUMPRODUCT(PRODUCT(1+N29:N$39))),4)</f>
        <v>1.0723</v>
      </c>
      <c r="V29" s="271"/>
      <c r="W29" s="271">
        <f t="shared" ref="W29" si="45">T29</f>
        <v>1.0286999999999999</v>
      </c>
      <c r="X29" s="253"/>
      <c r="Y29" s="280"/>
      <c r="Z29" s="281"/>
      <c r="AA29" s="283"/>
      <c r="AB29" s="280"/>
      <c r="AC29" s="282"/>
      <c r="AD29" s="280"/>
    </row>
    <row r="30" spans="1:30" s="213" customFormat="1" ht="12.75">
      <c r="A30" s="233" t="s">
        <v>3192</v>
      </c>
      <c r="B30" s="234">
        <v>2023</v>
      </c>
      <c r="C30" s="235">
        <v>3</v>
      </c>
      <c r="D30" s="236"/>
      <c r="E30" s="236">
        <v>0.35</v>
      </c>
      <c r="F30" s="236">
        <v>0.17</v>
      </c>
      <c r="G30" s="236">
        <v>0.52</v>
      </c>
      <c r="H30" s="237"/>
      <c r="I30" s="256">
        <f t="shared" si="36"/>
        <v>0.17</v>
      </c>
      <c r="J30" s="257"/>
      <c r="K30" s="258"/>
      <c r="L30" s="259">
        <f t="shared" ref="L30:L32" si="46">E30/100</f>
        <v>3.5000000000000001E-3</v>
      </c>
      <c r="M30" s="259">
        <f t="shared" ref="M30:M32" si="47">F30/100</f>
        <v>1.6999999999999999E-3</v>
      </c>
      <c r="N30" s="259">
        <f t="shared" ref="N30:N32" si="48">G30/100</f>
        <v>5.1999999999999998E-3</v>
      </c>
      <c r="O30" s="259"/>
      <c r="P30" s="259">
        <f t="shared" ref="P30:P32" si="49">M30</f>
        <v>1.6999999999999999E-3</v>
      </c>
      <c r="Q30" s="257"/>
      <c r="R30" s="257"/>
      <c r="S30" s="257">
        <f>ROUND(IF(项目基本情况!$B$8="出让",SUMPRODUCT(PRODUCT(1+L30:L$40)),SUMPRODUCT(PRODUCT(1+L30:L$39))),4)</f>
        <v>1.0431999999999999</v>
      </c>
      <c r="T30" s="257">
        <f>ROUND(IF(项目基本情况!$B$8="出让",SUMPRODUCT(PRODUCT(1+M30:M$40)),SUMPRODUCT(PRODUCT(1+M30:M$39))),4)</f>
        <v>1.0286999999999999</v>
      </c>
      <c r="U30" s="257">
        <f>ROUND(IF(项目基本情况!$B$8="出让",SUMPRODUCT(PRODUCT(1+N30:N$40)),SUMPRODUCT(PRODUCT(1+N30:N$39))),4)</f>
        <v>1.0723</v>
      </c>
      <c r="V30" s="257"/>
      <c r="W30" s="257">
        <f t="shared" ref="W30:W32" si="50">T30</f>
        <v>1.0286999999999999</v>
      </c>
      <c r="X30" s="257"/>
      <c r="Y30" s="259"/>
      <c r="Z30" s="284"/>
      <c r="AA30" s="285"/>
      <c r="AB30" s="259"/>
      <c r="AC30" s="286"/>
      <c r="AD30" s="259"/>
    </row>
    <row r="31" spans="1:30" s="212" customFormat="1" ht="12.75">
      <c r="A31" s="238" t="s">
        <v>3193</v>
      </c>
      <c r="B31" s="229">
        <v>2023</v>
      </c>
      <c r="C31" s="230">
        <v>2</v>
      </c>
      <c r="D31" s="231"/>
      <c r="E31" s="231">
        <v>0.5</v>
      </c>
      <c r="F31" s="231">
        <v>0.45</v>
      </c>
      <c r="G31" s="231">
        <v>0.89</v>
      </c>
      <c r="H31" s="232"/>
      <c r="I31" s="252">
        <f t="shared" si="36"/>
        <v>0.45</v>
      </c>
      <c r="J31" s="253"/>
      <c r="K31" s="254"/>
      <c r="L31" s="255">
        <f t="shared" si="46"/>
        <v>5.0000000000000001E-3</v>
      </c>
      <c r="M31" s="255">
        <f t="shared" si="47"/>
        <v>4.4999999999999997E-3</v>
      </c>
      <c r="N31" s="255">
        <f t="shared" si="48"/>
        <v>8.8999999999999999E-3</v>
      </c>
      <c r="O31" s="255"/>
      <c r="P31" s="255">
        <f t="shared" si="49"/>
        <v>4.4999999999999997E-3</v>
      </c>
      <c r="Q31" s="253"/>
      <c r="R31" s="271"/>
      <c r="S31" s="271">
        <f>ROUND(IF(项目基本情况!$B$8="出让",SUMPRODUCT(PRODUCT(1+L31:L$40)),SUMPRODUCT(PRODUCT(1+L31:L$39))),4)</f>
        <v>1.0396000000000001</v>
      </c>
      <c r="T31" s="271">
        <f>ROUND(IF(项目基本情况!$B$8="出让",SUMPRODUCT(PRODUCT(1+M31:M$40)),SUMPRODUCT(PRODUCT(1+M31:M$39))),4)</f>
        <v>1.0269999999999999</v>
      </c>
      <c r="U31" s="271">
        <f>ROUND(IF(项目基本情况!$B$8="出让",SUMPRODUCT(PRODUCT(1+N31:N$40)),SUMPRODUCT(PRODUCT(1+N31:N$39))),4)</f>
        <v>1.0668</v>
      </c>
      <c r="V31" s="271"/>
      <c r="W31" s="271">
        <f t="shared" si="50"/>
        <v>1.0269999999999999</v>
      </c>
      <c r="X31" s="253"/>
      <c r="Y31" s="280"/>
      <c r="Z31" s="281"/>
      <c r="AA31" s="283"/>
      <c r="AB31" s="280"/>
      <c r="AC31" s="282"/>
      <c r="AD31" s="280"/>
    </row>
    <row r="32" spans="1:30" s="212" customFormat="1" ht="12.75">
      <c r="A32" s="238" t="s">
        <v>3194</v>
      </c>
      <c r="B32" s="229">
        <v>2023</v>
      </c>
      <c r="C32" s="230">
        <v>1</v>
      </c>
      <c r="D32" s="231"/>
      <c r="E32" s="231">
        <v>0.55000000000000004</v>
      </c>
      <c r="F32" s="231">
        <v>0.59</v>
      </c>
      <c r="G32" s="231">
        <v>0.64</v>
      </c>
      <c r="H32" s="232"/>
      <c r="I32" s="252">
        <f t="shared" si="36"/>
        <v>0.59</v>
      </c>
      <c r="J32" s="253"/>
      <c r="K32" s="254"/>
      <c r="L32" s="255">
        <f t="shared" si="46"/>
        <v>5.4999999999999997E-3</v>
      </c>
      <c r="M32" s="255">
        <f t="shared" si="47"/>
        <v>5.8999999999999999E-3</v>
      </c>
      <c r="N32" s="255">
        <f t="shared" si="48"/>
        <v>6.4000000000000003E-3</v>
      </c>
      <c r="O32" s="255"/>
      <c r="P32" s="255">
        <f t="shared" si="49"/>
        <v>5.8999999999999999E-3</v>
      </c>
      <c r="Q32" s="253"/>
      <c r="R32" s="271"/>
      <c r="S32" s="271">
        <f>ROUND(IF(项目基本情况!$B$8="出让",SUMPRODUCT(PRODUCT(1+L32:L$40)),SUMPRODUCT(PRODUCT(1+L32:L$39))),4)</f>
        <v>1.0344</v>
      </c>
      <c r="T32" s="271">
        <f>ROUND(IF(项目基本情况!$B$8="出让",SUMPRODUCT(PRODUCT(1+M32:M$40)),SUMPRODUCT(PRODUCT(1+M32:M$39))),4)</f>
        <v>1.0224</v>
      </c>
      <c r="U32" s="271">
        <f>ROUND(IF(项目基本情况!$B$8="出让",SUMPRODUCT(PRODUCT(1+N32:N$40)),SUMPRODUCT(PRODUCT(1+N32:N$39))),4)</f>
        <v>1.0573999999999999</v>
      </c>
      <c r="V32" s="271"/>
      <c r="W32" s="271">
        <f t="shared" si="50"/>
        <v>1.0224</v>
      </c>
      <c r="X32" s="253"/>
      <c r="Y32" s="280"/>
      <c r="Z32" s="281"/>
      <c r="AA32" s="283"/>
      <c r="AB32" s="280"/>
      <c r="AC32" s="282"/>
      <c r="AD32" s="280"/>
    </row>
    <row r="33" spans="1:30" s="212" customFormat="1" ht="12.75">
      <c r="A33" s="238" t="s">
        <v>3195</v>
      </c>
      <c r="B33" s="229">
        <v>2022</v>
      </c>
      <c r="C33" s="230">
        <v>4</v>
      </c>
      <c r="D33" s="231"/>
      <c r="E33" s="231">
        <v>0.45</v>
      </c>
      <c r="F33" s="231">
        <v>0.2</v>
      </c>
      <c r="G33" s="231">
        <v>0.38</v>
      </c>
      <c r="H33" s="232"/>
      <c r="I33" s="252">
        <f t="shared" si="36"/>
        <v>0.2</v>
      </c>
      <c r="J33" s="253"/>
      <c r="K33" s="254"/>
      <c r="L33" s="255">
        <f t="shared" si="37"/>
        <v>4.4999999999999997E-3</v>
      </c>
      <c r="M33" s="255">
        <f t="shared" si="37"/>
        <v>2E-3</v>
      </c>
      <c r="N33" s="255">
        <f t="shared" si="37"/>
        <v>3.8E-3</v>
      </c>
      <c r="O33" s="255"/>
      <c r="P33" s="255">
        <f t="shared" ref="P33:P40" si="51">M33</f>
        <v>2E-3</v>
      </c>
      <c r="Q33" s="253"/>
      <c r="R33" s="271"/>
      <c r="S33" s="271">
        <f>ROUND(IF(项目基本情况!$B$8="出让",SUMPRODUCT(PRODUCT(1+L33:L$40)),SUMPRODUCT(PRODUCT(1+L33:L$39))),4)</f>
        <v>1.0286999999999999</v>
      </c>
      <c r="T33" s="271">
        <f>ROUND(IF(项目基本情况!$B$8="出让",SUMPRODUCT(PRODUCT(1+M33:M$40)),SUMPRODUCT(PRODUCT(1+M33:M$39))),4)</f>
        <v>1.0164</v>
      </c>
      <c r="U33" s="271">
        <f>ROUND(IF(项目基本情况!$B$8="出让",SUMPRODUCT(PRODUCT(1+N33:N$40)),SUMPRODUCT(PRODUCT(1+N33:N$39))),4)</f>
        <v>1.0506</v>
      </c>
      <c r="V33" s="271"/>
      <c r="W33" s="271">
        <f t="shared" ref="W33:W40" si="52">T33</f>
        <v>1.0164</v>
      </c>
      <c r="X33" s="253"/>
      <c r="Y33" s="280"/>
      <c r="Z33" s="281">
        <f t="shared" ref="Z33:AD40" si="53">IF(E33=0,0,ROUND(AVERAGE(E33:E41)/100,4))</f>
        <v>4.0000000000000001E-3</v>
      </c>
      <c r="AA33" s="283">
        <f t="shared" si="53"/>
        <v>2.5999999999999999E-3</v>
      </c>
      <c r="AB33" s="280">
        <f t="shared" si="53"/>
        <v>7.4000000000000003E-3</v>
      </c>
      <c r="AC33" s="282"/>
      <c r="AD33" s="280">
        <f t="shared" si="53"/>
        <v>2.5999999999999999E-3</v>
      </c>
    </row>
    <row r="34" spans="1:30" s="212" customFormat="1" ht="12.75">
      <c r="A34" s="238" t="s">
        <v>3196</v>
      </c>
      <c r="B34" s="229">
        <v>2022</v>
      </c>
      <c r="C34" s="230">
        <v>3</v>
      </c>
      <c r="D34" s="231"/>
      <c r="E34" s="231">
        <v>0.3</v>
      </c>
      <c r="F34" s="231">
        <v>0.28999999999999998</v>
      </c>
      <c r="G34" s="231">
        <v>0.83</v>
      </c>
      <c r="H34" s="232"/>
      <c r="I34" s="252">
        <f t="shared" si="36"/>
        <v>0.28999999999999998</v>
      </c>
      <c r="J34" s="253"/>
      <c r="K34" s="254"/>
      <c r="L34" s="255">
        <f t="shared" si="37"/>
        <v>3.0000000000000001E-3</v>
      </c>
      <c r="M34" s="255">
        <f t="shared" si="37"/>
        <v>2.8999999999999998E-3</v>
      </c>
      <c r="N34" s="255">
        <f t="shared" si="37"/>
        <v>8.3000000000000001E-3</v>
      </c>
      <c r="O34" s="255"/>
      <c r="P34" s="255">
        <f t="shared" si="51"/>
        <v>2.8999999999999998E-3</v>
      </c>
      <c r="Q34" s="253"/>
      <c r="R34" s="271"/>
      <c r="S34" s="271">
        <f>ROUND(IF(项目基本情况!$B$8="出让",SUMPRODUCT(PRODUCT(1+L34:L$40)),SUMPRODUCT(PRODUCT(1+L34:L$39))),4)</f>
        <v>1.0241</v>
      </c>
      <c r="T34" s="271">
        <f>ROUND(IF(项目基本情况!$B$8="出让",SUMPRODUCT(PRODUCT(1+M34:M$40)),SUMPRODUCT(PRODUCT(1+M34:M$39))),4)</f>
        <v>1.0144</v>
      </c>
      <c r="U34" s="271">
        <f>ROUND(IF(项目基本情况!$B$8="出让",SUMPRODUCT(PRODUCT(1+N34:N$40)),SUMPRODUCT(PRODUCT(1+N34:N$39))),4)</f>
        <v>1.0467</v>
      </c>
      <c r="V34" s="271"/>
      <c r="W34" s="271">
        <f t="shared" si="52"/>
        <v>1.0144</v>
      </c>
      <c r="X34" s="253"/>
      <c r="Y34" s="280"/>
      <c r="Z34" s="281">
        <f t="shared" si="53"/>
        <v>3.8999999999999998E-3</v>
      </c>
      <c r="AA34" s="283">
        <f t="shared" si="53"/>
        <v>2.7000000000000001E-3</v>
      </c>
      <c r="AB34" s="280">
        <f t="shared" si="53"/>
        <v>7.9000000000000008E-3</v>
      </c>
      <c r="AC34" s="282"/>
      <c r="AD34" s="280">
        <f t="shared" si="53"/>
        <v>2.7000000000000001E-3</v>
      </c>
    </row>
    <row r="35" spans="1:30" s="212" customFormat="1" ht="12.75">
      <c r="A35" s="238" t="s">
        <v>3197</v>
      </c>
      <c r="B35" s="229">
        <v>2022</v>
      </c>
      <c r="C35" s="230">
        <v>2</v>
      </c>
      <c r="D35" s="231"/>
      <c r="E35" s="231">
        <v>-0.11</v>
      </c>
      <c r="F35" s="231">
        <v>-0.13</v>
      </c>
      <c r="G35" s="231">
        <v>0.53</v>
      </c>
      <c r="H35" s="232"/>
      <c r="I35" s="252">
        <f t="shared" si="36"/>
        <v>-0.13</v>
      </c>
      <c r="J35" s="253"/>
      <c r="K35" s="254"/>
      <c r="L35" s="255">
        <f t="shared" si="37"/>
        <v>-1.1000000000000001E-3</v>
      </c>
      <c r="M35" s="255">
        <f t="shared" si="37"/>
        <v>-1.2999999999999999E-3</v>
      </c>
      <c r="N35" s="255">
        <f t="shared" si="37"/>
        <v>5.3E-3</v>
      </c>
      <c r="O35" s="255"/>
      <c r="P35" s="255">
        <f t="shared" si="51"/>
        <v>-1.2999999999999999E-3</v>
      </c>
      <c r="Q35" s="253"/>
      <c r="R35" s="271"/>
      <c r="S35" s="271">
        <f>ROUND(IF(项目基本情况!$B$8="出让",SUMPRODUCT(PRODUCT(1+L35:L$40)),SUMPRODUCT(PRODUCT(1+L35:L$39))),4)</f>
        <v>1.0210999999999999</v>
      </c>
      <c r="T35" s="271">
        <f>ROUND(IF(项目基本情况!$B$8="出让",SUMPRODUCT(PRODUCT(1+M35:M$40)),SUMPRODUCT(PRODUCT(1+M35:M$39))),4)</f>
        <v>1.0114000000000001</v>
      </c>
      <c r="U35" s="271">
        <f>ROUND(IF(项目基本情况!$B$8="出让",SUMPRODUCT(PRODUCT(1+N35:N$40)),SUMPRODUCT(PRODUCT(1+N35:N$39))),4)</f>
        <v>1.0381</v>
      </c>
      <c r="V35" s="271"/>
      <c r="W35" s="271">
        <f t="shared" si="52"/>
        <v>1.0114000000000001</v>
      </c>
      <c r="X35" s="253"/>
      <c r="Y35" s="280"/>
      <c r="Z35" s="281">
        <f t="shared" si="53"/>
        <v>4.1000000000000003E-3</v>
      </c>
      <c r="AA35" s="283">
        <f t="shared" si="53"/>
        <v>2.7000000000000001E-3</v>
      </c>
      <c r="AB35" s="280">
        <f t="shared" si="53"/>
        <v>7.9000000000000008E-3</v>
      </c>
      <c r="AC35" s="282"/>
      <c r="AD35" s="280">
        <f t="shared" si="53"/>
        <v>2.7000000000000001E-3</v>
      </c>
    </row>
    <row r="36" spans="1:30" s="212" customFormat="1" ht="12.75">
      <c r="A36" s="238" t="s">
        <v>3198</v>
      </c>
      <c r="B36" s="229">
        <v>2022</v>
      </c>
      <c r="C36" s="230">
        <v>1</v>
      </c>
      <c r="D36" s="231"/>
      <c r="E36" s="231">
        <v>0.6</v>
      </c>
      <c r="F36" s="231">
        <v>0.45</v>
      </c>
      <c r="G36" s="231">
        <v>0.53</v>
      </c>
      <c r="H36" s="232"/>
      <c r="I36" s="252">
        <f t="shared" si="36"/>
        <v>0.45</v>
      </c>
      <c r="J36" s="253"/>
      <c r="K36" s="254"/>
      <c r="L36" s="255">
        <f t="shared" si="37"/>
        <v>6.0000000000000001E-3</v>
      </c>
      <c r="M36" s="255">
        <f t="shared" si="37"/>
        <v>4.4999999999999997E-3</v>
      </c>
      <c r="N36" s="255">
        <f t="shared" si="37"/>
        <v>5.3E-3</v>
      </c>
      <c r="O36" s="255"/>
      <c r="P36" s="255">
        <f t="shared" si="51"/>
        <v>4.4999999999999997E-3</v>
      </c>
      <c r="Q36" s="253"/>
      <c r="R36" s="271"/>
      <c r="S36" s="271">
        <f>ROUND(IF(项目基本情况!$B$8="出让",SUMPRODUCT(PRODUCT(1+L36:L$40)),SUMPRODUCT(PRODUCT(1+L36:L$39))),4)</f>
        <v>1.0222</v>
      </c>
      <c r="T36" s="271">
        <f>ROUND(IF(项目基本情况!$B$8="出让",SUMPRODUCT(PRODUCT(1+M36:M$40)),SUMPRODUCT(PRODUCT(1+M36:M$39))),4)</f>
        <v>1.0127999999999999</v>
      </c>
      <c r="U36" s="271">
        <f>ROUND(IF(项目基本情况!$B$8="出让",SUMPRODUCT(PRODUCT(1+N36:N$40)),SUMPRODUCT(PRODUCT(1+N36:N$39))),4)</f>
        <v>1.0326</v>
      </c>
      <c r="V36" s="271"/>
      <c r="W36" s="271">
        <f t="shared" si="52"/>
        <v>1.0127999999999999</v>
      </c>
      <c r="X36" s="253"/>
      <c r="Y36" s="280"/>
      <c r="Z36" s="281">
        <f t="shared" si="53"/>
        <v>5.1000000000000004E-3</v>
      </c>
      <c r="AA36" s="283">
        <f t="shared" si="53"/>
        <v>3.5000000000000001E-3</v>
      </c>
      <c r="AB36" s="280">
        <f t="shared" si="53"/>
        <v>8.3999999999999995E-3</v>
      </c>
      <c r="AC36" s="282"/>
      <c r="AD36" s="280">
        <f t="shared" si="53"/>
        <v>3.5000000000000001E-3</v>
      </c>
    </row>
    <row r="37" spans="1:30" s="212" customFormat="1" ht="12.75">
      <c r="A37" s="238" t="s">
        <v>3199</v>
      </c>
      <c r="B37" s="229">
        <v>2021</v>
      </c>
      <c r="C37" s="230">
        <v>4</v>
      </c>
      <c r="D37" s="231"/>
      <c r="E37" s="231">
        <v>0.57999999999999996</v>
      </c>
      <c r="F37" s="231">
        <v>0.08</v>
      </c>
      <c r="G37" s="231">
        <v>0.68</v>
      </c>
      <c r="H37" s="232"/>
      <c r="I37" s="252">
        <f t="shared" si="36"/>
        <v>0.08</v>
      </c>
      <c r="J37" s="253"/>
      <c r="K37" s="254"/>
      <c r="L37" s="255">
        <f t="shared" si="37"/>
        <v>5.7999999999999996E-3</v>
      </c>
      <c r="M37" s="255">
        <f t="shared" si="37"/>
        <v>8.0000000000000004E-4</v>
      </c>
      <c r="N37" s="255">
        <f t="shared" si="37"/>
        <v>6.7999999999999996E-3</v>
      </c>
      <c r="O37" s="255"/>
      <c r="P37" s="255">
        <f t="shared" si="51"/>
        <v>8.0000000000000004E-4</v>
      </c>
      <c r="Q37" s="253"/>
      <c r="R37" s="271"/>
      <c r="S37" s="271">
        <f>ROUND(IF(项目基本情况!$B$8="出让",SUMPRODUCT(PRODUCT(1+L37:L$40)),SUMPRODUCT(PRODUCT(1+L37:L$39))),4)</f>
        <v>1.0161</v>
      </c>
      <c r="T37" s="271">
        <f>ROUND(IF(项目基本情况!$B$8="出让",SUMPRODUCT(PRODUCT(1+M37:M$40)),SUMPRODUCT(PRODUCT(1+M37:M$39))),4)</f>
        <v>1.0082</v>
      </c>
      <c r="U37" s="271">
        <f>ROUND(IF(项目基本情况!$B$8="出让",SUMPRODUCT(PRODUCT(1+N37:N$40)),SUMPRODUCT(PRODUCT(1+N37:N$39))),4)</f>
        <v>1.0270999999999999</v>
      </c>
      <c r="V37" s="271"/>
      <c r="W37" s="271">
        <f t="shared" si="52"/>
        <v>1.0082</v>
      </c>
      <c r="X37" s="253"/>
      <c r="Y37" s="280"/>
      <c r="Z37" s="281">
        <f t="shared" si="53"/>
        <v>4.8999999999999998E-3</v>
      </c>
      <c r="AA37" s="283">
        <f t="shared" si="53"/>
        <v>3.3E-3</v>
      </c>
      <c r="AB37" s="280">
        <f t="shared" si="53"/>
        <v>9.1999999999999998E-3</v>
      </c>
      <c r="AC37" s="282"/>
      <c r="AD37" s="280">
        <f t="shared" si="53"/>
        <v>3.3E-3</v>
      </c>
    </row>
    <row r="38" spans="1:30" s="212" customFormat="1" ht="12.75">
      <c r="A38" s="238" t="s">
        <v>3200</v>
      </c>
      <c r="B38" s="229">
        <v>2021</v>
      </c>
      <c r="C38" s="230">
        <v>3</v>
      </c>
      <c r="D38" s="231"/>
      <c r="E38" s="231">
        <v>0.47</v>
      </c>
      <c r="F38" s="231">
        <v>0.28000000000000003</v>
      </c>
      <c r="G38" s="231">
        <v>0.91</v>
      </c>
      <c r="H38" s="232"/>
      <c r="I38" s="252">
        <f t="shared" si="36"/>
        <v>0.28000000000000003</v>
      </c>
      <c r="J38" s="253"/>
      <c r="K38" s="254"/>
      <c r="L38" s="255">
        <f t="shared" si="37"/>
        <v>4.7000000000000002E-3</v>
      </c>
      <c r="M38" s="255">
        <f t="shared" si="37"/>
        <v>2.8E-3</v>
      </c>
      <c r="N38" s="255">
        <f t="shared" si="37"/>
        <v>9.1000000000000004E-3</v>
      </c>
      <c r="O38" s="255"/>
      <c r="P38" s="255">
        <f t="shared" si="51"/>
        <v>2.8E-3</v>
      </c>
      <c r="Q38" s="253"/>
      <c r="R38" s="271"/>
      <c r="S38" s="271">
        <f>ROUND(IF(项目基本情况!$B$8="出让",SUMPRODUCT(PRODUCT(1+L38:L$40)),SUMPRODUCT(PRODUCT(1+L38:L$39))),4)</f>
        <v>1.0102</v>
      </c>
      <c r="T38" s="271">
        <f>ROUND(IF(项目基本情况!$B$8="出让",SUMPRODUCT(PRODUCT(1+M38:M$40)),SUMPRODUCT(PRODUCT(1+M38:M$39))),4)</f>
        <v>1.0074000000000001</v>
      </c>
      <c r="U38" s="271">
        <f>ROUND(IF(项目基本情况!$B$8="出让",SUMPRODUCT(PRODUCT(1+N38:N$40)),SUMPRODUCT(PRODUCT(1+N38:N$39))),4)</f>
        <v>1.0202</v>
      </c>
      <c r="V38" s="271"/>
      <c r="W38" s="271">
        <f t="shared" si="52"/>
        <v>1.0074000000000001</v>
      </c>
      <c r="X38" s="253"/>
      <c r="Y38" s="280"/>
      <c r="Z38" s="281">
        <f t="shared" si="53"/>
        <v>4.5999999999999999E-3</v>
      </c>
      <c r="AA38" s="283">
        <f t="shared" si="53"/>
        <v>4.1000000000000003E-3</v>
      </c>
      <c r="AB38" s="280">
        <f t="shared" si="53"/>
        <v>0.01</v>
      </c>
      <c r="AC38" s="282"/>
      <c r="AD38" s="280">
        <f t="shared" si="53"/>
        <v>4.1000000000000003E-3</v>
      </c>
    </row>
    <row r="39" spans="1:30" s="212" customFormat="1" ht="12.75">
      <c r="A39" s="238" t="s">
        <v>3201</v>
      </c>
      <c r="B39" s="229">
        <v>2021</v>
      </c>
      <c r="C39" s="230">
        <v>2</v>
      </c>
      <c r="D39" s="231"/>
      <c r="E39" s="231">
        <v>0.55000000000000004</v>
      </c>
      <c r="F39" s="231">
        <v>0.46</v>
      </c>
      <c r="G39" s="231">
        <v>1.1000000000000001</v>
      </c>
      <c r="H39" s="232"/>
      <c r="I39" s="252">
        <f t="shared" si="36"/>
        <v>0.46</v>
      </c>
      <c r="J39" s="253"/>
      <c r="K39" s="254"/>
      <c r="L39" s="255">
        <f t="shared" si="37"/>
        <v>5.4999999999999997E-3</v>
      </c>
      <c r="M39" s="255">
        <f t="shared" si="37"/>
        <v>4.5999999999999999E-3</v>
      </c>
      <c r="N39" s="255">
        <f t="shared" si="37"/>
        <v>1.0999999999999999E-2</v>
      </c>
      <c r="O39" s="255"/>
      <c r="P39" s="255">
        <f t="shared" si="51"/>
        <v>4.5999999999999999E-3</v>
      </c>
      <c r="Q39" s="253"/>
      <c r="R39" s="271"/>
      <c r="S39" s="271">
        <f>ROUND(IF(项目基本情况!$B$8="出让",SUMPRODUCT(PRODUCT(1+L39:L$40)),SUMPRODUCT(PRODUCT(1+L39:L$39))),4)</f>
        <v>1.0055000000000001</v>
      </c>
      <c r="T39" s="271">
        <f>ROUND(IF(项目基本情况!$B$8="出让",SUMPRODUCT(PRODUCT(1+M39:M$40)),SUMPRODUCT(PRODUCT(1+M39:M$39))),4)</f>
        <v>1.0045999999999999</v>
      </c>
      <c r="U39" s="271">
        <f>ROUND(IF(项目基本情况!$B$8="出让",SUMPRODUCT(PRODUCT(1+N39:N$40)),SUMPRODUCT(PRODUCT(1+N39:N$39))),4)</f>
        <v>1.0109999999999999</v>
      </c>
      <c r="V39" s="271"/>
      <c r="W39" s="271">
        <f t="shared" si="52"/>
        <v>1.0045999999999999</v>
      </c>
      <c r="X39" s="253"/>
      <c r="Y39" s="280"/>
      <c r="Z39" s="281">
        <f t="shared" si="53"/>
        <v>4.4999999999999997E-3</v>
      </c>
      <c r="AA39" s="283">
        <f t="shared" si="53"/>
        <v>4.7000000000000002E-3</v>
      </c>
      <c r="AB39" s="280">
        <f t="shared" si="53"/>
        <v>1.04E-2</v>
      </c>
      <c r="AC39" s="282"/>
      <c r="AD39" s="280">
        <f t="shared" si="53"/>
        <v>4.7000000000000002E-3</v>
      </c>
    </row>
    <row r="40" spans="1:30" s="214" customFormat="1" ht="12.75">
      <c r="A40" s="239" t="s">
        <v>3202</v>
      </c>
      <c r="B40" s="240">
        <v>2021</v>
      </c>
      <c r="C40" s="241">
        <v>1</v>
      </c>
      <c r="D40" s="242"/>
      <c r="E40" s="242">
        <v>0.35</v>
      </c>
      <c r="F40" s="242">
        <v>0.48</v>
      </c>
      <c r="G40" s="242">
        <v>0.98</v>
      </c>
      <c r="H40" s="243"/>
      <c r="I40" s="260">
        <f t="shared" si="36"/>
        <v>0.48</v>
      </c>
      <c r="J40" s="261"/>
      <c r="K40" s="262"/>
      <c r="L40" s="263">
        <f t="shared" si="37"/>
        <v>3.5000000000000001E-3</v>
      </c>
      <c r="M40" s="263">
        <f>F40/100</f>
        <v>4.7999999999999996E-3</v>
      </c>
      <c r="N40" s="263">
        <f t="shared" si="37"/>
        <v>9.7999999999999997E-3</v>
      </c>
      <c r="O40" s="263"/>
      <c r="P40" s="263">
        <f t="shared" si="51"/>
        <v>4.7999999999999996E-3</v>
      </c>
      <c r="Q40" s="261"/>
      <c r="R40" s="272"/>
      <c r="S40" s="272">
        <v>1</v>
      </c>
      <c r="T40" s="272">
        <v>1</v>
      </c>
      <c r="U40" s="272">
        <v>1</v>
      </c>
      <c r="V40" s="272"/>
      <c r="W40" s="272">
        <f t="shared" si="52"/>
        <v>1</v>
      </c>
      <c r="X40" s="261"/>
      <c r="Y40" s="263"/>
      <c r="Z40" s="287">
        <f t="shared" si="53"/>
        <v>3.5000000000000001E-3</v>
      </c>
      <c r="AA40" s="288">
        <f t="shared" si="53"/>
        <v>4.7999999999999996E-3</v>
      </c>
      <c r="AB40" s="263">
        <f t="shared" si="53"/>
        <v>9.7999999999999997E-3</v>
      </c>
      <c r="AC40" s="289"/>
      <c r="AD40" s="263">
        <f t="shared" si="53"/>
        <v>4.7999999999999996E-3</v>
      </c>
    </row>
    <row r="42" spans="1:30">
      <c r="A42" s="244" t="s">
        <v>3205</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941" t="s">
        <v>3206</v>
      </c>
      <c r="C1" s="3941"/>
      <c r="D1" s="3941"/>
      <c r="E1" s="3941"/>
      <c r="F1" s="3941"/>
      <c r="G1" s="3938" t="s">
        <v>3207</v>
      </c>
      <c r="H1" s="3938"/>
      <c r="I1" s="3938"/>
      <c r="J1" s="3938"/>
      <c r="K1" s="3938"/>
      <c r="L1" s="3938"/>
      <c r="N1" s="3938" t="s">
        <v>3184</v>
      </c>
      <c r="O1" s="3938"/>
      <c r="P1" s="3938"/>
      <c r="Q1" s="3938"/>
      <c r="S1" s="3938" t="s">
        <v>3208</v>
      </c>
      <c r="T1" s="3938"/>
      <c r="U1" s="3938"/>
      <c r="V1" s="3938"/>
      <c r="X1" s="3937" t="s">
        <v>3185</v>
      </c>
      <c r="Y1" s="3938"/>
      <c r="Z1" s="3938"/>
      <c r="AA1" s="3938"/>
      <c r="AB1" s="3938"/>
      <c r="AD1" s="3937" t="s">
        <v>3186</v>
      </c>
      <c r="AE1" s="3938"/>
      <c r="AF1" s="3938"/>
      <c r="AG1" s="3938"/>
      <c r="AH1" s="3938"/>
    </row>
    <row r="2" spans="1:34" s="76" customFormat="1" ht="13.5">
      <c r="B2" s="86" t="s">
        <v>1227</v>
      </c>
      <c r="C2" s="86" t="s">
        <v>3209</v>
      </c>
      <c r="D2" s="87" t="s">
        <v>2471</v>
      </c>
      <c r="E2" s="87" t="s">
        <v>413</v>
      </c>
      <c r="F2" s="86" t="s">
        <v>3210</v>
      </c>
      <c r="G2" s="88"/>
      <c r="I2" s="86" t="s">
        <v>1227</v>
      </c>
      <c r="J2" s="87" t="s">
        <v>2480</v>
      </c>
      <c r="K2" s="87" t="s">
        <v>413</v>
      </c>
      <c r="L2" s="86" t="s">
        <v>3210</v>
      </c>
      <c r="N2" s="86" t="s">
        <v>1227</v>
      </c>
      <c r="O2" s="87" t="s">
        <v>2480</v>
      </c>
      <c r="P2" s="87" t="s">
        <v>413</v>
      </c>
      <c r="Q2" s="86" t="s">
        <v>3210</v>
      </c>
      <c r="S2" s="86" t="s">
        <v>1227</v>
      </c>
      <c r="T2" s="87" t="s">
        <v>2480</v>
      </c>
      <c r="U2" s="87" t="s">
        <v>413</v>
      </c>
      <c r="V2" s="86" t="s">
        <v>3210</v>
      </c>
      <c r="X2" s="86" t="s">
        <v>1227</v>
      </c>
      <c r="Y2" s="86" t="s">
        <v>3209</v>
      </c>
      <c r="Z2" s="87" t="s">
        <v>2471</v>
      </c>
      <c r="AA2" s="87" t="s">
        <v>413</v>
      </c>
      <c r="AB2" s="86" t="s">
        <v>3210</v>
      </c>
      <c r="AD2" s="86" t="s">
        <v>1227</v>
      </c>
      <c r="AE2" s="86" t="s">
        <v>3209</v>
      </c>
      <c r="AF2" s="87" t="s">
        <v>2471</v>
      </c>
      <c r="AG2" s="87" t="s">
        <v>413</v>
      </c>
      <c r="AH2" s="86" t="s">
        <v>3210</v>
      </c>
    </row>
    <row r="3" spans="1:34" s="77" customFormat="1" ht="14.25">
      <c r="A3" s="89" t="s">
        <v>3188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3195</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3196</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3211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3197</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3198</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3199</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3200</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3201</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3202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3212</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3213</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3214</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3215</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3216</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3217</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3218</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3219</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3220</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932">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3221</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932"/>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3222</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932"/>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3223</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939"/>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3224</v>
      </c>
      <c r="B25" s="109">
        <v>439</v>
      </c>
      <c r="C25" s="109">
        <v>327</v>
      </c>
      <c r="D25" s="109">
        <f t="shared" si="217"/>
        <v>327</v>
      </c>
      <c r="E25" s="109">
        <v>627</v>
      </c>
      <c r="F25" s="110">
        <v>283</v>
      </c>
      <c r="G25" s="3940">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3225</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932"/>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3226</v>
      </c>
      <c r="B27" s="99">
        <f t="shared" si="232"/>
        <v>419.31181600000002</v>
      </c>
      <c r="C27" s="99">
        <f t="shared" si="233"/>
        <v>313.95436799999999</v>
      </c>
      <c r="D27" s="99">
        <f t="shared" si="234"/>
        <v>313.95436799999999</v>
      </c>
      <c r="E27" s="99">
        <f t="shared" si="235"/>
        <v>596.63028431999999</v>
      </c>
      <c r="F27" s="99">
        <f t="shared" si="236"/>
        <v>274.74220703999998</v>
      </c>
      <c r="G27" s="3932"/>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3227</v>
      </c>
      <c r="B28" s="99">
        <f t="shared" si="232"/>
        <v>405.524</v>
      </c>
      <c r="C28" s="99">
        <f t="shared" si="233"/>
        <v>307.79840000000002</v>
      </c>
      <c r="D28" s="99">
        <f t="shared" si="234"/>
        <v>307.79840000000002</v>
      </c>
      <c r="E28" s="99">
        <f t="shared" si="235"/>
        <v>574.67759999999998</v>
      </c>
      <c r="F28" s="99">
        <f t="shared" si="236"/>
        <v>270.20280000000002</v>
      </c>
      <c r="G28" s="3939"/>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3228</v>
      </c>
      <c r="B29" s="109">
        <v>392</v>
      </c>
      <c r="C29" s="109">
        <v>302</v>
      </c>
      <c r="D29" s="109">
        <f t="shared" si="234"/>
        <v>302</v>
      </c>
      <c r="E29" s="109">
        <v>553</v>
      </c>
      <c r="F29" s="110">
        <v>266</v>
      </c>
      <c r="G29" s="3940">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3229</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932"/>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3230</v>
      </c>
      <c r="B31" s="99">
        <f t="shared" si="245"/>
        <v>360.06949782209398</v>
      </c>
      <c r="C31" s="99">
        <f t="shared" si="245"/>
        <v>289.84672674747799</v>
      </c>
      <c r="D31" s="99">
        <f t="shared" si="246"/>
        <v>289.84672674747799</v>
      </c>
      <c r="E31" s="99">
        <f t="shared" si="247"/>
        <v>501.06543001181501</v>
      </c>
      <c r="F31" s="99">
        <f t="shared" si="247"/>
        <v>256.82882500745001</v>
      </c>
      <c r="G31" s="3932"/>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3231</v>
      </c>
      <c r="B32" s="99">
        <f t="shared" si="245"/>
        <v>346.720748986128</v>
      </c>
      <c r="C32" s="99">
        <f t="shared" si="245"/>
        <v>284.30282172386302</v>
      </c>
      <c r="D32" s="99">
        <f t="shared" si="246"/>
        <v>284.30282172386302</v>
      </c>
      <c r="E32" s="99">
        <f t="shared" si="247"/>
        <v>479.58023546306902</v>
      </c>
      <c r="F32" s="99">
        <f t="shared" si="247"/>
        <v>253.25788877571199</v>
      </c>
      <c r="G32" s="3933"/>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3232</v>
      </c>
      <c r="B33" s="109">
        <v>333</v>
      </c>
      <c r="C33" s="109">
        <v>277</v>
      </c>
      <c r="D33" s="109">
        <f t="shared" si="246"/>
        <v>277</v>
      </c>
      <c r="E33" s="109">
        <v>459</v>
      </c>
      <c r="F33" s="110">
        <v>249</v>
      </c>
      <c r="G33" s="3931">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3233</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932"/>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3234</v>
      </c>
      <c r="B35" s="99">
        <f t="shared" si="249"/>
        <v>322.34053690220799</v>
      </c>
      <c r="C35" s="99">
        <f t="shared" si="249"/>
        <v>271.461607704225</v>
      </c>
      <c r="D35" s="99">
        <f t="shared" si="246"/>
        <v>271.461607704225</v>
      </c>
      <c r="E35" s="99">
        <f t="shared" si="250"/>
        <v>442.69434542172502</v>
      </c>
      <c r="F35" s="99">
        <f t="shared" si="250"/>
        <v>241.34030753190899</v>
      </c>
      <c r="G35" s="3932"/>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3235</v>
      </c>
      <c r="B36" s="99">
        <f t="shared" si="249"/>
        <v>319.87748030386803</v>
      </c>
      <c r="C36" s="99">
        <f t="shared" si="249"/>
        <v>269.60135833173598</v>
      </c>
      <c r="D36" s="99">
        <f t="shared" si="246"/>
        <v>269.60135833173598</v>
      </c>
      <c r="E36" s="99">
        <f t="shared" si="250"/>
        <v>439.18089823583801</v>
      </c>
      <c r="F36" s="99">
        <f t="shared" si="250"/>
        <v>239.23503918706299</v>
      </c>
      <c r="G36" s="3933"/>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3236</v>
      </c>
      <c r="B37" s="113">
        <v>318</v>
      </c>
      <c r="C37" s="113">
        <v>268</v>
      </c>
      <c r="D37" s="113">
        <f t="shared" si="246"/>
        <v>268</v>
      </c>
      <c r="E37" s="113">
        <v>437</v>
      </c>
      <c r="F37" s="114">
        <v>237</v>
      </c>
      <c r="G37" s="3931">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3237</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932"/>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3238</v>
      </c>
      <c r="B39" s="99">
        <f t="shared" si="251"/>
        <v>314.721411723865</v>
      </c>
      <c r="C39" s="99">
        <f t="shared" si="251"/>
        <v>263.03901319069001</v>
      </c>
      <c r="D39" s="99">
        <f t="shared" si="246"/>
        <v>263.03901319069001</v>
      </c>
      <c r="E39" s="99">
        <f t="shared" si="252"/>
        <v>433.65745506782798</v>
      </c>
      <c r="F39" s="99">
        <f t="shared" si="252"/>
        <v>233.23005080045701</v>
      </c>
      <c r="G39" s="3932"/>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3239</v>
      </c>
      <c r="B40" s="117">
        <f t="shared" si="251"/>
        <v>307.34512863658699</v>
      </c>
      <c r="C40" s="117">
        <f t="shared" si="251"/>
        <v>257.80556031626998</v>
      </c>
      <c r="D40" s="117">
        <f t="shared" si="246"/>
        <v>257.80556031626998</v>
      </c>
      <c r="E40" s="117">
        <f t="shared" si="252"/>
        <v>422.70928459677202</v>
      </c>
      <c r="F40" s="117">
        <f t="shared" si="252"/>
        <v>229.738032703366</v>
      </c>
      <c r="G40" s="3933"/>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3240</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3241</v>
      </c>
      <c r="B41" s="109">
        <v>299</v>
      </c>
      <c r="C41" s="109">
        <v>252</v>
      </c>
      <c r="D41" s="109">
        <f t="shared" si="246"/>
        <v>252</v>
      </c>
      <c r="E41" s="109">
        <v>409</v>
      </c>
      <c r="F41" s="110">
        <v>227</v>
      </c>
      <c r="G41" s="3934">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3242</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935"/>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3243</v>
      </c>
      <c r="B43" s="99">
        <f t="shared" si="255"/>
        <v>288.264905382878</v>
      </c>
      <c r="C43" s="99">
        <f t="shared" si="255"/>
        <v>243.64564425013299</v>
      </c>
      <c r="D43" s="99">
        <f t="shared" si="246"/>
        <v>243.64564425013299</v>
      </c>
      <c r="E43" s="99">
        <f t="shared" si="256"/>
        <v>393.31080825986498</v>
      </c>
      <c r="F43" s="99">
        <f t="shared" si="256"/>
        <v>223.079037905512</v>
      </c>
      <c r="G43" s="3935"/>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3244</v>
      </c>
      <c r="B44" s="99">
        <f t="shared" si="255"/>
        <v>282.50186729015797</v>
      </c>
      <c r="C44" s="99">
        <f t="shared" si="255"/>
        <v>238.097961741555</v>
      </c>
      <c r="D44" s="99">
        <f t="shared" si="246"/>
        <v>238.097961741555</v>
      </c>
      <c r="E44" s="99">
        <f t="shared" si="256"/>
        <v>385.33438646014099</v>
      </c>
      <c r="F44" s="99">
        <f t="shared" si="256"/>
        <v>221.550340555677</v>
      </c>
      <c r="G44" s="3936"/>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3245</v>
      </c>
      <c r="B45" s="120">
        <v>278</v>
      </c>
      <c r="C45" s="120">
        <v>234</v>
      </c>
      <c r="D45" s="120">
        <f t="shared" si="246"/>
        <v>234</v>
      </c>
      <c r="E45" s="120">
        <v>379</v>
      </c>
      <c r="F45" s="121">
        <v>220</v>
      </c>
      <c r="G45" s="3931">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3246</v>
      </c>
      <c r="B46" s="99">
        <f>B45/(1+N45)</f>
        <v>275.49301357645402</v>
      </c>
      <c r="C46" s="99">
        <f>C45/(1+O45)</f>
        <v>232.41954707985701</v>
      </c>
      <c r="D46" s="99">
        <f t="shared" si="246"/>
        <v>232.41954707985701</v>
      </c>
      <c r="E46" s="99">
        <f t="shared" ref="E46:F48" si="257">E45/(1+P45)</f>
        <v>375.32184591008098</v>
      </c>
      <c r="F46" s="99">
        <f t="shared" si="257"/>
        <v>218.03766105054501</v>
      </c>
      <c r="G46" s="3932"/>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3247</v>
      </c>
      <c r="B47" s="99">
        <f>B46/(1+N46)</f>
        <v>275.24529281292303</v>
      </c>
      <c r="C47" s="99">
        <f>C46/(1+O46)</f>
        <v>231.74747938962699</v>
      </c>
      <c r="D47" s="99">
        <f t="shared" si="246"/>
        <v>231.74747938962699</v>
      </c>
      <c r="E47" s="99">
        <f t="shared" si="257"/>
        <v>375.35938184826603</v>
      </c>
      <c r="F47" s="99">
        <f t="shared" si="257"/>
        <v>216.78033510692501</v>
      </c>
      <c r="G47" s="3932"/>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3248</v>
      </c>
      <c r="B48" s="99">
        <f>B47/(1+N47)</f>
        <v>275.19025476196998</v>
      </c>
      <c r="C48" s="122">
        <v>232</v>
      </c>
      <c r="D48" s="122">
        <f t="shared" si="246"/>
        <v>232</v>
      </c>
      <c r="E48" s="99">
        <f t="shared" si="257"/>
        <v>375.65990977608698</v>
      </c>
      <c r="F48" s="99">
        <f t="shared" si="257"/>
        <v>214.12518283971301</v>
      </c>
      <c r="G48" s="3933"/>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3249</v>
      </c>
      <c r="B49" s="109">
        <v>275</v>
      </c>
      <c r="C49" s="109">
        <v>232</v>
      </c>
      <c r="D49" s="109">
        <f t="shared" si="246"/>
        <v>232</v>
      </c>
      <c r="E49" s="109">
        <v>376</v>
      </c>
      <c r="F49" s="110">
        <v>213</v>
      </c>
      <c r="G49" s="3931">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3250</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932">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3251</v>
      </c>
      <c r="B51" s="99">
        <f t="shared" si="258"/>
        <v>275.19335084830601</v>
      </c>
      <c r="C51" s="99">
        <f t="shared" si="258"/>
        <v>230.18088050139701</v>
      </c>
      <c r="D51" s="99">
        <f t="shared" si="246"/>
        <v>230.18088050139701</v>
      </c>
      <c r="E51" s="99">
        <f t="shared" si="259"/>
        <v>377.58482925212297</v>
      </c>
      <c r="F51" s="99">
        <f t="shared" si="259"/>
        <v>210.906879978479</v>
      </c>
      <c r="G51" s="3932">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3252</v>
      </c>
      <c r="B52" s="99">
        <f t="shared" si="258"/>
        <v>276.29854502841999</v>
      </c>
      <c r="C52" s="99">
        <f t="shared" si="258"/>
        <v>229.79023709833001</v>
      </c>
      <c r="D52" s="99">
        <f t="shared" si="246"/>
        <v>229.79023709833001</v>
      </c>
      <c r="E52" s="99">
        <f t="shared" si="259"/>
        <v>379.78759731655902</v>
      </c>
      <c r="F52" s="99">
        <f t="shared" si="259"/>
        <v>211.32953905659201</v>
      </c>
      <c r="G52" s="3933">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3253</v>
      </c>
      <c r="B53" s="109">
        <v>269</v>
      </c>
      <c r="C53" s="109">
        <v>221</v>
      </c>
      <c r="D53" s="109">
        <f t="shared" si="246"/>
        <v>221</v>
      </c>
      <c r="E53" s="109">
        <v>373</v>
      </c>
      <c r="F53" s="110">
        <v>196</v>
      </c>
      <c r="G53" s="3931">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3254</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932">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3255</v>
      </c>
      <c r="B55" s="99">
        <f t="shared" si="260"/>
        <v>242.95398227588399</v>
      </c>
      <c r="C55" s="99">
        <f t="shared" si="260"/>
        <v>199.591370536141</v>
      </c>
      <c r="D55" s="99">
        <f t="shared" si="246"/>
        <v>199.591370536141</v>
      </c>
      <c r="E55" s="99">
        <f t="shared" si="261"/>
        <v>335.92189522342102</v>
      </c>
      <c r="F55" s="99">
        <f t="shared" si="261"/>
        <v>183.101399911095</v>
      </c>
      <c r="G55" s="3932">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3256</v>
      </c>
      <c r="B56" s="99">
        <f t="shared" si="260"/>
        <v>232.06990378821601</v>
      </c>
      <c r="C56" s="99">
        <f t="shared" si="260"/>
        <v>192.74878854286899</v>
      </c>
      <c r="D56" s="99">
        <f t="shared" si="246"/>
        <v>192.74878854286899</v>
      </c>
      <c r="E56" s="99">
        <f t="shared" si="261"/>
        <v>319.71247284993001</v>
      </c>
      <c r="F56" s="99">
        <f t="shared" si="261"/>
        <v>175.670536228624</v>
      </c>
      <c r="G56" s="3933">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3257</v>
      </c>
      <c r="B57" s="109">
        <v>220</v>
      </c>
      <c r="C57" s="109">
        <v>187</v>
      </c>
      <c r="D57" s="109">
        <f t="shared" si="246"/>
        <v>187</v>
      </c>
      <c r="E57" s="109">
        <v>301</v>
      </c>
      <c r="F57" s="110">
        <v>168</v>
      </c>
      <c r="G57" s="3931">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3258</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932">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3259</v>
      </c>
      <c r="B59" s="99">
        <f t="shared" si="262"/>
        <v>210.630522469011</v>
      </c>
      <c r="C59" s="99">
        <f t="shared" si="262"/>
        <v>181.695678122472</v>
      </c>
      <c r="D59" s="99">
        <f t="shared" si="246"/>
        <v>181.695678122472</v>
      </c>
      <c r="E59" s="99">
        <f t="shared" si="263"/>
        <v>286.13517466736698</v>
      </c>
      <c r="F59" s="99">
        <f t="shared" si="263"/>
        <v>165.47535084591101</v>
      </c>
      <c r="G59" s="3932">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3260</v>
      </c>
      <c r="B60" s="99">
        <f t="shared" si="262"/>
        <v>208.834545378754</v>
      </c>
      <c r="C60" s="99">
        <f t="shared" si="262"/>
        <v>183.77230517090399</v>
      </c>
      <c r="D60" s="99">
        <f t="shared" si="246"/>
        <v>183.77230517090399</v>
      </c>
      <c r="E60" s="99">
        <f t="shared" si="263"/>
        <v>281.10342338870902</v>
      </c>
      <c r="F60" s="99">
        <f t="shared" si="263"/>
        <v>168.97309388942301</v>
      </c>
      <c r="G60" s="3933">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3261</v>
      </c>
      <c r="B61" s="120">
        <v>214</v>
      </c>
      <c r="C61" s="120">
        <v>188</v>
      </c>
      <c r="D61" s="120">
        <f t="shared" si="246"/>
        <v>188</v>
      </c>
      <c r="E61" s="120">
        <v>289</v>
      </c>
      <c r="F61" s="121">
        <v>166</v>
      </c>
      <c r="G61" s="3931">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3262</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932">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3263</v>
      </c>
      <c r="B63" s="99">
        <f t="shared" si="264"/>
        <v>206.31694671589099</v>
      </c>
      <c r="C63" s="99">
        <f t="shared" si="264"/>
        <v>183.61041121036101</v>
      </c>
      <c r="D63" s="99">
        <f t="shared" si="246"/>
        <v>183.61041121036101</v>
      </c>
      <c r="E63" s="99">
        <f t="shared" si="265"/>
        <v>276.66850301795603</v>
      </c>
      <c r="F63" s="99">
        <f t="shared" si="265"/>
        <v>165.136093827861</v>
      </c>
      <c r="G63" s="3932">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3264</v>
      </c>
      <c r="B64" s="123">
        <f t="shared" si="264"/>
        <v>196.62341248059801</v>
      </c>
      <c r="C64" s="123">
        <f t="shared" si="264"/>
        <v>170.99125648199001</v>
      </c>
      <c r="D64" s="123">
        <f t="shared" si="246"/>
        <v>170.99125648199001</v>
      </c>
      <c r="E64" s="123">
        <f t="shared" si="265"/>
        <v>266.07857570490103</v>
      </c>
      <c r="F64" s="123">
        <f t="shared" si="265"/>
        <v>154.53499328828499</v>
      </c>
      <c r="G64" s="3933">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3265</v>
      </c>
      <c r="B65" s="109">
        <v>188</v>
      </c>
      <c r="C65" s="109">
        <v>165</v>
      </c>
      <c r="D65" s="109">
        <f t="shared" si="246"/>
        <v>165</v>
      </c>
      <c r="E65" s="109">
        <v>254</v>
      </c>
      <c r="F65" s="110">
        <v>148</v>
      </c>
      <c r="G65" s="3931">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3266</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932">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3267</v>
      </c>
      <c r="B67" s="99">
        <f t="shared" si="268"/>
        <v>168.820177487156</v>
      </c>
      <c r="C67" s="99">
        <f t="shared" si="268"/>
        <v>148.06267029972801</v>
      </c>
      <c r="D67" s="99">
        <f t="shared" si="246"/>
        <v>148.06267029972801</v>
      </c>
      <c r="E67" s="99">
        <f t="shared" si="269"/>
        <v>216.46288379323701</v>
      </c>
      <c r="F67" s="99">
        <f t="shared" si="269"/>
        <v>134.23529411764699</v>
      </c>
      <c r="G67" s="3932">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3268</v>
      </c>
      <c r="B68" s="99">
        <f t="shared" si="268"/>
        <v>163.849135917795</v>
      </c>
      <c r="C68" s="99">
        <f t="shared" si="268"/>
        <v>145.028337874659</v>
      </c>
      <c r="D68" s="99">
        <f t="shared" si="246"/>
        <v>145.028337874659</v>
      </c>
      <c r="E68" s="99">
        <f t="shared" si="269"/>
        <v>204.95180722891601</v>
      </c>
      <c r="F68" s="99">
        <f t="shared" si="269"/>
        <v>125.959203036053</v>
      </c>
      <c r="G68" s="3933">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3269</v>
      </c>
      <c r="B69" s="113">
        <v>159</v>
      </c>
      <c r="C69" s="113">
        <v>141</v>
      </c>
      <c r="D69" s="113">
        <f t="shared" si="246"/>
        <v>141</v>
      </c>
      <c r="E69" s="113">
        <v>195</v>
      </c>
      <c r="F69" s="114">
        <v>122</v>
      </c>
      <c r="G69" s="3931">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3270</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932">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3271</v>
      </c>
      <c r="B71" s="99">
        <f t="shared" si="272"/>
        <v>146.57412060301499</v>
      </c>
      <c r="C71" s="99">
        <f t="shared" si="272"/>
        <v>136.468319559229</v>
      </c>
      <c r="D71" s="99">
        <f t="shared" si="246"/>
        <v>136.468319559229</v>
      </c>
      <c r="E71" s="99">
        <f t="shared" si="273"/>
        <v>166.73864894795099</v>
      </c>
      <c r="F71" s="99">
        <f t="shared" si="273"/>
        <v>115.058823529412</v>
      </c>
      <c r="G71" s="3932">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3272</v>
      </c>
      <c r="B72" s="99">
        <f t="shared" si="272"/>
        <v>144.04145728643201</v>
      </c>
      <c r="C72" s="99">
        <f t="shared" si="272"/>
        <v>136.123966942149</v>
      </c>
      <c r="D72" s="99">
        <f t="shared" si="246"/>
        <v>136.123966942149</v>
      </c>
      <c r="E72" s="99">
        <f t="shared" si="273"/>
        <v>158.32225913621301</v>
      </c>
      <c r="F72" s="99">
        <f t="shared" si="273"/>
        <v>114.04278074866301</v>
      </c>
      <c r="G72" s="3933">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3273</v>
      </c>
      <c r="B73" s="113">
        <v>138</v>
      </c>
      <c r="C73" s="113">
        <v>131</v>
      </c>
      <c r="D73" s="113">
        <f t="shared" si="246"/>
        <v>131</v>
      </c>
      <c r="E73" s="113">
        <v>155</v>
      </c>
      <c r="F73" s="114">
        <v>114</v>
      </c>
      <c r="G73" s="3931">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3274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932">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3275</v>
      </c>
      <c r="B75" s="99">
        <f t="shared" si="276"/>
        <v>124.290322580645</v>
      </c>
      <c r="C75" s="99">
        <f t="shared" si="276"/>
        <v>123.896860986547</v>
      </c>
      <c r="D75" s="99">
        <f t="shared" si="246"/>
        <v>123.896860986547</v>
      </c>
      <c r="E75" s="99">
        <f t="shared" si="277"/>
        <v>138.005076142132</v>
      </c>
      <c r="F75" s="99">
        <f t="shared" si="277"/>
        <v>107.96106557377</v>
      </c>
      <c r="G75" s="3932">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3276</v>
      </c>
      <c r="B76" s="99">
        <f t="shared" si="276"/>
        <v>122.57204301075301</v>
      </c>
      <c r="C76" s="99">
        <f t="shared" si="276"/>
        <v>123.493273542601</v>
      </c>
      <c r="D76" s="99">
        <f t="shared" si="246"/>
        <v>123.493273542601</v>
      </c>
      <c r="E76" s="99">
        <f t="shared" si="277"/>
        <v>129.82233502538099</v>
      </c>
      <c r="F76" s="99">
        <f t="shared" si="277"/>
        <v>107.39446721311501</v>
      </c>
      <c r="G76" s="3933">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3277</v>
      </c>
      <c r="B77" s="120">
        <v>121</v>
      </c>
      <c r="C77" s="120">
        <v>122</v>
      </c>
      <c r="D77" s="120">
        <f t="shared" si="246"/>
        <v>122</v>
      </c>
      <c r="E77" s="120">
        <v>124</v>
      </c>
      <c r="F77" s="121">
        <v>107</v>
      </c>
      <c r="G77" s="3931">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3278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932">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3279</v>
      </c>
      <c r="B79" s="99">
        <f t="shared" si="280"/>
        <v>116.99099099099099</v>
      </c>
      <c r="C79" s="99">
        <f t="shared" si="280"/>
        <v>118.848484848485</v>
      </c>
      <c r="D79" s="99">
        <f t="shared" si="246"/>
        <v>118.848484848485</v>
      </c>
      <c r="E79" s="99">
        <f t="shared" si="281"/>
        <v>117.60960960961</v>
      </c>
      <c r="F79" s="99">
        <f t="shared" si="281"/>
        <v>104</v>
      </c>
      <c r="G79" s="3932">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3280</v>
      </c>
      <c r="B80" s="123">
        <f t="shared" si="280"/>
        <v>112.486486486486</v>
      </c>
      <c r="C80" s="123">
        <f t="shared" si="280"/>
        <v>115.212121212121</v>
      </c>
      <c r="D80" s="123">
        <f t="shared" si="246"/>
        <v>115.212121212121</v>
      </c>
      <c r="E80" s="123">
        <f t="shared" si="281"/>
        <v>110.402402402402</v>
      </c>
      <c r="F80" s="123">
        <f t="shared" si="281"/>
        <v>104</v>
      </c>
      <c r="G80" s="3933">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3281</v>
      </c>
      <c r="B81" s="173">
        <v>111</v>
      </c>
      <c r="C81" s="173">
        <v>114</v>
      </c>
      <c r="D81" s="173">
        <f t="shared" si="246"/>
        <v>114</v>
      </c>
      <c r="E81" s="173">
        <v>108</v>
      </c>
      <c r="F81" s="174">
        <v>104</v>
      </c>
      <c r="G81" s="3931">
        <v>2003</v>
      </c>
      <c r="H81" s="172">
        <v>4</v>
      </c>
      <c r="I81" s="192"/>
      <c r="J81" s="192"/>
      <c r="K81" s="192"/>
      <c r="L81" s="192"/>
      <c r="N81" s="193"/>
      <c r="O81" s="192"/>
      <c r="P81" s="192"/>
      <c r="Q81" s="192"/>
      <c r="S81" s="193"/>
      <c r="T81" s="192"/>
      <c r="U81" s="192"/>
      <c r="V81" s="192"/>
      <c r="X81" s="198"/>
      <c r="Y81" s="198"/>
      <c r="Z81" s="198"/>
    </row>
    <row r="82" spans="1:26">
      <c r="A82" s="98" t="s">
        <v>3282</v>
      </c>
      <c r="B82" s="175">
        <f t="shared" ref="B82:C84" si="282">B83+(B$81-B$85)/4</f>
        <v>109.75</v>
      </c>
      <c r="C82" s="175">
        <f t="shared" si="282"/>
        <v>112.25</v>
      </c>
      <c r="D82" s="175">
        <f t="shared" si="246"/>
        <v>112.25</v>
      </c>
      <c r="E82" s="175">
        <f t="shared" ref="E82:F84" si="283">E83+(E$81-E$85)/4</f>
        <v>107.25</v>
      </c>
      <c r="F82" s="175">
        <f t="shared" si="283"/>
        <v>103.5</v>
      </c>
      <c r="G82" s="3932">
        <v>2003</v>
      </c>
      <c r="H82" s="112">
        <v>3</v>
      </c>
      <c r="I82" s="192"/>
      <c r="J82" s="192"/>
      <c r="K82" s="192"/>
      <c r="L82" s="192"/>
      <c r="X82" s="198"/>
      <c r="Y82" s="198"/>
      <c r="Z82" s="198"/>
    </row>
    <row r="83" spans="1:26">
      <c r="A83" s="98" t="s">
        <v>3283</v>
      </c>
      <c r="B83" s="175">
        <f t="shared" si="282"/>
        <v>108.5</v>
      </c>
      <c r="C83" s="175">
        <f t="shared" si="282"/>
        <v>110.5</v>
      </c>
      <c r="D83" s="175">
        <f t="shared" si="246"/>
        <v>110.5</v>
      </c>
      <c r="E83" s="175">
        <f t="shared" si="283"/>
        <v>106.5</v>
      </c>
      <c r="F83" s="175">
        <f t="shared" si="283"/>
        <v>103</v>
      </c>
      <c r="G83" s="3932">
        <v>2003</v>
      </c>
      <c r="H83" s="108">
        <v>2</v>
      </c>
      <c r="I83" s="192"/>
      <c r="J83" s="192"/>
      <c r="K83" s="192"/>
      <c r="L83" s="192"/>
      <c r="X83" s="198"/>
      <c r="Y83" s="198"/>
      <c r="Z83" s="198"/>
    </row>
    <row r="84" spans="1:26">
      <c r="A84" s="98" t="s">
        <v>3284</v>
      </c>
      <c r="B84" s="175">
        <f t="shared" si="282"/>
        <v>107.25</v>
      </c>
      <c r="C84" s="175">
        <f t="shared" si="282"/>
        <v>108.75</v>
      </c>
      <c r="D84" s="175">
        <f t="shared" si="246"/>
        <v>108.75</v>
      </c>
      <c r="E84" s="175">
        <f t="shared" si="283"/>
        <v>105.75</v>
      </c>
      <c r="F84" s="175">
        <f t="shared" si="283"/>
        <v>102.5</v>
      </c>
      <c r="G84" s="3933">
        <v>2003</v>
      </c>
      <c r="H84" s="176">
        <v>1</v>
      </c>
      <c r="I84" s="192"/>
      <c r="J84" s="192"/>
      <c r="K84" s="192"/>
      <c r="L84" s="192"/>
      <c r="S84" s="129"/>
      <c r="T84" s="130"/>
      <c r="U84" s="130"/>
      <c r="X84" s="198"/>
      <c r="Y84" s="198"/>
      <c r="Z84" s="198"/>
    </row>
    <row r="85" spans="1:26">
      <c r="A85" s="98" t="s">
        <v>3285</v>
      </c>
      <c r="B85" s="177">
        <v>106</v>
      </c>
      <c r="C85" s="177">
        <v>107</v>
      </c>
      <c r="D85" s="177">
        <f t="shared" si="246"/>
        <v>107</v>
      </c>
      <c r="E85" s="177">
        <v>105</v>
      </c>
      <c r="F85" s="178">
        <v>102</v>
      </c>
      <c r="G85" s="3931">
        <v>2002</v>
      </c>
      <c r="H85" s="111">
        <v>4</v>
      </c>
      <c r="I85" s="192"/>
      <c r="J85" s="192"/>
      <c r="K85" s="192"/>
      <c r="L85" s="192"/>
      <c r="N85" s="193"/>
      <c r="O85" s="192"/>
      <c r="P85" s="192"/>
      <c r="Q85" s="192"/>
      <c r="S85" s="193"/>
      <c r="T85" s="192"/>
      <c r="U85" s="192"/>
      <c r="V85" s="192"/>
      <c r="X85" s="198"/>
      <c r="Y85" s="198"/>
      <c r="Z85" s="198"/>
    </row>
    <row r="86" spans="1:26">
      <c r="A86" s="98" t="s">
        <v>3286</v>
      </c>
      <c r="B86" s="175">
        <f t="shared" ref="B86:C88" si="284">B87+(B$85-B$89)/4</f>
        <v>105</v>
      </c>
      <c r="C86" s="175">
        <f t="shared" si="284"/>
        <v>106</v>
      </c>
      <c r="D86" s="175">
        <f t="shared" si="246"/>
        <v>106</v>
      </c>
      <c r="E86" s="175">
        <f t="shared" ref="E86:F88" si="285">E87+(E$85-E$89)/4</f>
        <v>104.5</v>
      </c>
      <c r="F86" s="175">
        <f t="shared" si="285"/>
        <v>101.5</v>
      </c>
      <c r="G86" s="3932">
        <v>2002</v>
      </c>
      <c r="H86" s="112">
        <v>3</v>
      </c>
      <c r="I86" s="192"/>
      <c r="J86" s="192"/>
      <c r="K86" s="192"/>
      <c r="L86" s="192"/>
      <c r="X86" s="198"/>
      <c r="Y86" s="198"/>
      <c r="Z86" s="198"/>
    </row>
    <row r="87" spans="1:26">
      <c r="A87" s="98" t="s">
        <v>3287</v>
      </c>
      <c r="B87" s="175">
        <f t="shared" si="284"/>
        <v>104</v>
      </c>
      <c r="C87" s="175">
        <f t="shared" si="284"/>
        <v>105</v>
      </c>
      <c r="D87" s="175">
        <f t="shared" si="246"/>
        <v>105</v>
      </c>
      <c r="E87" s="175">
        <f t="shared" si="285"/>
        <v>104</v>
      </c>
      <c r="F87" s="175">
        <f t="shared" si="285"/>
        <v>101</v>
      </c>
      <c r="G87" s="3932">
        <v>2002</v>
      </c>
      <c r="H87" s="108">
        <v>2</v>
      </c>
      <c r="I87" s="192"/>
      <c r="J87" s="192"/>
      <c r="K87" s="192"/>
      <c r="L87" s="192"/>
      <c r="X87" s="198"/>
      <c r="Y87" s="198"/>
      <c r="Z87" s="198"/>
    </row>
    <row r="88" spans="1:26" s="81" customFormat="1">
      <c r="A88" s="116" t="s">
        <v>3288</v>
      </c>
      <c r="B88" s="160">
        <f t="shared" si="284"/>
        <v>103</v>
      </c>
      <c r="C88" s="160">
        <f t="shared" si="284"/>
        <v>104</v>
      </c>
      <c r="D88" s="160">
        <f t="shared" si="246"/>
        <v>104</v>
      </c>
      <c r="E88" s="160">
        <f t="shared" si="285"/>
        <v>103.5</v>
      </c>
      <c r="F88" s="160">
        <f t="shared" si="285"/>
        <v>100.5</v>
      </c>
      <c r="G88" s="3933">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3289</v>
      </c>
      <c r="G91" s="184"/>
      <c r="N91" s="184"/>
      <c r="S91" s="184"/>
    </row>
    <row r="92" spans="1:26" s="83" customFormat="1">
      <c r="A92" s="83" t="s">
        <v>3290</v>
      </c>
      <c r="G92" s="184"/>
      <c r="N92" s="184"/>
      <c r="S92" s="184"/>
    </row>
    <row r="93" spans="1:26" s="83" customFormat="1">
      <c r="A93" s="83" t="s">
        <v>3291</v>
      </c>
      <c r="G93" s="184"/>
      <c r="I93" s="196"/>
      <c r="J93" s="196"/>
      <c r="K93" s="196"/>
      <c r="L93" s="196"/>
      <c r="N93" s="197"/>
      <c r="O93" s="196"/>
      <c r="P93" s="196"/>
      <c r="Q93" s="196"/>
      <c r="S93" s="197"/>
      <c r="T93" s="196"/>
      <c r="U93" s="196"/>
      <c r="V93" s="196"/>
    </row>
    <row r="94" spans="1:26" s="83" customFormat="1">
      <c r="A94" s="83" t="s">
        <v>3292</v>
      </c>
      <c r="G94" s="184"/>
      <c r="N94" s="184"/>
      <c r="S94" s="184"/>
    </row>
    <row r="102" spans="7:22">
      <c r="G102" s="84"/>
      <c r="S102" s="201" t="s">
        <v>3293</v>
      </c>
      <c r="T102" s="202" t="s">
        <v>3294</v>
      </c>
      <c r="U102" s="202" t="s">
        <v>3295</v>
      </c>
      <c r="V102" s="202" t="s">
        <v>3296</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342</v>
      </c>
      <c r="C1" s="9">
        <f>项目基本情况!D3</f>
        <v>45300</v>
      </c>
      <c r="D1" s="8" t="s">
        <v>3297</v>
      </c>
      <c r="E1" s="10">
        <f>'数据-取费表'!B22</f>
        <v>2</v>
      </c>
      <c r="F1" s="8" t="s">
        <v>3298</v>
      </c>
      <c r="G1" s="11">
        <f ca="1">INDIRECT("d"&amp;$K$1)/100</f>
        <v>3.4500000000000003E-2</v>
      </c>
      <c r="H1" s="8" t="s">
        <v>3299</v>
      </c>
      <c r="I1" s="11">
        <f ca="1">F4/100</f>
        <v>1.4999999999999999E-2</v>
      </c>
      <c r="J1" s="60">
        <f>IF(C1&gt;C13,0,MATCH(C1,C$13:C$111,-1))+IF(SUMIF(C13:C111,C1,D13:D111)=0,13,12)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3298</v>
      </c>
      <c r="E2" s="12"/>
      <c r="F2" s="12" t="s">
        <v>3300</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3301</v>
      </c>
      <c r="C3" s="15">
        <v>0</v>
      </c>
      <c r="D3" s="16">
        <f ca="1">INDIRECT("d"&amp;$J$1)</f>
        <v>3.45</v>
      </c>
      <c r="E3" s="17">
        <v>0.5</v>
      </c>
      <c r="F3" s="18">
        <f ca="1">INDIRECT("p"&amp;$L$1)</f>
        <v>1.3</v>
      </c>
      <c r="G3" s="4"/>
      <c r="H3" s="4"/>
      <c r="I3" s="4"/>
      <c r="J3" s="4"/>
      <c r="L3" s="4"/>
      <c r="M3" s="4"/>
      <c r="N3" s="4"/>
      <c r="O3" s="4"/>
      <c r="P3" s="4"/>
      <c r="Q3" s="4"/>
      <c r="R3" s="4"/>
      <c r="S3" s="4"/>
      <c r="T3" s="4"/>
      <c r="U3" s="4"/>
      <c r="V3" s="4"/>
      <c r="W3" s="4"/>
      <c r="X3" s="4"/>
      <c r="Y3" s="4"/>
      <c r="Z3" s="4"/>
    </row>
    <row r="4" spans="1:257">
      <c r="B4" s="19" t="s">
        <v>3302</v>
      </c>
      <c r="C4" s="20">
        <v>0.5</v>
      </c>
      <c r="D4" s="21">
        <f ca="1">INDIRECT("e"&amp;$J$1)</f>
        <v>3.45</v>
      </c>
      <c r="E4" s="22">
        <v>1</v>
      </c>
      <c r="F4" s="23">
        <f ca="1">INDIRECT("q"&amp;$L$1)</f>
        <v>1.5</v>
      </c>
      <c r="G4" s="4"/>
      <c r="H4" s="4"/>
      <c r="I4" s="4"/>
      <c r="J4" s="4"/>
      <c r="L4" s="4"/>
      <c r="M4" s="4"/>
      <c r="N4" s="4"/>
      <c r="O4" s="4"/>
      <c r="P4" s="4"/>
      <c r="Q4" s="4"/>
      <c r="R4" s="4"/>
      <c r="S4" s="4"/>
      <c r="T4" s="4"/>
      <c r="U4" s="4"/>
      <c r="V4" s="4"/>
      <c r="W4" s="4"/>
      <c r="X4" s="4"/>
      <c r="Y4" s="4"/>
      <c r="Z4" s="4"/>
    </row>
    <row r="5" spans="1:257">
      <c r="B5" s="19" t="s">
        <v>3303</v>
      </c>
      <c r="C5" s="20">
        <v>1</v>
      </c>
      <c r="D5" s="21">
        <f ca="1">INDIRECT("f"&amp;$J$1)</f>
        <v>3.45</v>
      </c>
      <c r="E5" s="22">
        <v>2</v>
      </c>
      <c r="F5" s="23">
        <f ca="1">INDIRECT("r"&amp;$L$1)</f>
        <v>2.1</v>
      </c>
      <c r="G5" s="4"/>
      <c r="H5" s="4"/>
      <c r="I5" s="4"/>
      <c r="J5" s="4"/>
      <c r="L5" s="4"/>
      <c r="M5" s="4"/>
      <c r="N5" s="4"/>
      <c r="O5" s="4"/>
      <c r="P5" s="4"/>
      <c r="Q5" s="4"/>
      <c r="R5" s="4"/>
      <c r="S5" s="4"/>
      <c r="T5" s="4"/>
      <c r="U5" s="4"/>
      <c r="V5" s="4"/>
      <c r="W5" s="4"/>
      <c r="X5" s="4"/>
      <c r="Y5" s="4"/>
      <c r="Z5" s="4"/>
    </row>
    <row r="6" spans="1:257">
      <c r="B6" s="19" t="s">
        <v>3304</v>
      </c>
      <c r="C6" s="20">
        <v>3</v>
      </c>
      <c r="D6" s="21">
        <f ca="1">INDIRECT("g"&amp;$J$1)</f>
        <v>3.45</v>
      </c>
      <c r="E6" s="22">
        <v>3</v>
      </c>
      <c r="F6" s="23">
        <f ca="1">INDIRECT("s"&amp;$L$1)</f>
        <v>2.75</v>
      </c>
      <c r="G6" s="4"/>
      <c r="H6" s="4"/>
      <c r="I6" s="4"/>
      <c r="J6" s="4"/>
      <c r="L6" s="4"/>
      <c r="M6" s="4"/>
      <c r="N6" s="4"/>
      <c r="O6" s="4"/>
      <c r="P6" s="4"/>
      <c r="Q6" s="4"/>
      <c r="R6" s="4"/>
      <c r="S6" s="4"/>
      <c r="T6" s="4"/>
      <c r="U6" s="4"/>
      <c r="V6" s="4"/>
      <c r="W6" s="4"/>
      <c r="X6" s="4"/>
      <c r="Y6" s="4"/>
      <c r="Z6" s="4"/>
    </row>
    <row r="7" spans="1:257">
      <c r="B7" s="24" t="s">
        <v>3305</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3306</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3307</v>
      </c>
      <c r="C10" s="36"/>
      <c r="D10" s="36"/>
      <c r="E10" s="36"/>
      <c r="F10" s="36"/>
      <c r="G10" s="36"/>
      <c r="H10" s="36"/>
      <c r="I10" s="4"/>
      <c r="J10" s="4"/>
      <c r="K10" s="36"/>
      <c r="L10" s="37" t="s">
        <v>3308</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3309</v>
      </c>
      <c r="C11" s="40" t="s">
        <v>3310</v>
      </c>
      <c r="D11" s="41" t="s">
        <v>3311</v>
      </c>
      <c r="E11" s="42"/>
      <c r="F11" s="41" t="s">
        <v>3312</v>
      </c>
      <c r="G11" s="43"/>
      <c r="H11" s="42"/>
      <c r="I11" s="41" t="s">
        <v>3313</v>
      </c>
      <c r="J11" s="42"/>
      <c r="K11" s="38"/>
      <c r="L11" s="39" t="s">
        <v>3309</v>
      </c>
      <c r="M11" s="40" t="s">
        <v>3310</v>
      </c>
      <c r="N11" s="39" t="s">
        <v>3314</v>
      </c>
      <c r="O11" s="41" t="s">
        <v>3315</v>
      </c>
      <c r="P11" s="43"/>
      <c r="Q11" s="43"/>
      <c r="R11" s="43"/>
      <c r="S11" s="43"/>
      <c r="T11" s="42"/>
      <c r="U11" s="41" t="s">
        <v>3316</v>
      </c>
      <c r="V11" s="43"/>
      <c r="W11" s="42"/>
      <c r="X11" s="39" t="s">
        <v>3317</v>
      </c>
      <c r="Y11" s="39" t="s">
        <v>3318</v>
      </c>
      <c r="Z11" s="39" t="s">
        <v>3319</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3320</v>
      </c>
      <c r="E12" s="47" t="s">
        <v>3302</v>
      </c>
      <c r="F12" s="47" t="s">
        <v>3303</v>
      </c>
      <c r="G12" s="47" t="s">
        <v>3304</v>
      </c>
      <c r="H12" s="47" t="s">
        <v>3305</v>
      </c>
      <c r="I12" s="61" t="s">
        <v>3321</v>
      </c>
      <c r="J12" s="61" t="s">
        <v>3321</v>
      </c>
      <c r="K12" s="44"/>
      <c r="L12" s="45"/>
      <c r="M12" s="46"/>
      <c r="N12" s="45"/>
      <c r="O12" s="61" t="s">
        <v>3322</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3323</v>
      </c>
      <c r="C13" s="50">
        <v>45159</v>
      </c>
      <c r="D13" s="51">
        <v>3.45</v>
      </c>
      <c r="E13" s="51">
        <f>D13</f>
        <v>3.45</v>
      </c>
      <c r="F13" s="51">
        <f>D13</f>
        <v>3.45</v>
      </c>
      <c r="G13" s="51">
        <f>D13</f>
        <v>3.45</v>
      </c>
      <c r="H13" s="51">
        <v>4.2</v>
      </c>
      <c r="I13" s="51"/>
      <c r="J13" s="51"/>
      <c r="K13" s="48"/>
      <c r="L13" s="49" t="s">
        <v>3323</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45097</v>
      </c>
      <c r="D14" s="53">
        <v>3.55</v>
      </c>
      <c r="E14" s="53">
        <f>D14</f>
        <v>3.55</v>
      </c>
      <c r="F14" s="53">
        <f>D14</f>
        <v>3.55</v>
      </c>
      <c r="G14" s="53">
        <f>D14</f>
        <v>3.55</v>
      </c>
      <c r="H14" s="53">
        <v>4.2</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44795</v>
      </c>
      <c r="D15" s="53">
        <v>3.65</v>
      </c>
      <c r="E15" s="53">
        <v>3.65</v>
      </c>
      <c r="F15" s="53">
        <v>3.65</v>
      </c>
      <c r="G15" s="53">
        <v>3.65</v>
      </c>
      <c r="H15" s="53">
        <v>4.3</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44701</v>
      </c>
      <c r="D16" s="53">
        <v>3.7</v>
      </c>
      <c r="E16" s="53">
        <f>D16</f>
        <v>3.7</v>
      </c>
      <c r="F16" s="53">
        <f>D16</f>
        <v>3.7</v>
      </c>
      <c r="G16" s="53">
        <f>D16</f>
        <v>3.7</v>
      </c>
      <c r="H16" s="53">
        <v>4.45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44581</v>
      </c>
      <c r="D17" s="53">
        <v>3.7</v>
      </c>
      <c r="E17" s="53">
        <f>D17</f>
        <v>3.7</v>
      </c>
      <c r="F17" s="53">
        <f>D17</f>
        <v>3.7</v>
      </c>
      <c r="G17" s="53">
        <f>D17</f>
        <v>3.7</v>
      </c>
      <c r="H17" s="53">
        <v>4.5999999999999996</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44550</v>
      </c>
      <c r="D18" s="53">
        <v>3.8</v>
      </c>
      <c r="E18" s="53">
        <f>D18</f>
        <v>3.8</v>
      </c>
      <c r="F18" s="53">
        <f>D18</f>
        <v>3.8</v>
      </c>
      <c r="G18" s="53">
        <f>D18</f>
        <v>3.8</v>
      </c>
      <c r="H18" s="53">
        <v>4.6500000000000004</v>
      </c>
      <c r="I18" s="53"/>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43941</v>
      </c>
      <c r="D19" s="53">
        <v>3.85</v>
      </c>
      <c r="E19" s="53">
        <v>3.85</v>
      </c>
      <c r="F19" s="53">
        <v>3.85</v>
      </c>
      <c r="G19" s="53">
        <v>3.85</v>
      </c>
      <c r="H19" s="53">
        <v>4.6500000000000004</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43881</v>
      </c>
      <c r="D20" s="53">
        <v>4.05</v>
      </c>
      <c r="E20" s="53">
        <v>4.05</v>
      </c>
      <c r="F20" s="53">
        <v>4.05</v>
      </c>
      <c r="G20" s="53">
        <v>4.05</v>
      </c>
      <c r="H20" s="53">
        <v>4.75</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43789</v>
      </c>
      <c r="D21" s="53">
        <v>4.1500000000000004</v>
      </c>
      <c r="E21" s="53">
        <v>4.1500000000000004</v>
      </c>
      <c r="F21" s="53">
        <v>4.1500000000000004</v>
      </c>
      <c r="G21" s="53">
        <v>4.1500000000000004</v>
      </c>
      <c r="H21" s="53">
        <v>4.8</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43728</v>
      </c>
      <c r="D22" s="53">
        <v>4.2</v>
      </c>
      <c r="E22" s="53">
        <v>4.2</v>
      </c>
      <c r="F22" s="53">
        <v>4.2</v>
      </c>
      <c r="G22" s="53">
        <v>4.2</v>
      </c>
      <c r="H22" s="53">
        <v>4.8499999999999996</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49" t="s">
        <v>3324</v>
      </c>
      <c r="C23" s="55">
        <v>43697</v>
      </c>
      <c r="D23" s="56">
        <v>4.25</v>
      </c>
      <c r="E23" s="56">
        <v>4.25</v>
      </c>
      <c r="F23" s="56">
        <v>4.25</v>
      </c>
      <c r="G23" s="56">
        <v>4.25</v>
      </c>
      <c r="H23" s="56">
        <v>4.8499999999999996</v>
      </c>
      <c r="I23" s="56"/>
      <c r="J23" s="56"/>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ht="14.25">
      <c r="B24" s="57"/>
      <c r="C24" s="58">
        <v>42301</v>
      </c>
      <c r="D24" s="59">
        <v>4.3499999999999996</v>
      </c>
      <c r="E24" s="59">
        <v>4.3499999999999996</v>
      </c>
      <c r="F24" s="59">
        <v>4.75</v>
      </c>
      <c r="G24" s="59">
        <v>4.75</v>
      </c>
      <c r="H24" s="59">
        <v>4.9000000000000004</v>
      </c>
      <c r="I24" s="59"/>
      <c r="J24" s="59"/>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42242</v>
      </c>
      <c r="D25" s="53">
        <v>4.5999999999999996</v>
      </c>
      <c r="E25" s="53">
        <v>4.5999999999999996</v>
      </c>
      <c r="F25" s="53">
        <v>5</v>
      </c>
      <c r="G25" s="53">
        <v>5</v>
      </c>
      <c r="H25" s="53">
        <v>5.15</v>
      </c>
      <c r="I25" s="53">
        <v>2.75</v>
      </c>
      <c r="J25" s="53">
        <v>3.25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42183</v>
      </c>
      <c r="D26" s="53">
        <v>4.8499999999999996</v>
      </c>
      <c r="E26" s="53">
        <v>4.8499999999999996</v>
      </c>
      <c r="F26" s="53">
        <v>5.25</v>
      </c>
      <c r="G26" s="53">
        <v>5.25</v>
      </c>
      <c r="H26" s="53">
        <v>5.4</v>
      </c>
      <c r="I26" s="53">
        <v>3</v>
      </c>
      <c r="J26" s="53">
        <v>3.5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42135</v>
      </c>
      <c r="D27" s="53">
        <v>5.0999999999999996</v>
      </c>
      <c r="E27" s="53">
        <v>5.0999999999999996</v>
      </c>
      <c r="F27" s="53">
        <v>5.5</v>
      </c>
      <c r="G27" s="53">
        <v>5.5</v>
      </c>
      <c r="H27" s="53">
        <v>5.65</v>
      </c>
      <c r="I27" s="53">
        <v>3.25</v>
      </c>
      <c r="J27" s="53">
        <v>3.75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42064</v>
      </c>
      <c r="D28" s="53">
        <v>5.35</v>
      </c>
      <c r="E28" s="53">
        <v>5.35</v>
      </c>
      <c r="F28" s="53">
        <v>5.75</v>
      </c>
      <c r="G28" s="53">
        <v>5.75</v>
      </c>
      <c r="H28" s="53">
        <v>5.9</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41965</v>
      </c>
      <c r="D29" s="53">
        <v>5.6</v>
      </c>
      <c r="E29" s="53">
        <v>5.6</v>
      </c>
      <c r="F29" s="53">
        <v>6</v>
      </c>
      <c r="G29" s="53">
        <v>6</v>
      </c>
      <c r="H29" s="53">
        <v>6.15</v>
      </c>
      <c r="I29" s="53"/>
      <c r="J29" s="53"/>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41096</v>
      </c>
      <c r="D30" s="53">
        <v>5.6</v>
      </c>
      <c r="E30" s="53">
        <v>6</v>
      </c>
      <c r="F30" s="53">
        <v>6.15</v>
      </c>
      <c r="G30" s="53">
        <v>6.4</v>
      </c>
      <c r="H30" s="53">
        <v>6.55</v>
      </c>
      <c r="I30" s="53">
        <v>4</v>
      </c>
      <c r="J30" s="53">
        <v>4.5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41068</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40731</v>
      </c>
      <c r="D32" s="53">
        <v>6.1</v>
      </c>
      <c r="E32" s="53">
        <v>6.56</v>
      </c>
      <c r="F32" s="53">
        <v>6.65</v>
      </c>
      <c r="G32" s="53">
        <v>6.9</v>
      </c>
      <c r="H32" s="53">
        <v>7.05</v>
      </c>
      <c r="I32" s="53">
        <v>4.45</v>
      </c>
      <c r="J32" s="53">
        <v>4.9000000000000004</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40639</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40583</v>
      </c>
      <c r="D34" s="53">
        <v>5.6</v>
      </c>
      <c r="E34" s="53">
        <v>6.06</v>
      </c>
      <c r="F34" s="53">
        <v>6.1</v>
      </c>
      <c r="G34" s="53">
        <v>6.45</v>
      </c>
      <c r="H34" s="53">
        <v>6.6</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40538</v>
      </c>
      <c r="D35" s="53">
        <v>5.35</v>
      </c>
      <c r="E35" s="53">
        <v>5.81</v>
      </c>
      <c r="F35" s="53">
        <v>5.85</v>
      </c>
      <c r="G35" s="53">
        <v>6.22</v>
      </c>
      <c r="H35" s="53">
        <v>6.4</v>
      </c>
      <c r="I35" s="53">
        <v>3.75</v>
      </c>
      <c r="J35" s="53">
        <v>4.3</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40471</v>
      </c>
      <c r="D36" s="53">
        <v>5.0999999999999996</v>
      </c>
      <c r="E36" s="53">
        <v>5.56</v>
      </c>
      <c r="F36" s="53">
        <v>5.6</v>
      </c>
      <c r="G36" s="53">
        <v>5.96</v>
      </c>
      <c r="H36" s="53">
        <v>6.14</v>
      </c>
      <c r="I36" s="53">
        <v>3.5</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39805</v>
      </c>
      <c r="D37" s="53">
        <v>4.8600000000000003</v>
      </c>
      <c r="E37" s="53">
        <v>5.31</v>
      </c>
      <c r="F37" s="53">
        <v>5.4</v>
      </c>
      <c r="G37" s="53">
        <v>5.76</v>
      </c>
      <c r="H37" s="53">
        <v>5.94</v>
      </c>
      <c r="I37" s="53">
        <v>3.33</v>
      </c>
      <c r="J37" s="53">
        <v>3.87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39779</v>
      </c>
      <c r="D38" s="53">
        <v>5.04</v>
      </c>
      <c r="E38" s="53">
        <v>5.58</v>
      </c>
      <c r="F38" s="53">
        <v>5.67</v>
      </c>
      <c r="G38" s="53">
        <v>5.94</v>
      </c>
      <c r="H38" s="53">
        <v>6.12</v>
      </c>
      <c r="I38" s="53">
        <v>3.51</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39751</v>
      </c>
      <c r="D39" s="53">
        <v>6.03</v>
      </c>
      <c r="E39" s="53">
        <v>6.66</v>
      </c>
      <c r="F39" s="53">
        <v>6.75</v>
      </c>
      <c r="G39" s="53">
        <v>7.02</v>
      </c>
      <c r="H39" s="53">
        <v>7.2</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5">
        <v>39748</v>
      </c>
      <c r="D40" s="53">
        <v>6.12</v>
      </c>
      <c r="E40" s="53">
        <v>6.93</v>
      </c>
      <c r="F40" s="53">
        <v>7.02</v>
      </c>
      <c r="G40" s="53">
        <v>7.29</v>
      </c>
      <c r="H40" s="53">
        <v>7.47</v>
      </c>
      <c r="I40" s="53">
        <v>4.05</v>
      </c>
      <c r="J40" s="53">
        <v>4.59</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39730</v>
      </c>
      <c r="D41" s="53">
        <v>6.12</v>
      </c>
      <c r="E41" s="53">
        <v>6.93</v>
      </c>
      <c r="F41" s="53">
        <v>7.02</v>
      </c>
      <c r="G41" s="53">
        <v>7.29</v>
      </c>
      <c r="H41" s="53">
        <v>7.47</v>
      </c>
      <c r="I41" s="53">
        <v>4.32</v>
      </c>
      <c r="J41" s="53">
        <v>4.8600000000000003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39707</v>
      </c>
      <c r="D42" s="53">
        <v>6.21</v>
      </c>
      <c r="E42" s="53">
        <v>7.2</v>
      </c>
      <c r="F42" s="53">
        <v>7.29</v>
      </c>
      <c r="G42" s="53">
        <v>7.56</v>
      </c>
      <c r="H42" s="53">
        <v>7.74</v>
      </c>
      <c r="I42" s="53">
        <v>4.59</v>
      </c>
      <c r="J42" s="53">
        <v>5.13</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3325</v>
      </c>
      <c r="Y42" s="53" t="s">
        <v>3325</v>
      </c>
      <c r="Z42" s="53" t="s">
        <v>3325</v>
      </c>
    </row>
    <row r="43" spans="2:26">
      <c r="B43" s="53"/>
      <c r="C43" s="52">
        <v>39437</v>
      </c>
      <c r="D43" s="53">
        <v>6.57</v>
      </c>
      <c r="E43" s="53">
        <v>7.47</v>
      </c>
      <c r="F43" s="53">
        <v>7.56</v>
      </c>
      <c r="G43" s="53">
        <v>7.74</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3325</v>
      </c>
      <c r="Y43" s="53" t="s">
        <v>3325</v>
      </c>
      <c r="Z43" s="53" t="s">
        <v>3325</v>
      </c>
    </row>
    <row r="44" spans="2:26">
      <c r="B44" s="53"/>
      <c r="C44" s="52">
        <v>39340</v>
      </c>
      <c r="D44" s="53">
        <v>6.48</v>
      </c>
      <c r="E44" s="53">
        <v>7.29</v>
      </c>
      <c r="F44" s="53">
        <v>7.47</v>
      </c>
      <c r="G44" s="53">
        <v>7.65</v>
      </c>
      <c r="H44" s="53">
        <v>7.83</v>
      </c>
      <c r="I44" s="53">
        <v>4.7699999999999996</v>
      </c>
      <c r="J44" s="53">
        <v>5.22</v>
      </c>
      <c r="L44" s="53"/>
      <c r="M44" s="52">
        <v>35726</v>
      </c>
      <c r="N44" s="53">
        <v>1.71</v>
      </c>
      <c r="O44" s="53">
        <v>2.88</v>
      </c>
      <c r="P44" s="53">
        <v>4.1399999999999997</v>
      </c>
      <c r="Q44" s="53">
        <v>5.67</v>
      </c>
      <c r="R44" s="53">
        <v>5.94</v>
      </c>
      <c r="S44" s="53">
        <v>6.21</v>
      </c>
      <c r="T44" s="53">
        <v>6.66</v>
      </c>
      <c r="U44" s="53">
        <v>4.1399999999999997</v>
      </c>
      <c r="V44" s="53">
        <v>5.67</v>
      </c>
      <c r="W44" s="53">
        <v>6.21</v>
      </c>
      <c r="X44" s="53" t="s">
        <v>3325</v>
      </c>
      <c r="Y44" s="53" t="s">
        <v>3325</v>
      </c>
      <c r="Z44" s="53" t="s">
        <v>3325</v>
      </c>
    </row>
    <row r="45" spans="2:26">
      <c r="B45" s="53"/>
      <c r="C45" s="52">
        <v>39316</v>
      </c>
      <c r="D45" s="53">
        <v>6.21</v>
      </c>
      <c r="E45" s="53">
        <v>7.02</v>
      </c>
      <c r="F45" s="53">
        <v>7.2</v>
      </c>
      <c r="G45" s="53">
        <v>7.38</v>
      </c>
      <c r="H45" s="53">
        <v>7.56</v>
      </c>
      <c r="I45" s="53">
        <v>4.59</v>
      </c>
      <c r="J45" s="53">
        <v>5.04</v>
      </c>
      <c r="L45" s="53"/>
      <c r="M45" s="52">
        <v>35300</v>
      </c>
      <c r="N45" s="53">
        <v>1.98</v>
      </c>
      <c r="O45" s="53">
        <v>3.33</v>
      </c>
      <c r="P45" s="53">
        <v>5.4</v>
      </c>
      <c r="Q45" s="53">
        <v>7.47</v>
      </c>
      <c r="R45" s="53">
        <v>7.92</v>
      </c>
      <c r="S45" s="53">
        <v>8.2799999999999994</v>
      </c>
      <c r="T45" s="53">
        <v>9</v>
      </c>
      <c r="U45" s="53">
        <v>5.4</v>
      </c>
      <c r="V45" s="53">
        <v>7.47</v>
      </c>
      <c r="W45" s="53">
        <v>8.2799999999999994</v>
      </c>
      <c r="X45" s="53" t="s">
        <v>3325</v>
      </c>
      <c r="Y45" s="53" t="s">
        <v>3325</v>
      </c>
      <c r="Z45" s="53" t="s">
        <v>3325</v>
      </c>
    </row>
    <row r="46" spans="2:26">
      <c r="B46" s="53"/>
      <c r="C46" s="52">
        <v>39284</v>
      </c>
      <c r="D46" s="53">
        <v>6.03</v>
      </c>
      <c r="E46" s="53">
        <v>6.84</v>
      </c>
      <c r="F46" s="53">
        <v>7.02</v>
      </c>
      <c r="G46" s="53">
        <v>7.2</v>
      </c>
      <c r="H46" s="53">
        <v>7.38</v>
      </c>
      <c r="I46" s="53">
        <v>4.5</v>
      </c>
      <c r="J46" s="53">
        <v>4.95</v>
      </c>
      <c r="L46" s="53"/>
      <c r="M46" s="52">
        <v>35186</v>
      </c>
      <c r="N46" s="53">
        <v>2.97</v>
      </c>
      <c r="O46" s="53">
        <v>4.8600000000000003</v>
      </c>
      <c r="P46" s="53">
        <v>7.2</v>
      </c>
      <c r="Q46" s="53">
        <v>9.18</v>
      </c>
      <c r="R46" s="53">
        <v>9.9</v>
      </c>
      <c r="S46" s="53">
        <v>10.8</v>
      </c>
      <c r="T46" s="53">
        <v>12.06</v>
      </c>
      <c r="U46" s="53">
        <v>7.2</v>
      </c>
      <c r="V46" s="53">
        <v>9.18</v>
      </c>
      <c r="W46" s="53">
        <v>10.8</v>
      </c>
      <c r="X46" s="53" t="s">
        <v>3325</v>
      </c>
      <c r="Y46" s="53" t="s">
        <v>3325</v>
      </c>
      <c r="Z46" s="53" t="s">
        <v>3325</v>
      </c>
    </row>
    <row r="47" spans="2:26">
      <c r="B47" s="53"/>
      <c r="C47" s="52">
        <v>39221</v>
      </c>
      <c r="D47" s="53">
        <v>5.85</v>
      </c>
      <c r="E47" s="53">
        <v>6.57</v>
      </c>
      <c r="F47" s="53">
        <v>6.75</v>
      </c>
      <c r="G47" s="53">
        <v>6.93</v>
      </c>
      <c r="H47" s="53">
        <v>7.2</v>
      </c>
      <c r="I47" s="53">
        <v>4.41</v>
      </c>
      <c r="J47" s="53">
        <v>4.8600000000000003</v>
      </c>
      <c r="L47" s="53"/>
      <c r="M47" s="52">
        <v>34161</v>
      </c>
      <c r="N47" s="53">
        <v>3.15</v>
      </c>
      <c r="O47" s="53">
        <v>6.66</v>
      </c>
      <c r="P47" s="53">
        <v>9</v>
      </c>
      <c r="Q47" s="53">
        <v>10.98</v>
      </c>
      <c r="R47" s="53">
        <v>11.7</v>
      </c>
      <c r="S47" s="53">
        <v>12.24</v>
      </c>
      <c r="T47" s="53">
        <v>13.86</v>
      </c>
      <c r="U47" s="53">
        <v>9</v>
      </c>
      <c r="V47" s="53">
        <v>10.98</v>
      </c>
      <c r="W47" s="53">
        <v>12.24</v>
      </c>
      <c r="X47" s="53" t="s">
        <v>3325</v>
      </c>
      <c r="Y47" s="53" t="s">
        <v>3325</v>
      </c>
      <c r="Z47" s="53" t="s">
        <v>3325</v>
      </c>
    </row>
    <row r="48" spans="2:26">
      <c r="B48" s="53"/>
      <c r="C48" s="52">
        <v>39159</v>
      </c>
      <c r="D48" s="53">
        <v>5.67</v>
      </c>
      <c r="E48" s="53">
        <v>6.39</v>
      </c>
      <c r="F48" s="53">
        <v>6.57</v>
      </c>
      <c r="G48" s="53">
        <v>6.75</v>
      </c>
      <c r="H48" s="53">
        <v>7.11</v>
      </c>
      <c r="I48" s="53">
        <v>4.32</v>
      </c>
      <c r="J48" s="53">
        <v>4.7699999999999996</v>
      </c>
      <c r="L48" s="53"/>
      <c r="M48" s="52">
        <v>34104</v>
      </c>
      <c r="N48" s="53">
        <v>2.16</v>
      </c>
      <c r="O48" s="53">
        <v>4.8600000000000003</v>
      </c>
      <c r="P48" s="53">
        <v>7.2</v>
      </c>
      <c r="Q48" s="53">
        <v>9.18</v>
      </c>
      <c r="R48" s="53">
        <v>9.9</v>
      </c>
      <c r="S48" s="53">
        <v>10.8</v>
      </c>
      <c r="T48" s="53">
        <v>12.06</v>
      </c>
      <c r="U48" s="53">
        <v>7.2</v>
      </c>
      <c r="V48" s="53">
        <v>9.18</v>
      </c>
      <c r="W48" s="53">
        <v>10.8</v>
      </c>
      <c r="X48" s="53" t="s">
        <v>3325</v>
      </c>
      <c r="Y48" s="53" t="s">
        <v>3325</v>
      </c>
      <c r="Z48" s="53" t="s">
        <v>3325</v>
      </c>
    </row>
    <row r="49" spans="2:26">
      <c r="B49" s="53"/>
      <c r="C49" s="52">
        <v>38948</v>
      </c>
      <c r="D49" s="53">
        <v>5.58</v>
      </c>
      <c r="E49" s="53">
        <v>6.12</v>
      </c>
      <c r="F49" s="53">
        <v>6.3</v>
      </c>
      <c r="G49" s="53">
        <v>6.48</v>
      </c>
      <c r="H49" s="53">
        <v>6.84</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3325</v>
      </c>
      <c r="Y49" s="53" t="s">
        <v>3325</v>
      </c>
      <c r="Z49" s="53" t="s">
        <v>3325</v>
      </c>
    </row>
    <row r="50" spans="2:26">
      <c r="B50" s="53"/>
      <c r="C50" s="52">
        <v>38835</v>
      </c>
      <c r="D50" s="53">
        <v>5.4</v>
      </c>
      <c r="E50" s="53">
        <v>5.85</v>
      </c>
      <c r="F50" s="53">
        <v>6.03</v>
      </c>
      <c r="G50" s="53">
        <v>6.12</v>
      </c>
      <c r="H50" s="53">
        <v>6.39</v>
      </c>
      <c r="I50" s="53">
        <v>4.1399999999999997</v>
      </c>
      <c r="J50" s="53">
        <v>4.59</v>
      </c>
      <c r="L50" s="53"/>
      <c r="M50" s="52">
        <v>33106</v>
      </c>
      <c r="N50" s="53">
        <v>2.16</v>
      </c>
      <c r="O50" s="53">
        <v>4.32</v>
      </c>
      <c r="P50" s="53">
        <v>6.48</v>
      </c>
      <c r="Q50" s="53">
        <v>8.64</v>
      </c>
      <c r="R50" s="53">
        <v>9.36</v>
      </c>
      <c r="S50" s="53">
        <v>10.08</v>
      </c>
      <c r="T50" s="53">
        <v>11.52</v>
      </c>
      <c r="U50" s="53">
        <v>7.2</v>
      </c>
      <c r="V50" s="53">
        <v>8.64</v>
      </c>
      <c r="W50" s="53">
        <v>10.08</v>
      </c>
      <c r="X50" s="53" t="s">
        <v>3325</v>
      </c>
      <c r="Y50" s="53" t="s">
        <v>3325</v>
      </c>
      <c r="Z50" s="53" t="s">
        <v>3325</v>
      </c>
    </row>
    <row r="51" spans="2:26">
      <c r="B51" s="53"/>
      <c r="C51" s="52">
        <v>38428</v>
      </c>
      <c r="D51" s="53">
        <v>5.22</v>
      </c>
      <c r="E51" s="53">
        <v>5.58</v>
      </c>
      <c r="F51" s="53">
        <v>5.76</v>
      </c>
      <c r="G51" s="53">
        <v>5.85</v>
      </c>
      <c r="H51" s="53">
        <v>6.12</v>
      </c>
      <c r="I51" s="53">
        <v>3.96</v>
      </c>
      <c r="J51" s="53">
        <v>4.41</v>
      </c>
      <c r="L51" s="53"/>
      <c r="M51" s="52">
        <v>32978</v>
      </c>
      <c r="N51" s="53">
        <v>2.88</v>
      </c>
      <c r="O51" s="53">
        <v>6.3</v>
      </c>
      <c r="P51" s="53">
        <v>7.74</v>
      </c>
      <c r="Q51" s="53">
        <v>10.08</v>
      </c>
      <c r="R51" s="53">
        <v>10.98</v>
      </c>
      <c r="S51" s="53">
        <v>11.88</v>
      </c>
      <c r="T51" s="53">
        <v>13.68</v>
      </c>
      <c r="U51" s="53" t="s">
        <v>3325</v>
      </c>
      <c r="V51" s="53" t="s">
        <v>3325</v>
      </c>
      <c r="W51" s="53" t="s">
        <v>3325</v>
      </c>
      <c r="X51" s="53" t="s">
        <v>3325</v>
      </c>
      <c r="Y51" s="53" t="s">
        <v>3325</v>
      </c>
      <c r="Z51" s="53" t="s">
        <v>3325</v>
      </c>
    </row>
    <row r="52" spans="2:26">
      <c r="B52" s="53"/>
      <c r="C52" s="52">
        <v>38289</v>
      </c>
      <c r="D52" s="53">
        <v>5.22</v>
      </c>
      <c r="E52" s="53">
        <v>5.58</v>
      </c>
      <c r="F52" s="53">
        <v>5.76</v>
      </c>
      <c r="G52" s="53">
        <v>5.85</v>
      </c>
      <c r="H52" s="53">
        <v>6.12</v>
      </c>
      <c r="I52" s="53">
        <v>3.78</v>
      </c>
      <c r="J52" s="53">
        <v>4.2300000000000004</v>
      </c>
      <c r="L52" s="53"/>
      <c r="M52" s="52"/>
      <c r="N52" s="53"/>
      <c r="O52" s="53"/>
      <c r="P52" s="53"/>
      <c r="Q52" s="53"/>
      <c r="R52" s="53"/>
      <c r="S52" s="53"/>
      <c r="T52" s="53"/>
      <c r="U52" s="53"/>
      <c r="V52" s="53"/>
      <c r="W52" s="53"/>
      <c r="X52" s="53"/>
      <c r="Y52" s="53"/>
      <c r="Z52" s="53"/>
    </row>
    <row r="53" spans="2:26">
      <c r="B53" s="53"/>
      <c r="C53" s="52">
        <v>37308</v>
      </c>
      <c r="D53" s="53">
        <v>5.04</v>
      </c>
      <c r="E53" s="53">
        <v>5.31</v>
      </c>
      <c r="F53" s="53">
        <v>5.49</v>
      </c>
      <c r="G53" s="53">
        <v>5.58</v>
      </c>
      <c r="H53" s="53">
        <v>5.76</v>
      </c>
      <c r="I53" s="53">
        <v>3.6</v>
      </c>
      <c r="J53" s="53">
        <v>4.05</v>
      </c>
      <c r="L53" s="53"/>
      <c r="M53" s="52"/>
      <c r="N53" s="53"/>
      <c r="O53" s="53"/>
      <c r="P53" s="53"/>
      <c r="Q53" s="53"/>
      <c r="R53" s="53"/>
      <c r="S53" s="53"/>
      <c r="T53" s="53"/>
      <c r="U53" s="53"/>
      <c r="V53" s="53"/>
      <c r="W53" s="53"/>
      <c r="X53" s="53"/>
      <c r="Y53" s="53"/>
      <c r="Z53" s="53"/>
    </row>
    <row r="54" spans="2:26">
      <c r="B54" s="53"/>
      <c r="C54" s="52">
        <v>36321</v>
      </c>
      <c r="D54" s="53">
        <v>5.58</v>
      </c>
      <c r="E54" s="53">
        <v>5.85</v>
      </c>
      <c r="F54" s="53">
        <v>5.94</v>
      </c>
      <c r="G54" s="53">
        <v>6.03</v>
      </c>
      <c r="H54" s="53">
        <v>6.21</v>
      </c>
      <c r="I54" s="53">
        <v>4.1399999999999997</v>
      </c>
      <c r="J54" s="53">
        <v>4.59</v>
      </c>
      <c r="L54" s="53"/>
      <c r="M54" s="52"/>
      <c r="N54" s="53"/>
      <c r="O54" s="53"/>
      <c r="P54" s="53"/>
      <c r="Q54" s="53"/>
      <c r="R54" s="53"/>
      <c r="S54" s="53"/>
      <c r="T54" s="53"/>
      <c r="U54" s="53"/>
      <c r="V54" s="53"/>
      <c r="W54" s="53"/>
      <c r="X54" s="53"/>
      <c r="Y54" s="53"/>
      <c r="Z54" s="53"/>
    </row>
    <row r="55" spans="2:26">
      <c r="B55" s="53"/>
      <c r="C55" s="52">
        <v>36136</v>
      </c>
      <c r="D55" s="53">
        <v>6.12</v>
      </c>
      <c r="E55" s="53">
        <v>6.39</v>
      </c>
      <c r="F55" s="53">
        <v>6.66</v>
      </c>
      <c r="G55" s="53">
        <v>7.2</v>
      </c>
      <c r="H55" s="53">
        <v>7.56</v>
      </c>
      <c r="I55" s="53">
        <v>0</v>
      </c>
      <c r="J55" s="53">
        <v>0</v>
      </c>
      <c r="L55" s="53"/>
      <c r="M55" s="52"/>
      <c r="N55" s="53"/>
      <c r="O55" s="53"/>
      <c r="P55" s="53"/>
      <c r="Q55" s="53"/>
      <c r="R55" s="53"/>
      <c r="S55" s="53"/>
      <c r="T55" s="53"/>
      <c r="U55" s="53"/>
      <c r="V55" s="53"/>
      <c r="W55" s="53"/>
      <c r="X55" s="53"/>
      <c r="Y55" s="53"/>
      <c r="Z55" s="53"/>
    </row>
    <row r="56" spans="2:26">
      <c r="B56" s="53"/>
      <c r="C56" s="52">
        <v>35977</v>
      </c>
      <c r="D56" s="53">
        <v>6.57</v>
      </c>
      <c r="E56" s="53">
        <v>6.93</v>
      </c>
      <c r="F56" s="53">
        <v>7.11</v>
      </c>
      <c r="G56" s="53">
        <v>7.65</v>
      </c>
      <c r="H56" s="53">
        <v>8.01</v>
      </c>
      <c r="I56" s="53">
        <v>0</v>
      </c>
      <c r="J56" s="53">
        <v>0</v>
      </c>
      <c r="L56" s="53"/>
      <c r="M56" s="52"/>
      <c r="N56" s="53"/>
      <c r="O56" s="53"/>
      <c r="P56" s="53"/>
      <c r="Q56" s="53"/>
      <c r="R56" s="53"/>
      <c r="S56" s="53"/>
      <c r="T56" s="53"/>
      <c r="U56" s="53"/>
      <c r="V56" s="53"/>
      <c r="W56" s="53"/>
      <c r="X56" s="53"/>
      <c r="Y56" s="53"/>
      <c r="Z56" s="53"/>
    </row>
    <row r="57" spans="2:26">
      <c r="B57" s="53"/>
      <c r="C57" s="52">
        <v>35879</v>
      </c>
      <c r="D57" s="53">
        <v>7.02</v>
      </c>
      <c r="E57" s="53">
        <v>7.92</v>
      </c>
      <c r="F57" s="53">
        <v>9</v>
      </c>
      <c r="G57" s="53">
        <v>9.7200000000000006</v>
      </c>
      <c r="H57" s="53">
        <v>10.35</v>
      </c>
      <c r="I57" s="53">
        <v>0</v>
      </c>
      <c r="J57" s="53">
        <v>0</v>
      </c>
      <c r="L57" s="53"/>
      <c r="M57" s="52"/>
      <c r="N57" s="53"/>
      <c r="O57" s="53"/>
      <c r="P57" s="53"/>
      <c r="Q57" s="53"/>
      <c r="R57" s="53"/>
      <c r="S57" s="53"/>
      <c r="T57" s="53"/>
      <c r="U57" s="53"/>
      <c r="V57" s="53"/>
      <c r="W57" s="53"/>
      <c r="X57" s="53"/>
      <c r="Y57" s="53"/>
      <c r="Z57" s="53"/>
    </row>
    <row r="58" spans="2:26">
      <c r="B58" s="53"/>
      <c r="C58" s="52">
        <v>35726</v>
      </c>
      <c r="D58" s="53">
        <v>7.65</v>
      </c>
      <c r="E58" s="53">
        <v>8.64</v>
      </c>
      <c r="F58" s="53">
        <v>9.36</v>
      </c>
      <c r="G58" s="53">
        <v>9.9</v>
      </c>
      <c r="H58" s="53">
        <v>10.53</v>
      </c>
      <c r="I58" s="53">
        <v>0</v>
      </c>
      <c r="J58" s="53">
        <v>0</v>
      </c>
    </row>
    <row r="59" spans="2:26">
      <c r="B59" s="53"/>
      <c r="C59" s="52">
        <v>35300</v>
      </c>
      <c r="D59" s="53">
        <v>9.18</v>
      </c>
      <c r="E59" s="53">
        <v>10.08</v>
      </c>
      <c r="F59" s="53">
        <v>10.98</v>
      </c>
      <c r="G59" s="53">
        <v>11.7</v>
      </c>
      <c r="H59" s="53">
        <v>12.42</v>
      </c>
      <c r="I59" s="53">
        <v>0</v>
      </c>
      <c r="J59" s="53">
        <v>0</v>
      </c>
    </row>
    <row r="60" spans="2:26">
      <c r="B60" s="53"/>
      <c r="C60" s="52">
        <v>35186</v>
      </c>
      <c r="D60" s="53">
        <v>9.7200000000000006</v>
      </c>
      <c r="E60" s="53">
        <v>10.98</v>
      </c>
      <c r="F60" s="53">
        <v>13.14</v>
      </c>
      <c r="G60" s="53">
        <v>14.94</v>
      </c>
      <c r="H60" s="53">
        <v>15.12</v>
      </c>
      <c r="I60" s="53">
        <v>0</v>
      </c>
      <c r="J60" s="53">
        <v>0</v>
      </c>
    </row>
    <row r="61" spans="2:26">
      <c r="B61" s="53"/>
      <c r="C61" s="52">
        <v>34881</v>
      </c>
      <c r="D61" s="53">
        <v>10.08</v>
      </c>
      <c r="E61" s="53">
        <v>12.06</v>
      </c>
      <c r="F61" s="53">
        <v>13.5</v>
      </c>
      <c r="G61" s="53">
        <v>15.12</v>
      </c>
      <c r="H61" s="53">
        <v>15.3</v>
      </c>
      <c r="I61" s="53">
        <v>0</v>
      </c>
      <c r="J61" s="53">
        <v>0</v>
      </c>
    </row>
    <row r="62" spans="2:26">
      <c r="B62" s="53"/>
      <c r="C62" s="52">
        <v>34700</v>
      </c>
      <c r="D62" s="53">
        <v>9</v>
      </c>
      <c r="E62" s="53">
        <v>10.98</v>
      </c>
      <c r="F62" s="53">
        <v>12.96</v>
      </c>
      <c r="G62" s="53">
        <v>14.58</v>
      </c>
      <c r="H62" s="53">
        <v>14.76</v>
      </c>
      <c r="I62" s="53">
        <v>0</v>
      </c>
      <c r="J62" s="53">
        <v>0</v>
      </c>
    </row>
    <row r="63" spans="2:26">
      <c r="B63" s="53"/>
      <c r="C63" s="52">
        <v>34161</v>
      </c>
      <c r="D63" s="53">
        <v>9</v>
      </c>
      <c r="E63" s="53">
        <v>10.98</v>
      </c>
      <c r="F63" s="53">
        <v>12.24</v>
      </c>
      <c r="G63" s="53">
        <v>13.86</v>
      </c>
      <c r="H63" s="53">
        <v>14.04</v>
      </c>
      <c r="I63" s="53">
        <v>0</v>
      </c>
      <c r="J63" s="53">
        <v>0</v>
      </c>
    </row>
    <row r="64" spans="2:26">
      <c r="B64" s="53"/>
      <c r="C64" s="52">
        <v>34104</v>
      </c>
      <c r="D64" s="53">
        <v>8.82</v>
      </c>
      <c r="E64" s="53">
        <v>9.36</v>
      </c>
      <c r="F64" s="53">
        <v>10.8</v>
      </c>
      <c r="G64" s="53">
        <v>12.06</v>
      </c>
      <c r="H64" s="53">
        <v>12.24</v>
      </c>
      <c r="I64" s="53">
        <v>0</v>
      </c>
      <c r="J64" s="53">
        <v>0</v>
      </c>
    </row>
    <row r="65" spans="2:10">
      <c r="B65" s="53"/>
      <c r="C65" s="52">
        <v>33349</v>
      </c>
      <c r="D65" s="53">
        <v>8.1</v>
      </c>
      <c r="E65" s="53">
        <v>8.64</v>
      </c>
      <c r="F65" s="53">
        <v>9</v>
      </c>
      <c r="G65" s="53">
        <v>9.5399999999999991</v>
      </c>
      <c r="H65" s="53">
        <v>9.7200000000000006</v>
      </c>
      <c r="I65" s="53">
        <v>0</v>
      </c>
      <c r="J65" s="53">
        <v>0</v>
      </c>
    </row>
    <row r="66" spans="2:10">
      <c r="B66" s="53"/>
      <c r="C66" s="52">
        <v>33318</v>
      </c>
      <c r="D66" s="53">
        <v>9</v>
      </c>
      <c r="E66" s="53">
        <v>10.08</v>
      </c>
      <c r="F66" s="53">
        <v>10.8</v>
      </c>
      <c r="G66" s="53">
        <v>11.52</v>
      </c>
      <c r="H66" s="53">
        <v>11.88</v>
      </c>
      <c r="I66" s="53" t="s">
        <v>3325</v>
      </c>
      <c r="J66" s="53" t="s">
        <v>3325</v>
      </c>
    </row>
    <row r="67" spans="2:10">
      <c r="B67" s="53"/>
      <c r="C67" s="52">
        <v>33106</v>
      </c>
      <c r="D67" s="53">
        <v>8.64</v>
      </c>
      <c r="E67" s="53">
        <v>9.36</v>
      </c>
      <c r="F67" s="53">
        <v>10.08</v>
      </c>
      <c r="G67" s="53">
        <v>10.8</v>
      </c>
      <c r="H67" s="53">
        <v>11.16</v>
      </c>
      <c r="I67" s="53">
        <v>0</v>
      </c>
      <c r="J67" s="53">
        <v>0</v>
      </c>
    </row>
    <row r="68" spans="2:10">
      <c r="B68" s="53"/>
      <c r="C68" s="52">
        <v>32540</v>
      </c>
      <c r="D68" s="53">
        <v>11.34</v>
      </c>
      <c r="E68" s="53">
        <v>11.34</v>
      </c>
      <c r="F68" s="53">
        <v>12.78</v>
      </c>
      <c r="G68" s="53">
        <v>14.4</v>
      </c>
      <c r="H68" s="53">
        <v>19.260000000000002</v>
      </c>
      <c r="I68" s="53">
        <v>0</v>
      </c>
      <c r="J68" s="53">
        <v>0</v>
      </c>
    </row>
    <row r="69" spans="2:10">
      <c r="B69" s="53"/>
      <c r="C69" s="52"/>
      <c r="D69" s="53"/>
      <c r="E69" s="53"/>
      <c r="F69" s="53"/>
      <c r="G69" s="53"/>
      <c r="H69" s="53"/>
      <c r="I69" s="53"/>
      <c r="J69" s="53"/>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3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G14" sqref="G14"/>
    </sheetView>
  </sheetViews>
  <sheetFormatPr defaultColWidth="9" defaultRowHeight="12"/>
  <cols>
    <col min="1" max="1" width="10.75" style="1" customWidth="1"/>
    <col min="2" max="16384" width="9" style="1"/>
  </cols>
  <sheetData>
    <row r="1" spans="1:4">
      <c r="B1" s="1" t="s">
        <v>622</v>
      </c>
      <c r="C1" s="1" t="s">
        <v>2156</v>
      </c>
      <c r="D1" s="1" t="s">
        <v>791</v>
      </c>
    </row>
    <row r="2" spans="1:4" ht="12.75">
      <c r="A2" s="1" t="s">
        <v>3326</v>
      </c>
      <c r="B2" s="1">
        <v>6500</v>
      </c>
      <c r="C2" s="1">
        <v>15000</v>
      </c>
      <c r="D2" s="1" t="s">
        <v>3327</v>
      </c>
    </row>
    <row r="3" spans="1:4">
      <c r="A3" s="1" t="s">
        <v>3328</v>
      </c>
      <c r="B3" s="1">
        <v>6836</v>
      </c>
      <c r="C3" s="1">
        <v>18000</v>
      </c>
      <c r="D3" s="1" t="s">
        <v>2162</v>
      </c>
    </row>
    <row r="4" spans="1:4">
      <c r="A4" s="1" t="s">
        <v>3329</v>
      </c>
      <c r="B4" s="1">
        <v>2219</v>
      </c>
      <c r="C4" s="1">
        <v>17125</v>
      </c>
      <c r="D4" s="1" t="s">
        <v>2162</v>
      </c>
    </row>
    <row r="5" spans="1:4">
      <c r="A5" s="1" t="s">
        <v>3330</v>
      </c>
      <c r="B5" s="1">
        <v>3404</v>
      </c>
      <c r="C5" s="1">
        <v>15000</v>
      </c>
      <c r="D5" s="1" t="s">
        <v>2162</v>
      </c>
    </row>
    <row r="6" spans="1:4">
      <c r="A6" s="1" t="s">
        <v>3331</v>
      </c>
      <c r="B6" s="1">
        <v>1800</v>
      </c>
      <c r="C6" s="1">
        <v>15000</v>
      </c>
      <c r="D6" s="1" t="s">
        <v>2162</v>
      </c>
    </row>
  </sheetData>
  <phoneticPr fontId="2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607" t="s">
        <v>114</v>
      </c>
      <c r="B1" s="3607"/>
      <c r="C1" s="3607"/>
      <c r="D1" s="3607"/>
    </row>
    <row r="2" spans="1:4" ht="18">
      <c r="A2" s="3608" t="s">
        <v>115</v>
      </c>
      <c r="B2" s="3608"/>
      <c r="C2" s="3608"/>
      <c r="D2" s="3608"/>
    </row>
    <row r="3" spans="1:4" ht="18.75">
      <c r="A3" s="3457" t="s">
        <v>116</v>
      </c>
      <c r="B3" s="3457" t="s">
        <v>117</v>
      </c>
      <c r="C3" s="3457" t="s">
        <v>118</v>
      </c>
      <c r="D3" s="3457" t="s">
        <v>119</v>
      </c>
    </row>
    <row r="4" spans="1:4" ht="56.25" customHeight="1">
      <c r="A4" s="3458">
        <f>项目基本情况!B4</f>
        <v>0</v>
      </c>
      <c r="B4" s="3459">
        <f>项目基本情况!C4</f>
        <v>0</v>
      </c>
      <c r="C4" s="3460"/>
      <c r="D4" s="3461" t="s">
        <v>120</v>
      </c>
    </row>
    <row r="5" spans="1:4" ht="56.25" customHeight="1">
      <c r="A5" s="3458">
        <f>项目基本情况!D4</f>
        <v>0</v>
      </c>
      <c r="B5" s="3459">
        <f>项目基本情况!E4</f>
        <v>0</v>
      </c>
      <c r="C5" s="3462"/>
      <c r="D5" s="3461" t="s">
        <v>120</v>
      </c>
    </row>
    <row r="6" spans="1:4" ht="18">
      <c r="A6" s="3608" t="s">
        <v>121</v>
      </c>
      <c r="B6" s="3608"/>
      <c r="C6" s="3608"/>
      <c r="D6" s="3608"/>
    </row>
    <row r="7" spans="1:4" ht="18.75">
      <c r="A7" s="3457" t="s">
        <v>116</v>
      </c>
      <c r="B7" s="3459" t="s">
        <v>122</v>
      </c>
      <c r="C7" s="3457" t="s">
        <v>118</v>
      </c>
      <c r="D7" s="3457" t="s">
        <v>119</v>
      </c>
    </row>
    <row r="8" spans="1:4" ht="56.25" customHeight="1">
      <c r="A8" s="3463" t="s">
        <v>123</v>
      </c>
      <c r="B8" s="3463" t="s">
        <v>124</v>
      </c>
      <c r="C8" s="3460"/>
      <c r="D8" s="3461" t="s">
        <v>120</v>
      </c>
    </row>
    <row r="9" spans="1:4">
      <c r="A9" s="3464"/>
      <c r="B9" s="3464"/>
      <c r="C9" s="3464"/>
      <c r="D9" s="3464"/>
    </row>
    <row r="10" spans="1:4" ht="18.75">
      <c r="A10" s="3456" t="s">
        <v>125</v>
      </c>
      <c r="B10" s="3464"/>
      <c r="C10" s="3464"/>
      <c r="D10" s="3464"/>
    </row>
    <row r="11" spans="1:4" ht="30" customHeight="1">
      <c r="A11" s="3609" t="s">
        <v>126</v>
      </c>
      <c r="B11" s="3602"/>
      <c r="C11" s="3602"/>
      <c r="D11" s="3602"/>
    </row>
    <row r="12" spans="1:4" ht="15.75">
      <c r="A12" s="36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5"/>
      <c r="C12" s="3605"/>
      <c r="D12" s="3605"/>
    </row>
    <row r="13" spans="1:4" ht="30" customHeight="1">
      <c r="A13" s="36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5"/>
      <c r="C13" s="3605"/>
      <c r="D13" s="3605"/>
    </row>
    <row r="14" spans="1:4" ht="15.75" customHeight="1">
      <c r="A14" s="3602" t="str">
        <f>IF(项目基本情况!B8="抵押","4.本次评估估价师所知悉的法定优先受偿款情况说明如下：","——")</f>
        <v>4.本次评估估价师所知悉的法定优先受偿款情况说明如下：</v>
      </c>
      <c r="B14" s="3605"/>
      <c r="C14" s="3605"/>
      <c r="D14" s="3605"/>
    </row>
    <row r="15" spans="1:4" ht="42" customHeight="1">
      <c r="A15" s="36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2"/>
      <c r="C15" s="3602"/>
      <c r="D15" s="3602"/>
    </row>
    <row r="16" spans="1:4" ht="30" customHeight="1">
      <c r="A16" s="3606" t="s">
        <v>127</v>
      </c>
      <c r="B16" s="3606"/>
      <c r="C16" s="3606"/>
      <c r="D16" s="3606"/>
    </row>
    <row r="17" spans="1:4" ht="144" customHeight="1">
      <c r="A17" s="3606" t="s">
        <v>128</v>
      </c>
      <c r="B17" s="3606"/>
      <c r="C17" s="3606"/>
      <c r="D17" s="3606"/>
    </row>
    <row r="18" spans="1:4" ht="15.75" customHeight="1">
      <c r="A18" s="3602" t="str">
        <f>IF(项目基本情况!B8="抵押",结果表!K120,"——")</f>
        <v>故，本次评估不存在估价师知悉的法定优先受偿款</v>
      </c>
      <c r="B18" s="3602"/>
      <c r="C18" s="3602"/>
      <c r="D18" s="3602"/>
    </row>
    <row r="19" spans="1:4" ht="46.5" customHeight="1">
      <c r="A19" s="36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2"/>
      <c r="C19" s="3602"/>
      <c r="D19" s="3602"/>
    </row>
    <row r="20" spans="1:4" ht="57.75" customHeight="1">
      <c r="A20" s="36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2"/>
      <c r="C20" s="3602"/>
      <c r="D20" s="3602"/>
    </row>
    <row r="21" spans="1:4" ht="57.75" customHeight="1">
      <c r="A21" s="3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3"/>
      <c r="C21" s="3603"/>
      <c r="D21" s="3603"/>
    </row>
    <row r="22" spans="1:4" ht="18.75" customHeight="1">
      <c r="A22" s="3604" t="s">
        <v>129</v>
      </c>
      <c r="B22" s="3604"/>
      <c r="C22" s="3604"/>
      <c r="D22" s="3604"/>
    </row>
    <row r="23" spans="1:4">
      <c r="A23" s="3465"/>
      <c r="B23" s="1761"/>
      <c r="C23" s="1761"/>
      <c r="D23" s="1761"/>
    </row>
    <row r="24" spans="1:4">
      <c r="A24" s="3465"/>
      <c r="B24" s="1761"/>
      <c r="C24" s="1761"/>
      <c r="D24" s="1761"/>
    </row>
    <row r="25" spans="1:4" ht="18.75">
      <c r="A25" s="3466" t="s">
        <v>130</v>
      </c>
    </row>
    <row r="26" spans="1:4" ht="18">
      <c r="A26" s="3467"/>
    </row>
    <row r="27" spans="1:4" ht="18.75">
      <c r="A27" s="3467" t="s">
        <v>131</v>
      </c>
    </row>
    <row r="30" spans="1:4" ht="18.75">
      <c r="D30" s="3466" t="s">
        <v>132</v>
      </c>
    </row>
    <row r="31" spans="1:4" ht="13.5" customHeight="1">
      <c r="C31" s="3601">
        <v>42551</v>
      </c>
      <c r="D31" s="36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2" customWidth="1"/>
    <col min="3" max="10" width="12.5" style="3452" customWidth="1"/>
    <col min="11" max="16384" width="9" style="3452"/>
  </cols>
  <sheetData>
    <row r="1" spans="1:10" ht="18.75">
      <c r="A1" s="3453" t="s">
        <v>133</v>
      </c>
      <c r="B1" s="3454"/>
      <c r="C1" s="3454"/>
      <c r="D1" s="3454"/>
      <c r="E1" s="3454"/>
      <c r="F1" s="3454"/>
      <c r="G1" s="3454"/>
      <c r="H1" s="3454"/>
      <c r="I1" s="3454"/>
      <c r="J1" s="3454"/>
    </row>
    <row r="2" spans="1:10" ht="18.75">
      <c r="A2" s="3455"/>
      <c r="B2" s="3454"/>
      <c r="C2" s="3454"/>
      <c r="D2" s="3454"/>
      <c r="E2" s="3454"/>
      <c r="F2" s="3454"/>
      <c r="G2" s="3454"/>
      <c r="H2" s="3454"/>
      <c r="I2" s="3454"/>
      <c r="J2" s="3454"/>
    </row>
    <row r="3" spans="1:10">
      <c r="A3" s="3454"/>
      <c r="B3" s="3454"/>
      <c r="C3" s="3454"/>
      <c r="D3" s="3454"/>
      <c r="E3" s="3454"/>
      <c r="F3" s="3454"/>
      <c r="G3" s="3454"/>
      <c r="H3" s="3454"/>
      <c r="I3" s="3454"/>
      <c r="J3" s="3454"/>
    </row>
    <row r="4" spans="1:10">
      <c r="A4" s="3454"/>
      <c r="B4" s="3454"/>
      <c r="C4" s="3454"/>
      <c r="D4" s="3454"/>
      <c r="E4" s="3454"/>
      <c r="F4" s="3454"/>
      <c r="G4" s="3454"/>
      <c r="H4" s="3454"/>
      <c r="I4" s="3454"/>
      <c r="J4" s="3454"/>
    </row>
    <row r="5" spans="1:10">
      <c r="A5" s="3454"/>
      <c r="B5" s="3454"/>
      <c r="C5" s="3454"/>
      <c r="D5" s="3454"/>
      <c r="E5" s="3454"/>
      <c r="F5" s="3454"/>
      <c r="G5" s="3454"/>
      <c r="H5" s="3454"/>
      <c r="I5" s="3454"/>
      <c r="J5" s="3454"/>
    </row>
    <row r="6" spans="1:10">
      <c r="A6" s="3454"/>
      <c r="B6" s="3454"/>
      <c r="C6" s="3454"/>
      <c r="D6" s="3454"/>
      <c r="E6" s="3454"/>
      <c r="F6" s="3454"/>
      <c r="G6" s="3454"/>
      <c r="H6" s="3454"/>
      <c r="I6" s="3454"/>
      <c r="J6" s="3454"/>
    </row>
    <row r="7" spans="1:10">
      <c r="A7" s="3454"/>
      <c r="B7" s="3454"/>
      <c r="C7" s="3454"/>
      <c r="D7" s="3454"/>
      <c r="E7" s="3454"/>
      <c r="F7" s="3454"/>
      <c r="G7" s="3454"/>
      <c r="H7" s="3454"/>
      <c r="I7" s="3454"/>
      <c r="J7" s="3454"/>
    </row>
    <row r="8" spans="1:10">
      <c r="A8" s="3454"/>
      <c r="B8" s="3454"/>
      <c r="C8" s="3454"/>
      <c r="D8" s="3454"/>
      <c r="E8" s="3454"/>
      <c r="F8" s="3454"/>
      <c r="G8" s="3454"/>
      <c r="H8" s="3454"/>
      <c r="I8" s="3454"/>
      <c r="J8" s="3454"/>
    </row>
    <row r="9" spans="1:10">
      <c r="A9" s="3454"/>
      <c r="B9" s="3454"/>
      <c r="C9" s="3454"/>
      <c r="D9" s="3454"/>
      <c r="E9" s="3454"/>
      <c r="F9" s="3454"/>
      <c r="G9" s="3454"/>
      <c r="H9" s="3454"/>
      <c r="I9" s="3454"/>
      <c r="J9" s="3454"/>
    </row>
    <row r="10" spans="1:10">
      <c r="A10" s="3454"/>
      <c r="B10" s="3454"/>
      <c r="C10" s="3454"/>
      <c r="D10" s="3454"/>
      <c r="E10" s="3454"/>
      <c r="F10" s="3454"/>
      <c r="G10" s="3454"/>
      <c r="H10" s="3454"/>
      <c r="I10" s="3454"/>
      <c r="J10" s="3454"/>
    </row>
    <row r="11" spans="1:10">
      <c r="A11" s="3454"/>
      <c r="B11" s="3454"/>
      <c r="C11" s="3454"/>
      <c r="D11" s="3454"/>
      <c r="E11" s="3454"/>
      <c r="F11" s="3454"/>
      <c r="G11" s="3454"/>
      <c r="H11" s="3454"/>
      <c r="I11" s="3454"/>
      <c r="J11" s="3454"/>
    </row>
    <row r="12" spans="1:10">
      <c r="A12" s="3454"/>
      <c r="B12" s="3454"/>
      <c r="C12" s="3454"/>
      <c r="D12" s="3454"/>
      <c r="E12" s="3454"/>
      <c r="F12" s="3454"/>
      <c r="G12" s="3454"/>
      <c r="H12" s="3454"/>
      <c r="I12" s="3454"/>
      <c r="J12" s="3454"/>
    </row>
    <row r="13" spans="1:10">
      <c r="A13" s="3454"/>
      <c r="B13" s="3454"/>
      <c r="C13" s="3454"/>
      <c r="D13" s="3454"/>
      <c r="E13" s="3454"/>
      <c r="F13" s="3454"/>
      <c r="G13" s="3454"/>
      <c r="H13" s="3454"/>
      <c r="I13" s="3454"/>
      <c r="J13" s="3454"/>
    </row>
    <row r="14" spans="1:10">
      <c r="A14" s="3454"/>
      <c r="B14" s="3454"/>
      <c r="C14" s="3454"/>
      <c r="D14" s="3454"/>
      <c r="E14" s="3454"/>
      <c r="F14" s="3454"/>
      <c r="G14" s="3454"/>
      <c r="H14" s="3454"/>
      <c r="I14" s="3454"/>
      <c r="J14" s="3454"/>
    </row>
    <row r="15" spans="1:10">
      <c r="A15" s="3454"/>
      <c r="B15" s="3454"/>
      <c r="C15" s="3454"/>
      <c r="D15" s="3454"/>
      <c r="E15" s="3454"/>
      <c r="F15" s="3454"/>
      <c r="G15" s="3454"/>
      <c r="H15" s="3454"/>
      <c r="I15" s="3454"/>
      <c r="J15" s="3454"/>
    </row>
    <row r="16" spans="1:10">
      <c r="A16" s="3454"/>
      <c r="B16" s="3454"/>
      <c r="C16" s="3454"/>
      <c r="D16" s="3454"/>
      <c r="E16" s="3454"/>
      <c r="F16" s="3454"/>
      <c r="G16" s="3454"/>
      <c r="H16" s="3454"/>
      <c r="I16" s="3454"/>
      <c r="J16" s="3454"/>
    </row>
    <row r="17" spans="1:10">
      <c r="A17" s="3454"/>
      <c r="B17" s="3454"/>
      <c r="C17" s="3454"/>
      <c r="D17" s="3454"/>
      <c r="E17" s="3454"/>
      <c r="F17" s="3454"/>
      <c r="G17" s="3454"/>
      <c r="H17" s="3454"/>
      <c r="I17" s="3454"/>
      <c r="J17" s="3454"/>
    </row>
    <row r="18" spans="1:10">
      <c r="A18" s="3454"/>
      <c r="B18" s="3454"/>
      <c r="C18" s="3454"/>
      <c r="D18" s="3454"/>
      <c r="E18" s="3454"/>
      <c r="F18" s="3454"/>
      <c r="G18" s="3454"/>
      <c r="H18" s="3454"/>
      <c r="I18" s="3454"/>
      <c r="J18" s="3454"/>
    </row>
    <row r="19" spans="1:10">
      <c r="A19" s="3454"/>
      <c r="B19" s="3454"/>
      <c r="C19" s="3454"/>
      <c r="D19" s="3454"/>
      <c r="E19" s="3454"/>
      <c r="F19" s="3454"/>
      <c r="G19" s="3454"/>
      <c r="H19" s="3454"/>
      <c r="I19" s="3454"/>
      <c r="J19" s="3454"/>
    </row>
    <row r="20" spans="1:10">
      <c r="A20" s="3454"/>
      <c r="B20" s="3454"/>
      <c r="C20" s="3454"/>
      <c r="D20" s="3454"/>
      <c r="E20" s="3454"/>
      <c r="F20" s="3454"/>
      <c r="G20" s="3454"/>
      <c r="H20" s="3454"/>
      <c r="I20" s="3454"/>
      <c r="J20" s="3454"/>
    </row>
    <row r="21" spans="1:10">
      <c r="A21" s="3454"/>
      <c r="B21" s="3454"/>
      <c r="C21" s="3454"/>
      <c r="D21" s="3454"/>
      <c r="E21" s="3454"/>
      <c r="F21" s="3454"/>
      <c r="G21" s="3454"/>
      <c r="H21" s="3454"/>
      <c r="I21" s="3454"/>
      <c r="J21" s="3454"/>
    </row>
    <row r="22" spans="1:10">
      <c r="A22" s="3454"/>
      <c r="B22" s="3454"/>
      <c r="C22" s="3454"/>
      <c r="D22" s="3454"/>
      <c r="E22" s="3454"/>
      <c r="F22" s="3454"/>
      <c r="G22" s="3454"/>
      <c r="H22" s="3454"/>
      <c r="I22" s="3454"/>
      <c r="J22" s="3454"/>
    </row>
    <row r="23" spans="1:10">
      <c r="A23" s="3454"/>
      <c r="B23" s="3454"/>
      <c r="C23" s="3454"/>
      <c r="D23" s="3454"/>
      <c r="E23" s="3454"/>
      <c r="F23" s="3454"/>
      <c r="G23" s="3454"/>
      <c r="H23" s="3454"/>
      <c r="I23" s="3454"/>
      <c r="J23" s="3454"/>
    </row>
    <row r="24" spans="1:10">
      <c r="A24" s="3454"/>
      <c r="B24" s="3454"/>
      <c r="C24" s="3454"/>
      <c r="D24" s="3454"/>
      <c r="E24" s="3454"/>
      <c r="F24" s="3454"/>
      <c r="G24" s="3454"/>
      <c r="H24" s="3454"/>
      <c r="I24" s="3454"/>
      <c r="J24" s="3454"/>
    </row>
    <row r="25" spans="1:10">
      <c r="A25" s="3454"/>
      <c r="B25" s="3454"/>
      <c r="C25" s="3454"/>
      <c r="D25" s="3454"/>
      <c r="E25" s="3454"/>
      <c r="F25" s="3454"/>
      <c r="G25" s="3454"/>
      <c r="H25" s="3454"/>
      <c r="I25" s="3454"/>
      <c r="J25" s="3454"/>
    </row>
    <row r="26" spans="1:10">
      <c r="A26" s="3454"/>
      <c r="B26" s="3454"/>
      <c r="C26" s="3454"/>
      <c r="D26" s="3454"/>
      <c r="E26" s="3454"/>
      <c r="F26" s="3454"/>
      <c r="G26" s="3454"/>
      <c r="H26" s="3454"/>
      <c r="I26" s="3454"/>
      <c r="J26" s="3454"/>
    </row>
    <row r="27" spans="1:10">
      <c r="A27" s="3454"/>
      <c r="B27" s="3454"/>
      <c r="C27" s="3454"/>
      <c r="D27" s="3454"/>
      <c r="E27" s="3454"/>
      <c r="F27" s="3454"/>
      <c r="G27" s="3454"/>
      <c r="H27" s="3454"/>
      <c r="I27" s="3454"/>
      <c r="J27" s="3454"/>
    </row>
    <row r="28" spans="1:10">
      <c r="A28" s="3454"/>
      <c r="B28" s="3454"/>
      <c r="C28" s="3454"/>
      <c r="D28" s="3454"/>
      <c r="E28" s="3454"/>
      <c r="F28" s="3454"/>
      <c r="G28" s="3454"/>
      <c r="H28" s="3454"/>
      <c r="I28" s="3454"/>
      <c r="J28" s="3454"/>
    </row>
    <row r="29" spans="1:10">
      <c r="A29" s="3454"/>
      <c r="B29" s="3454"/>
      <c r="C29" s="3454"/>
      <c r="D29" s="3454"/>
      <c r="E29" s="3454"/>
      <c r="F29" s="3454"/>
      <c r="G29" s="3454"/>
      <c r="H29" s="3454"/>
      <c r="I29" s="3454"/>
      <c r="J29" s="3454"/>
    </row>
    <row r="30" spans="1:10">
      <c r="A30" s="3454"/>
      <c r="B30" s="3454"/>
      <c r="C30" s="3454"/>
      <c r="D30" s="3454"/>
      <c r="E30" s="3454"/>
      <c r="F30" s="3454"/>
      <c r="G30" s="3454"/>
      <c r="H30" s="3454"/>
      <c r="I30" s="3454"/>
      <c r="J30" s="3454"/>
    </row>
    <row r="31" spans="1:10">
      <c r="A31" s="3454"/>
      <c r="B31" s="3454"/>
      <c r="C31" s="3454"/>
      <c r="D31" s="3454"/>
      <c r="E31" s="3454"/>
      <c r="F31" s="3454"/>
      <c r="G31" s="3454"/>
      <c r="H31" s="3454"/>
      <c r="I31" s="3454"/>
      <c r="J31" s="3454"/>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5" customWidth="1"/>
    <col min="2" max="16384" width="14.5" style="3386"/>
  </cols>
  <sheetData>
    <row r="1" spans="1:7" s="3434" customFormat="1" ht="18.75">
      <c r="A1" s="3436" t="s">
        <v>134</v>
      </c>
    </row>
    <row r="3" spans="1:7">
      <c r="A3" s="3437" t="s">
        <v>135</v>
      </c>
      <c r="B3" s="3386" t="s">
        <v>136</v>
      </c>
      <c r="G3" s="3438"/>
    </row>
    <row r="4" spans="1:7">
      <c r="G4" s="3438"/>
    </row>
    <row r="5" spans="1:7">
      <c r="A5" s="3439" t="s">
        <v>137</v>
      </c>
      <c r="B5" s="3386" t="s">
        <v>138</v>
      </c>
      <c r="G5" s="3438"/>
    </row>
    <row r="6" spans="1:7">
      <c r="G6" s="3438"/>
    </row>
    <row r="7" spans="1:7">
      <c r="A7" s="3440" t="s">
        <v>139</v>
      </c>
      <c r="B7" s="3386" t="s">
        <v>140</v>
      </c>
      <c r="G7" s="3438"/>
    </row>
    <row r="8" spans="1:7">
      <c r="G8" s="3438"/>
    </row>
    <row r="9" spans="1:7">
      <c r="A9" s="3441" t="s">
        <v>141</v>
      </c>
      <c r="B9" s="3386" t="s">
        <v>142</v>
      </c>
    </row>
    <row r="11" spans="1:7">
      <c r="A11" s="3442" t="s">
        <v>143</v>
      </c>
      <c r="B11" s="3443" t="s">
        <v>144</v>
      </c>
    </row>
    <row r="13" spans="1:7">
      <c r="A13" s="3444" t="s">
        <v>145</v>
      </c>
    </row>
    <row r="15" spans="1:7" ht="13.5">
      <c r="A15" s="3612" t="s">
        <v>146</v>
      </c>
      <c r="B15" s="3617" t="s">
        <v>147</v>
      </c>
      <c r="C15" s="3611"/>
    </row>
    <row r="16" spans="1:7" ht="13.5">
      <c r="A16" s="3613"/>
      <c r="B16" s="3617" t="s">
        <v>148</v>
      </c>
      <c r="C16" s="3611"/>
    </row>
    <row r="17" spans="1:3" ht="13.5">
      <c r="A17" s="3613"/>
      <c r="B17" s="3616" t="s">
        <v>149</v>
      </c>
      <c r="C17" s="3445" t="s">
        <v>146</v>
      </c>
    </row>
    <row r="18" spans="1:3" ht="13.5">
      <c r="A18" s="3613"/>
      <c r="B18" s="3616"/>
      <c r="C18" s="3445" t="s">
        <v>150</v>
      </c>
    </row>
    <row r="19" spans="1:3" ht="13.5">
      <c r="A19" s="3613"/>
      <c r="B19" s="3616"/>
      <c r="C19" s="3445" t="s">
        <v>151</v>
      </c>
    </row>
    <row r="20" spans="1:3" ht="13.5">
      <c r="A20" s="3614"/>
      <c r="B20" s="3610" t="s">
        <v>152</v>
      </c>
      <c r="C20" s="3611"/>
    </row>
    <row r="21" spans="1:3" ht="13.5">
      <c r="A21" s="3446" t="s">
        <v>153</v>
      </c>
      <c r="B21" s="3447"/>
      <c r="C21" s="3448"/>
    </row>
    <row r="22" spans="1:3" ht="13.5">
      <c r="A22" s="3615" t="s">
        <v>154</v>
      </c>
      <c r="B22" s="3610" t="s">
        <v>155</v>
      </c>
      <c r="C22" s="3611"/>
    </row>
    <row r="23" spans="1:3" ht="13.5">
      <c r="A23" s="3615"/>
      <c r="B23" s="3610" t="s">
        <v>156</v>
      </c>
      <c r="C23" s="3611"/>
    </row>
    <row r="24" spans="1:3" ht="13.5">
      <c r="A24" s="3615"/>
      <c r="B24" s="3610" t="s">
        <v>157</v>
      </c>
      <c r="C24" s="3611"/>
    </row>
    <row r="25" spans="1:3" ht="13.5">
      <c r="A25" s="3615"/>
      <c r="B25" s="3616" t="s">
        <v>158</v>
      </c>
      <c r="C25" s="3445" t="s">
        <v>159</v>
      </c>
    </row>
    <row r="26" spans="1:3" ht="13.5">
      <c r="A26" s="3615"/>
      <c r="B26" s="3616"/>
      <c r="C26" s="3445" t="s">
        <v>160</v>
      </c>
    </row>
    <row r="27" spans="1:3" ht="13.5">
      <c r="A27" s="3615"/>
      <c r="B27" s="3616"/>
      <c r="C27" s="3445" t="s">
        <v>161</v>
      </c>
    </row>
    <row r="28" spans="1:3" ht="13.5">
      <c r="A28" s="3615"/>
      <c r="B28" s="3616"/>
      <c r="C28" s="3445" t="s">
        <v>162</v>
      </c>
    </row>
    <row r="29" spans="1:3" ht="13.5">
      <c r="A29" s="3615"/>
      <c r="B29" s="3616"/>
      <c r="C29" s="3445" t="s">
        <v>163</v>
      </c>
    </row>
    <row r="30" spans="1:3" ht="13.5">
      <c r="A30" s="3615"/>
      <c r="B30" s="3616"/>
      <c r="C30" s="3445" t="s">
        <v>164</v>
      </c>
    </row>
    <row r="31" spans="1:3" ht="13.5">
      <c r="A31" s="3615"/>
      <c r="B31" s="3616"/>
      <c r="C31" s="3445" t="s">
        <v>165</v>
      </c>
    </row>
    <row r="32" spans="1:3" ht="13.5">
      <c r="A32" s="3615"/>
      <c r="B32" s="3616"/>
      <c r="C32" s="3445" t="s">
        <v>166</v>
      </c>
    </row>
    <row r="33" spans="1:3" ht="13.5">
      <c r="A33" s="3615"/>
      <c r="B33" s="3616"/>
      <c r="C33" s="3445" t="s">
        <v>167</v>
      </c>
    </row>
    <row r="34" spans="1:3">
      <c r="A34" s="3449" t="s">
        <v>168</v>
      </c>
    </row>
    <row r="37" spans="1:3">
      <c r="A37" s="3449" t="s">
        <v>169</v>
      </c>
    </row>
    <row r="38" spans="1:3" ht="13.5">
      <c r="A38" s="3450" t="s">
        <v>170</v>
      </c>
    </row>
    <row r="39" spans="1:3" ht="13.5">
      <c r="A39" s="3450" t="s">
        <v>171</v>
      </c>
    </row>
    <row r="40" spans="1:3" ht="13.5">
      <c r="A40" s="3450" t="s">
        <v>172</v>
      </c>
    </row>
    <row r="41" spans="1:3" ht="13.5">
      <c r="A41" s="3451" t="s">
        <v>173</v>
      </c>
    </row>
    <row r="42" spans="1:3" ht="13.5">
      <c r="A42" s="34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05" customWidth="1"/>
    <col min="2" max="2" width="38.625" style="3405" customWidth="1"/>
    <col min="3" max="3" width="26" style="3405" customWidth="1"/>
    <col min="4" max="4" width="35" style="3405" hidden="1" customWidth="1"/>
    <col min="5" max="5" width="30.125" style="3405" customWidth="1"/>
    <col min="6" max="6" width="35.5" style="3405" customWidth="1"/>
    <col min="7" max="7" width="31" style="3405" customWidth="1"/>
    <col min="8" max="8" width="37.5" style="3405" hidden="1" customWidth="1"/>
    <col min="9" max="16384" width="22.625" style="3405"/>
  </cols>
  <sheetData>
    <row r="1" spans="1:8" ht="24" customHeight="1">
      <c r="A1" s="3406"/>
      <c r="B1" s="3406"/>
      <c r="C1" s="3406"/>
      <c r="D1" s="3406"/>
      <c r="E1" s="3406"/>
      <c r="F1" s="3406"/>
      <c r="G1" s="3406"/>
      <c r="H1" s="3406"/>
    </row>
    <row r="2" spans="1:8" ht="24" customHeight="1">
      <c r="A2" s="3407" t="s">
        <v>175</v>
      </c>
      <c r="B2" s="3408">
        <f ca="1">TODAY()</f>
        <v>45310</v>
      </c>
      <c r="C2" s="3409" t="s">
        <v>176</v>
      </c>
      <c r="D2" s="3409"/>
      <c r="E2" s="3409"/>
      <c r="F2" s="3406"/>
      <c r="G2" s="3406"/>
      <c r="H2" s="3406"/>
    </row>
    <row r="3" spans="1:8" ht="24" customHeight="1">
      <c r="A3" s="3410" t="s">
        <v>177</v>
      </c>
      <c r="B3" s="3411" t="s">
        <v>178</v>
      </c>
      <c r="C3" s="3411" t="s">
        <v>179</v>
      </c>
      <c r="D3" s="3412" t="s">
        <v>180</v>
      </c>
      <c r="E3" s="3413" t="s">
        <v>181</v>
      </c>
      <c r="F3" s="3414" t="s">
        <v>182</v>
      </c>
      <c r="G3" s="3411" t="s">
        <v>179</v>
      </c>
      <c r="H3" s="3412" t="s">
        <v>183</v>
      </c>
    </row>
    <row r="4" spans="1:8" ht="24" customHeight="1">
      <c r="A4" s="3414" t="s">
        <v>184</v>
      </c>
      <c r="B4" s="3414">
        <f ca="1">IF(C4&lt;B2,"已过期",1119970066)</f>
        <v>1119970066</v>
      </c>
      <c r="C4" s="3415">
        <v>45937</v>
      </c>
      <c r="D4" s="3416" t="str">
        <f ca="1">A4&amp;"（注册号："&amp;B4&amp;"）"</f>
        <v>梁津（注册号：1119970066）</v>
      </c>
      <c r="E4" s="3417" t="s">
        <v>184</v>
      </c>
      <c r="F4" s="3414">
        <f ca="1">IF(G4&lt;B2,"已过期",96010014)</f>
        <v>96010014</v>
      </c>
      <c r="G4" s="3418">
        <v>47118</v>
      </c>
      <c r="H4" s="3419" t="str">
        <f ca="1">E4&amp;"（注册号："&amp;F4&amp;"）"</f>
        <v>梁津（注册号：96010014）</v>
      </c>
    </row>
    <row r="5" spans="1:8" ht="24" customHeight="1">
      <c r="A5" s="3414" t="s">
        <v>185</v>
      </c>
      <c r="B5" s="3414">
        <f ca="1">IF(C5&lt;B2,"已过期",1119970111)</f>
        <v>1119970111</v>
      </c>
      <c r="C5" s="3415">
        <v>45937</v>
      </c>
      <c r="D5" s="3416" t="str">
        <f t="shared" ref="D5:D16" ca="1" si="0">A5&amp;"（注册号："&amp;B5&amp;"）"</f>
        <v>叶凌（注册号：1119970111）</v>
      </c>
      <c r="E5" s="3417" t="s">
        <v>185</v>
      </c>
      <c r="F5" s="3414">
        <f ca="1">IF(G5&lt;B2,"已过期",94010078)</f>
        <v>94010078</v>
      </c>
      <c r="G5" s="3418">
        <v>46387</v>
      </c>
      <c r="H5" s="3419" t="str">
        <f t="shared" ref="H5:H16" ca="1" si="1">E5&amp;"（注册号："&amp;F5&amp;"）"</f>
        <v>叶凌（注册号：94010078）</v>
      </c>
    </row>
    <row r="6" spans="1:8" ht="24" customHeight="1">
      <c r="A6" s="3414" t="s">
        <v>186</v>
      </c>
      <c r="B6" s="3414">
        <f ca="1">IF(C6&lt;B2,"已过期",1120050019)</f>
        <v>1120050019</v>
      </c>
      <c r="C6" s="3415">
        <v>45410</v>
      </c>
      <c r="D6" s="3416" t="str">
        <f t="shared" ca="1" si="0"/>
        <v>王鹏（注册号：1120050019）</v>
      </c>
      <c r="E6" s="3417" t="s">
        <v>186</v>
      </c>
      <c r="F6" s="3414">
        <f ca="1">IF(G6&lt;B2,"已过期",2002110030)</f>
        <v>2002110030</v>
      </c>
      <c r="G6" s="3418">
        <v>46387</v>
      </c>
      <c r="H6" s="3419" t="str">
        <f t="shared" ca="1" si="1"/>
        <v>王鹏（注册号：2002110030）</v>
      </c>
    </row>
    <row r="7" spans="1:8" ht="24" customHeight="1">
      <c r="A7" s="3414" t="s">
        <v>187</v>
      </c>
      <c r="B7" s="3414">
        <f ca="1">IF(C7&lt;B2,"已过期",1120000080)</f>
        <v>1120000080</v>
      </c>
      <c r="C7" s="3415">
        <v>45937</v>
      </c>
      <c r="D7" s="3416" t="str">
        <f t="shared" ca="1" si="0"/>
        <v>欧红伟（注册号：1120000080）</v>
      </c>
      <c r="E7" s="3417" t="s">
        <v>187</v>
      </c>
      <c r="F7" s="3414">
        <f ca="1">IF(G7&lt;B2,"已过期",2000110082)</f>
        <v>2000110082</v>
      </c>
      <c r="G7" s="3418">
        <v>46387</v>
      </c>
      <c r="H7" s="3419" t="str">
        <f t="shared" ca="1" si="1"/>
        <v>欧红伟（注册号：2000110082）</v>
      </c>
    </row>
    <row r="8" spans="1:8" ht="24" customHeight="1">
      <c r="A8" s="3414" t="s">
        <v>188</v>
      </c>
      <c r="B8" s="3414">
        <f ca="1">IF(C8&lt;B2,"已过期",1419970001)</f>
        <v>1419970001</v>
      </c>
      <c r="C8" s="3415">
        <v>45937</v>
      </c>
      <c r="D8" s="3416" t="str">
        <f t="shared" ca="1" si="0"/>
        <v>吴薇（注册号：1419970001）</v>
      </c>
      <c r="E8" s="3417" t="s">
        <v>188</v>
      </c>
      <c r="F8" s="3414">
        <f ca="1">IF(G8&lt;B2,"已过期",2002110125)</f>
        <v>2002110125</v>
      </c>
      <c r="G8" s="3418">
        <v>47118</v>
      </c>
      <c r="H8" s="3419" t="str">
        <f t="shared" ca="1" si="1"/>
        <v>吴薇（注册号：2002110125）</v>
      </c>
    </row>
    <row r="9" spans="1:8" ht="24" customHeight="1">
      <c r="A9" s="3414" t="s">
        <v>189</v>
      </c>
      <c r="B9" s="3414">
        <f ca="1">IF(C9&lt;B2,"已过期",1120060040)</f>
        <v>1120060040</v>
      </c>
      <c r="C9" s="3420">
        <v>45592</v>
      </c>
      <c r="D9" s="3416" t="str">
        <f t="shared" ca="1" si="0"/>
        <v>陈颖（注册号：1120060040）</v>
      </c>
      <c r="E9" s="3417" t="s">
        <v>189</v>
      </c>
      <c r="F9" s="3414">
        <f ca="1">IF(G9&lt;B2,"已过期",2004110096)</f>
        <v>2004110096</v>
      </c>
      <c r="G9" s="3418">
        <v>47118</v>
      </c>
      <c r="H9" s="3419" t="str">
        <f t="shared" ca="1" si="1"/>
        <v>陈颖（注册号：2004110096）</v>
      </c>
    </row>
    <row r="10" spans="1:8" ht="24" customHeight="1">
      <c r="A10" s="3414" t="s">
        <v>190</v>
      </c>
      <c r="B10" s="3414">
        <f ca="1">IF(C10&lt;B2,"已过期",1120100036)</f>
        <v>1120100036</v>
      </c>
      <c r="C10" s="3420">
        <v>45752</v>
      </c>
      <c r="D10" s="3416" t="str">
        <f t="shared" ca="1" si="0"/>
        <v>崔锴（注册号：1120100036）</v>
      </c>
      <c r="E10" s="3417" t="s">
        <v>190</v>
      </c>
      <c r="F10" s="3414">
        <f ca="1">IF(G10&lt;B2,"已过期",2010110070)</f>
        <v>2010110070</v>
      </c>
      <c r="G10" s="3418">
        <v>47907</v>
      </c>
      <c r="H10" s="3419" t="str">
        <f t="shared" ca="1" si="1"/>
        <v>崔锴（注册号：2010110070）</v>
      </c>
    </row>
    <row r="11" spans="1:8" ht="24" customHeight="1">
      <c r="A11" s="3414" t="s">
        <v>191</v>
      </c>
      <c r="B11" s="3414">
        <f ca="1">IF(C11&lt;B2,"已过期",1120070131)</f>
        <v>1120070131</v>
      </c>
      <c r="C11" s="3415">
        <v>45937</v>
      </c>
      <c r="D11" s="3416" t="str">
        <f t="shared" ca="1" si="0"/>
        <v>郑燚（注册号：1120070131）</v>
      </c>
      <c r="E11" s="3417" t="s">
        <v>191</v>
      </c>
      <c r="F11" s="3414">
        <f ca="1">IF(G11&lt;B2,"已过期",2014110011)</f>
        <v>2014110011</v>
      </c>
      <c r="G11" s="3418">
        <v>49302</v>
      </c>
      <c r="H11" s="3419" t="str">
        <f t="shared" ca="1" si="1"/>
        <v>郑燚（注册号：2014110011）</v>
      </c>
    </row>
    <row r="12" spans="1:8" ht="24" customHeight="1">
      <c r="A12" s="3414" t="s">
        <v>192</v>
      </c>
      <c r="B12" s="3414">
        <f ca="1">IF(C12&lt;B2,"已过期",1120040230)</f>
        <v>1120040230</v>
      </c>
      <c r="C12" s="3420">
        <v>45937</v>
      </c>
      <c r="D12" s="3416" t="str">
        <f t="shared" ca="1" si="0"/>
        <v>苏海（注册号：1120040230）</v>
      </c>
      <c r="E12" s="3417" t="s">
        <v>192</v>
      </c>
      <c r="F12" s="3414">
        <f ca="1">IF(G12&lt;B2,"已过期",98030020)</f>
        <v>98030020</v>
      </c>
      <c r="G12" s="3418">
        <v>47118</v>
      </c>
      <c r="H12" s="3419" t="str">
        <f t="shared" ca="1" si="1"/>
        <v>苏海（注册号：98030020）</v>
      </c>
    </row>
    <row r="13" spans="1:8" ht="24" customHeight="1">
      <c r="A13" s="3414" t="s">
        <v>193</v>
      </c>
      <c r="B13" s="3414">
        <f ca="1">IF(C13&lt;B2,"已过期",1120020033)</f>
        <v>1120020033</v>
      </c>
      <c r="C13" s="3415">
        <v>45375</v>
      </c>
      <c r="D13" s="3416" t="str">
        <f t="shared" ca="1" si="0"/>
        <v>刘敬东（注册号：1120020033）</v>
      </c>
      <c r="E13" s="3417" t="s">
        <v>193</v>
      </c>
      <c r="F13" s="3414">
        <f ca="1">IF(G13&lt;B2,"已过期",2000110137)</f>
        <v>2000110137</v>
      </c>
      <c r="G13" s="3418">
        <v>46387</v>
      </c>
      <c r="H13" s="3419" t="str">
        <f t="shared" ca="1" si="1"/>
        <v>刘敬东（注册号：2000110137）</v>
      </c>
    </row>
    <row r="14" spans="1:8" ht="24" customHeight="1">
      <c r="A14" s="3414" t="s">
        <v>194</v>
      </c>
      <c r="B14" s="3414" t="str">
        <f ca="1">IF(C14&lt;B2,"已过期",1119980106)</f>
        <v>已过期</v>
      </c>
      <c r="C14" s="3420">
        <v>44969</v>
      </c>
      <c r="D14" s="3416" t="str">
        <f t="shared" ca="1" si="0"/>
        <v>刘俊财（注册号：已过期）</v>
      </c>
      <c r="E14" s="3417" t="s">
        <v>194</v>
      </c>
      <c r="F14" s="3414">
        <f ca="1">IF(G14&lt;B2,"已过期",96010063)</f>
        <v>96010063</v>
      </c>
      <c r="G14" s="3418">
        <v>47483</v>
      </c>
      <c r="H14" s="3419" t="str">
        <f t="shared" ca="1" si="1"/>
        <v>刘俊财（注册号：96010063）</v>
      </c>
    </row>
    <row r="15" spans="1:8" ht="24" customHeight="1">
      <c r="A15" s="3414" t="s">
        <v>195</v>
      </c>
      <c r="B15" s="3414">
        <v>1120210056</v>
      </c>
      <c r="C15" s="3420">
        <v>45410</v>
      </c>
      <c r="D15" s="3416" t="str">
        <f t="shared" si="0"/>
        <v>宁小鳗（注册号：1120210056）</v>
      </c>
      <c r="E15" s="3417" t="s">
        <v>196</v>
      </c>
      <c r="F15" s="3414">
        <f ca="1">IF(G15&lt;B2,"已过期",2011110090)</f>
        <v>2011110090</v>
      </c>
      <c r="G15" s="3418">
        <v>48302</v>
      </c>
      <c r="H15" s="3419" t="str">
        <f t="shared" ca="1" si="1"/>
        <v>赵雯（注册号：2011110090）</v>
      </c>
    </row>
    <row r="16" spans="1:8" s="3403" customFormat="1" ht="24" customHeight="1">
      <c r="A16" s="3414"/>
      <c r="B16" s="3414"/>
      <c r="C16" s="3414"/>
      <c r="D16" s="3416" t="str">
        <f t="shared" si="0"/>
        <v>（注册号：）</v>
      </c>
      <c r="E16" s="3417"/>
      <c r="F16" s="3414"/>
      <c r="G16" s="3414"/>
      <c r="H16" s="3421" t="str">
        <f t="shared" si="1"/>
        <v>（注册号：）</v>
      </c>
    </row>
    <row r="17" spans="1:8" ht="24" customHeight="1">
      <c r="A17" s="3618" t="s">
        <v>197</v>
      </c>
      <c r="B17" s="3618"/>
      <c r="C17" s="3618"/>
      <c r="D17" s="3618"/>
      <c r="E17" s="3618"/>
      <c r="F17" s="3618"/>
      <c r="G17" s="3618"/>
      <c r="H17" s="3618"/>
    </row>
    <row r="18" spans="1:8" ht="24" customHeight="1">
      <c r="A18" s="3619" t="s">
        <v>198</v>
      </c>
      <c r="B18" s="3619"/>
      <c r="C18" s="3619"/>
      <c r="D18" s="3412"/>
      <c r="E18" s="3620" t="s">
        <v>199</v>
      </c>
      <c r="F18" s="3619"/>
      <c r="G18" s="3619"/>
    </row>
    <row r="19" spans="1:8" s="3404" customFormat="1" ht="24" customHeight="1">
      <c r="A19" s="3422" t="s">
        <v>200</v>
      </c>
      <c r="B19" s="3411" t="s">
        <v>201</v>
      </c>
      <c r="C19" s="3411" t="s">
        <v>179</v>
      </c>
      <c r="D19" s="3412"/>
      <c r="E19" s="3417" t="s">
        <v>200</v>
      </c>
      <c r="F19" s="3411" t="s">
        <v>201</v>
      </c>
      <c r="G19" s="3411" t="s">
        <v>179</v>
      </c>
    </row>
    <row r="20" spans="1:8" s="3404" customFormat="1" ht="24" customHeight="1">
      <c r="A20" s="3423" t="s">
        <v>202</v>
      </c>
      <c r="B20" s="3423" t="s">
        <v>203</v>
      </c>
      <c r="C20" s="3418">
        <v>45898</v>
      </c>
      <c r="D20" s="3424"/>
      <c r="E20" s="3425" t="s">
        <v>204</v>
      </c>
      <c r="F20" s="3426" t="s">
        <v>205</v>
      </c>
      <c r="G20" s="3427">
        <v>44926</v>
      </c>
    </row>
    <row r="21" spans="1:8" s="3404" customFormat="1" ht="24" customHeight="1">
      <c r="A21" s="3423"/>
      <c r="B21" s="3423"/>
      <c r="C21" s="3428"/>
      <c r="D21" s="3429"/>
      <c r="E21" s="3425"/>
      <c r="F21" s="3426"/>
      <c r="G21" s="3427"/>
    </row>
    <row r="22" spans="1:8" ht="24" customHeight="1">
      <c r="C22" s="3430"/>
      <c r="D22" s="3430"/>
      <c r="E22" s="3431"/>
      <c r="F22" s="3432"/>
      <c r="G22" s="3433"/>
    </row>
  </sheetData>
  <sheetProtection password="CEE9" sheet="1" objects="1" scenarios="1"/>
  <mergeCells count="3">
    <mergeCell ref="A17:H17"/>
    <mergeCell ref="A18:C18"/>
    <mergeCell ref="E18:G18"/>
  </mergeCells>
  <phoneticPr fontId="234"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rangeList sheetStid="48" master=""/>
  <rangeList sheetStid="51" master=""/>
  <rangeList sheetStid="53" master=""/>
  <rangeList sheetStid="52" master=""/>
  <rangeList sheetStid="62" master=""/>
  <rangeList sheetStid="64" master=""/>
  <rangeList sheetStid="41" master=""/>
  <rangeList sheetStid="49" master=""/>
  <rangeList sheetStid="10" master=""/>
  <rangeList sheetStid="78" master=""/>
  <rangeList sheetStid="4" master=""/>
  <rangeList sheetStid="80" master=""/>
  <rangeList sheetStid="83" master=""/>
  <rangeList sheetStid="82" master="">
    <arrUserId title="区域1_38_1_1" rangeCreator="" othersAccessPermission="edit"/>
    <arrUserId title="区域1_1_2" rangeCreator="" othersAccessPermission="edit"/>
    <arrUserId title="区域1_38_1" rangeCreator="" othersAccessPermission="edit"/>
    <arrUserId title="区域1_8_1" rangeCreator="" othersAccessPermission="edit"/>
    <arrUserId title="区域1_8_1_1" rangeCreator="" othersAccessPermission="edit"/>
  </rangeList>
  <rangeList sheetStid="3" master=""/>
  <rangeList sheetStid="6" master=""/>
  <rangeList sheetStid="1" master=""/>
  <rangeList sheetStid="20" master=""/>
  <rangeList sheetStid="74" master=""/>
  <rangeList sheetStid="9" master=""/>
  <rangeList sheetStid="68" master=""/>
  <rangeList sheetStid="69" master=""/>
  <rangeList sheetStid="12" master=""/>
  <rangeList sheetStid="84" master=""/>
  <rangeList sheetStid="15" master=""/>
  <rangeList sheetStid="67" master=""/>
  <rangeList sheetStid="77" master=""/>
  <rangeList sheetStid="70" master=""/>
  <rangeList sheetStid="21" master=""/>
  <rangeList sheetStid="33" master=""/>
  <rangeList sheetStid="34" master=""/>
  <rangeList sheetStid="37" master=""/>
  <rangeList sheetStid="35" master=""/>
  <rangeList sheetStid="36" master=""/>
  <rangeList sheetStid="39" master=""/>
  <rangeList sheetStid="40" master=""/>
  <rangeList sheetStid="31" master=""/>
  <rangeList sheetStid="76" master=""/>
  <rangeList sheetStid="85" master=""/>
  <rangeList sheetStid="43" master=""/>
  <rangeList sheetStid="45" master=""/>
  <rangeList sheetStid="46" master=""/>
  <rangeList sheetStid="11" master=""/>
  <rangeList sheetStid="44" master=""/>
  <rangeList sheetStid="65" master=""/>
  <rangeList sheetStid="75" master=""/>
  <rangeList sheetStid="79" master=""/>
  <rangeList sheetStid="71" master=""/>
  <rangeList sheetStid="73" master=""/>
  <rangeList sheetStid="81"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171</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抵押物清单</vt:lpstr>
      <vt:lpstr>兴盛国际不动产查询</vt:lpstr>
      <vt:lpstr>租赁台账</vt:lpstr>
      <vt:lpstr>数据-基础表</vt:lpstr>
      <vt:lpstr>数据-汇总表</vt:lpstr>
      <vt:lpstr>数据-取费表</vt:lpstr>
      <vt:lpstr>估价对象房地状况</vt:lpstr>
      <vt:lpstr>系统读取表</vt:lpstr>
      <vt:lpstr>结果表-车库</vt:lpstr>
      <vt:lpstr>成本法</vt:lpstr>
      <vt:lpstr>成本法 (元)</vt:lpstr>
      <vt:lpstr>假设开发法</vt:lpstr>
      <vt:lpstr>收益法-车库</vt:lpstr>
      <vt:lpstr>基准地价修正-工业</vt:lpstr>
      <vt:lpstr>结果表</vt:lpstr>
      <vt:lpstr>比较法-商业</vt:lpstr>
      <vt:lpstr>收益法-商业</vt:lpstr>
      <vt:lpstr>收益法(元)</vt:lpstr>
      <vt:lpstr>比较法-商业租金</vt:lpstr>
      <vt:lpstr>收益法-酒店模型</vt:lpstr>
      <vt:lpstr>基准地价修正-商业</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'基准地价修正-商业'!Print_Area</vt:lpstr>
      <vt:lpstr>假设开发法!Print_Area</vt:lpstr>
      <vt:lpstr>结果表!Print_Area</vt:lpstr>
      <vt:lpstr>'结果表-车库'!Print_Area</vt:lpstr>
      <vt:lpstr>'收益法（汇总）'!Print_Area</vt:lpstr>
      <vt:lpstr>'收益法(元)'!Print_Area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2024-01-19T07:22:00Z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83A5EF3F50074DCA914037478611409E_12</vt:lpwstr>
  </property>
  <property fmtid="{D5CDD505-2E9C-101B-9397-08002B2CF9AE}" pid="3" name="KSOProductBuildVer">
    <vt:lpwstr>2052-12.1.0.16250</vt:lpwstr>
  </property>
</Properties>
</file>