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6" i="63" l="1"/>
  <c r="G25" i="63"/>
  <c r="N5" i="67" l="1"/>
  <c r="P5" i="67"/>
  <c r="L5" i="67"/>
  <c r="Q5" i="67" s="1"/>
  <c r="K5" i="67"/>
  <c r="J5" i="67"/>
  <c r="O5" i="67" s="1"/>
  <c r="I5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E6" i="67"/>
  <c r="E5" i="67" s="1"/>
  <c r="B6" i="67"/>
  <c r="B5" i="67" s="1"/>
  <c r="F6" i="67"/>
  <c r="F5" i="67" s="1"/>
  <c r="D7" i="67"/>
  <c r="D6" i="67" l="1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B15" i="59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7" i="65"/>
  <c r="D8" i="65"/>
  <c r="H6" i="65"/>
  <c r="E5" i="65"/>
  <c r="G7" i="65"/>
  <c r="D4" i="65"/>
  <c r="H5" i="65"/>
  <c r="G8" i="65"/>
  <c r="H8" i="65"/>
  <c r="G6" i="65"/>
  <c r="E8" i="65"/>
  <c r="E7" i="65"/>
  <c r="G5" i="65"/>
  <c r="D7" i="65"/>
  <c r="E4" i="65"/>
  <c r="G4" i="65"/>
  <c r="D5" i="65"/>
  <c r="D6" i="65"/>
  <c r="E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3" i="65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AA14" i="39" l="1"/>
  <c r="S14" i="39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D5" i="43" l="1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6" i="43" l="1"/>
  <c r="E36" i="43" s="1"/>
  <c r="C34" i="43"/>
  <c r="C33" i="43"/>
  <c r="C35" i="43"/>
  <c r="E35" i="43" s="1"/>
  <c r="C37" i="43"/>
  <c r="E37" i="43" s="1"/>
  <c r="C39" i="43"/>
  <c r="E39" i="43" s="1"/>
  <c r="C38" i="43"/>
  <c r="E38" i="43" s="1"/>
  <c r="G34" i="43"/>
  <c r="I34" i="43" s="1"/>
  <c r="E33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E18" i="63" l="1"/>
  <c r="B3" i="63"/>
  <c r="F6" i="59" s="1"/>
  <c r="F5" i="59" s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<sst xmlns="http://schemas.openxmlformats.org/spreadsheetml/2006/main" count="3934" uniqueCount="1772">
  <si>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</si>
  <si>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</si>
  <si>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</si>
  <si>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</si>
  <si>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</si>
  <si>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</si>
  <si>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</si>
  <si>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</si>
  <si>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</si>
  <si>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</si>
  <si>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</si>
  <si>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</si>
  <si>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</si>
  <si>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</si>
  <si>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</si>
  <si>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</si>
  <si>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</si>
  <si>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</si>
  <si>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</si>
  <si>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</si>
  <si>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</si>
  <si>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</si>
  <si>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</si>
  <si>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</si>
  <si>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</si>
  <si>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</si>
  <si>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</si>
  <si>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</si>
  <si>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</si>
  <si>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</si>
  <si>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</si>
  <si>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</si>
  <si>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</si>
  <si>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</si>
  <si>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</si>
  <si>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</si>
  <si>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</si>
  <si>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</si>
  <si>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</si>
  <si>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</si>
  <si>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</si>
  <si>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</si>
  <si>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</si>
  <si>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</si>
  <si>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</si>
  <si>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</si>
  <si>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</si>
  <si>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</si>
  <si>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</si>
  <si>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</si>
  <si>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</si>
  <si>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</si>
  <si>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</si>
  <si>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</si>
  <si>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</si>
  <si>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</si>
  <si>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</si>
  <si>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</si>
  <si>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</si>
  <si>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</si>
  <si>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</si>
  <si>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</si>
  <si>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</si>
  <si>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</si>
  <si>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</si>
  <si>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</si>
  <si>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</si>
  <si>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</si>
  <si>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</si>
  <si>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</si>
  <si>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</si>
  <si>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</si>
  <si>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</si>
  <si>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</si>
  <si>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</si>
  <si>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</si>
  <si>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</si>
  <si>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</si>
  <si>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</si>
  <si>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</si>
  <si>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</si>
  <si>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</si>
  <si>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</si>
  <si>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</si>
  <si>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</si>
  <si>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</si>
  <si>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</si>
  <si>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</si>
  <si>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</si>
  <si>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</si>
  <si>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</si>
  <si>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</si>
  <si>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</si>
  <si>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</si>
  <si>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</si>
  <si>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</si>
  <si>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</si>
  <si>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</si>
  <si>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</si>
  <si>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</si>
  <si>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</si>
  <si>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</si>
  <si>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</si>
  <si>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</si>
  <si>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</si>
  <si>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</si>
  <si>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</si>
  <si>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</si>
  <si>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</si>
  <si>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</si>
  <si>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</si>
  <si>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</si>
  <si>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</si>
  <si>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</si>
  <si>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</si>
  <si>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</si>
  <si>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</si>
  <si>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</si>
  <si>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</si>
  <si>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</si>
  <si>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</si>
  <si>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</si>
  <si>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</si>
  <si>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</si>
  <si>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</si>
  <si>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</si>
  <si>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</si>
  <si>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</si>
  <si>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</si>
  <si>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</si>
  <si>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</si>
  <si>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</si>
  <si>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</si>
  <si>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</si>
  <si>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</si>
  <si>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</si>
  <si>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</si>
  <si>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</si>
  <si>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</si>
  <si>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</si>
  <si>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</si>
  <si>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</si>
  <si>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</si>
  <si>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</si>
  <si>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</si>
  <si>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</si>
  <si>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</si>
  <si>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</si>
  <si>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</si>
  <si>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</si>
  <si>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</si>
  <si>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</si>
  <si>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</si>
  <si>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</si>
  <si>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</si>
  <si>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</si>
  <si>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</si>
  <si>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</si>
  <si>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</si>
  <si>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</si>
  <si>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</si>
  <si>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</si>
  <si>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</si>
  <si>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</si>
  <si>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</si>
  <si>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</si>
  <si>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</si>
  <si>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</si>
  <si>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</si>
  <si>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</si>
  <si>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</si>
  <si>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</si>
  <si>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</si>
  <si>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</si>
  <si>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</si>
  <si>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</si>
  <si>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</si>
  <si>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</si>
  <si>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</si>
  <si>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</si>
  <si>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</si>
  <si>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</si>
  <si>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</si>
  <si>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</si>
  <si>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</si>
  <si>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</si>
  <si>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</si>
  <si>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</si>
  <si>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</si>
  <si>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</si>
  <si>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</si>
  <si>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</si>
  <si>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</si>
  <si>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</si>
  <si>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</si>
  <si>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</si>
  <si>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</si>
  <si>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</si>
  <si>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</si>
  <si>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</si>
  <si>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</si>
  <si>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</si>
  <si>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</si>
  <si>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</si>
  <si>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</si>
  <si>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</si>
  <si>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</si>
  <si>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</si>
  <si>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</si>
  <si>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</si>
  <si>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</si>
  <si>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</si>
  <si>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</si>
  <si>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</si>
  <si>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</si>
  <si>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</si>
  <si>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</si>
  <si>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</si>
  <si>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</si>
  <si>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</si>
  <si>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</si>
  <si>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</si>
  <si>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</si>
  <si>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</si>
  <si>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</si>
  <si>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</si>
  <si>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</si>
  <si>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</si>
  <si>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</si>
  <si>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</si>
  <si>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</si>
  <si>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</si>
  <si>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</si>
  <si>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</si>
  <si>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</si>
  <si>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</si>
  <si>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</si>
  <si>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</si>
  <si>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</si>
  <si>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</si>
  <si>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</si>
  <si>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</si>
  <si>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</si>
  <si>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</si>
  <si>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</si>
  <si>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</si>
  <si>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</si>
  <si>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</si>
  <si>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</si>
  <si>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</si>
  <si>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</si>
  <si>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</si>
  <si>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</si>
  <si>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</si>
  <si>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</si>
  <si>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</si>
  <si>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</si>
  <si>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</si>
  <si>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</si>
  <si>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</si>
  <si>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</si>
  <si>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</si>
  <si>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</si>
  <si>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</si>
  <si>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</si>
  <si>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</si>
  <si>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</si>
  <si>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</si>
  <si>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</si>
  <si>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</si>
  <si>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</si>
  <si>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</si>
  <si>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</si>
  <si>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</si>
  <si>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</si>
  <si>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</si>
  <si>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</si>
  <si>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</si>
  <si>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</si>
  <si>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</si>
  <si>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</si>
  <si>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</si>
  <si>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</si>
  <si>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</si>
  <si>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</si>
  <si>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</si>
  <si>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</si>
  <si>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</si>
  <si>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</si>
  <si>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</si>
  <si>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</si>
  <si>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</si>
  <si>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</si>
  <si>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</si>
  <si>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</si>
  <si>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</si>
  <si>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</si>
  <si>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</si>
  <si>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</si>
  <si>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</si>
  <si>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</si>
  <si>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</si>
  <si>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</si>
  <si>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</si>
  <si>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</si>
  <si>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</si>
  <si>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</si>
  <si>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</si>
  <si>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</si>
  <si>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</si>
  <si>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</si>
  <si>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</si>
  <si>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</si>
  <si>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</si>
  <si>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</si>
  <si>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</si>
  <si>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</si>
  <si>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</si>
  <si>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</si>
  <si>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</si>
  <si>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</si>
  <si>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</si>
  <si>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</si>
  <si>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</si>
  <si>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</si>
  <si>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</si>
  <si>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</si>
  <si>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</si>
  <si>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</si>
  <si>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</si>
  <si>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</si>
  <si>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</si>
  <si>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</si>
  <si>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</si>
  <si>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</si>
  <si>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</si>
  <si>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</si>
  <si>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</si>
  <si>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</si>
  <si>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</si>
  <si>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</si>
  <si>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</si>
  <si>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</si>
  <si>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</si>
  <si>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</si>
  <si>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</si>
  <si>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</si>
  <si>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</si>
  <si>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</si>
  <si>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</si>
  <si>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</si>
  <si>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</si>
  <si>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</si>
  <si>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</si>
  <si>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</si>
  <si>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</si>
  <si>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</si>
  <si>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</si>
  <si>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</si>
  <si>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</si>
  <si>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</si>
  <si>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</si>
  <si>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</si>
  <si>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</si>
  <si>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</si>
  <si>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</si>
  <si>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</si>
  <si>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</si>
  <si>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</si>
  <si>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</si>
  <si>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</si>
  <si>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</si>
  <si>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</si>
  <si>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</si>
  <si>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</si>
  <si>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</si>
  <si>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</si>
  <si>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</si>
  <si>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</si>
  <si>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</si>
  <si>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</si>
  <si>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</si>
  <si>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</si>
  <si>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</si>
  <si>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</si>
  <si>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</si>
  <si>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</si>
  <si>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</si>
  <si>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</si>
  <si>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</si>
  <si>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</si>
  <si>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</si>
  <si>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</si>
  <si>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</si>
  <si>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</si>
  <si>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</si>
  <si>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</si>
  <si>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</si>
  <si>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</si>
  <si>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</si>
  <si>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</si>
  <si>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</si>
  <si>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</si>
  <si>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</si>
  <si>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</si>
  <si>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</si>
  <si>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</si>
  <si>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</si>
  <si>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</si>
  <si>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</si>
  <si>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</si>
  <si>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</si>
  <si>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</si>
  <si>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</si>
  <si>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</si>
  <si>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</si>
  <si>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</si>
  <si>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</si>
  <si>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</si>
  <si>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</si>
  <si>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</si>
  <si>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</si>
  <si>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</si>
  <si>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</si>
  <si>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</si>
  <si>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</si>
  <si>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</si>
  <si>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</si>
  <si>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</si>
  <si>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</si>
  <si>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</si>
  <si>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</si>
  <si>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</si>
  <si>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</si>
  <si>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</si>
  <si>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</si>
  <si>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</si>
  <si>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</si>
  <si>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</si>
  <si>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</si>
  <si>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</si>
  <si>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</si>
  <si>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</si>
  <si>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</si>
  <si>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</si>
  <si>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</si>
  <si>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</si>
  <si>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</si>
  <si>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</si>
  <si>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</si>
  <si>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</si>
  <si>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</si>
  <si>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</si>
  <si>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</si>
  <si>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</si>
  <si>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</si>
  <si>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</si>
  <si>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</si>
  <si>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</si>
  <si>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</si>
  <si>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</si>
  <si>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</si>
  <si>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</si>
  <si>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</si>
  <si>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</si>
  <si>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</si>
  <si>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</si>
  <si>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</si>
  <si>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</si>
  <si>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</si>
  <si>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</si>
  <si>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</si>
  <si>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</si>
  <si>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</si>
  <si>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</si>
  <si>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</si>
  <si>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</si>
  <si>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</si>
  <si>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</si>
  <si>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</si>
  <si>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</si>
  <si>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</si>
  <si>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</si>
  <si>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</si>
  <si>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</si>
  <si>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</si>
  <si>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</si>
  <si>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</si>
  <si>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</si>
  <si>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</si>
  <si>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</si>
  <si>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</si>
  <si>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</si>
  <si>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</si>
  <si>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</si>
  <si>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</si>
  <si>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</si>
  <si>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</si>
  <si>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</si>
  <si>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</si>
  <si>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</si>
  <si>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</si>
  <si>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</si>
  <si>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</si>
  <si>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</si>
  <si>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</si>
  <si>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</si>
  <si>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</si>
  <si>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</si>
  <si>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</si>
  <si>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</si>
  <si>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</si>
  <si>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</si>
  <si>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</si>
  <si>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</si>
  <si>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</si>
  <si>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</si>
  <si>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</si>
  <si>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</si>
  <si>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</si>
  <si>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</si>
  <si>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</si>
  <si>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</si>
  <si>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</si>
  <si>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</si>
  <si>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</si>
  <si>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</si>
  <si>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</si>
  <si>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</si>
  <si>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</si>
  <si>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</si>
  <si>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</si>
  <si>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</si>
  <si>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</si>
  <si>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</si>
  <si>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</si>
  <si>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</si>
  <si>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</si>
  <si>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</si>
  <si>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</si>
  <si>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</si>
  <si>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</si>
  <si>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</si>
  <si>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</si>
  <si>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</si>
  <si>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</si>
  <si>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</si>
  <si>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</si>
  <si>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</si>
  <si>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</si>
  <si>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</si>
  <si>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</si>
  <si>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</si>
  <si>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</si>
  <si>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</si>
  <si>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</si>
  <si>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</si>
  <si>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</si>
  <si>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</si>
  <si>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</si>
  <si>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</si>
  <si>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</si>
  <si>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</si>
  <si>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</si>
  <si>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</si>
  <si>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</si>
  <si>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</si>
  <si>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</si>
  <si>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</si>
  <si>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</si>
  <si>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</si>
  <si>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</si>
  <si>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</si>
  <si>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</si>
  <si>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</si>
  <si>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</si>
  <si>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</si>
  <si>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</si>
  <si>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</si>
  <si>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</si>
  <si>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</si>
  <si>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</si>
  <si>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</si>
  <si>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</si>
  <si>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</si>
  <si>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</si>
  <si>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</si>
  <si>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</si>
  <si>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</si>
  <si>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</si>
  <si>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</si>
  <si>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</si>
  <si>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</si>
  <si>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</si>
  <si>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</si>
  <si>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</si>
  <si>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</si>
  <si>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</si>
  <si>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</si>
  <si>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</si>
  <si>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</si>
  <si>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</si>
  <si>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</si>
  <si>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</si>
  <si>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</si>
  <si>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</si>
  <si>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</si>
  <si>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</si>
  <si>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</si>
  <si>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</si>
  <si>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</si>
  <si>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</si>
  <si>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</si>
  <si>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</si>
  <si>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</si>
  <si>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</si>
  <si>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</si>
  <si>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</si>
  <si>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</si>
  <si>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</si>
  <si>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</si>
  <si>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</si>
  <si>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</si>
  <si>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</si>
  <si>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</si>
  <si>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</si>
  <si>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</si>
  <si>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</si>
  <si>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</si>
  <si>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</si>
  <si>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</si>
  <si>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</si>
  <si>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</si>
  <si>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</si>
  <si>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</si>
  <si>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</si>
  <si>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</si>
  <si>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</si>
  <si>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</si>
  <si>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</si>
  <si>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</si>
  <si>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</si>
  <si>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</si>
  <si>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</si>
  <si>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</si>
  <si>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</si>
  <si>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</si>
  <si>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</si>
  <si>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</si>
  <si>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</si>
  <si>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</si>
  <si>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</si>
  <si>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</si>
  <si>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</si>
  <si>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</si>
  <si>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</si>
  <si>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</si>
  <si>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</si>
  <si>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</si>
  <si>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</si>
  <si>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</si>
  <si>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</si>
  <si>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</si>
  <si>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</si>
  <si>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</si>
  <si>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</si>
  <si>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</si>
  <si>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</si>
  <si>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</si>
  <si>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</si>
  <si>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</si>
  <si>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</si>
  <si>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</si>
  <si>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</si>
  <si>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</si>
  <si>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</si>
  <si>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</si>
  <si>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</si>
  <si>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</si>
  <si>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</si>
  <si>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</si>
  <si>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</si>
  <si>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</si>
  <si>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</si>
  <si>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</si>
  <si>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</si>
  <si>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</si>
  <si>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</si>
  <si>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</si>
  <si>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</si>
  <si>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</si>
  <si>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</si>
  <si>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</si>
  <si>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</si>
  <si>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</si>
  <si>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</si>
  <si>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</si>
  <si>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</si>
  <si>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</si>
  <si>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</si>
  <si>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</si>
  <si>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</si>
  <si>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</si>
  <si>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</si>
  <si>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</si>
  <si>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</si>
  <si>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</si>
  <si>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</si>
  <si>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</si>
  <si>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</si>
  <si>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</si>
  <si>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</si>
  <si>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</si>
  <si>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</si>
  <si>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</si>
  <si>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</si>
  <si>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</si>
  <si>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</si>
  <si>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</si>
  <si>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</si>
  <si>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</si>
  <si>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</si>
  <si>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</si>
  <si>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</si>
  <si>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</si>
  <si>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</si>
  <si>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</si>
  <si>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</si>
  <si>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</si>
  <si>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</si>
  <si>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</si>
  <si>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</si>
  <si>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</si>
  <si>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</si>
  <si>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</si>
  <si>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</si>
  <si>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</si>
  <si>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</si>
  <si>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</si>
  <si>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</si>
  <si>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</si>
  <si>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</si>
  <si>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</si>
  <si>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</si>
  <si>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</si>
  <si>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</si>
  <si>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</si>
  <si>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</si>
  <si>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</si>
  <si>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</si>
  <si>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</si>
  <si>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</si>
  <si>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</si>
  <si>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</si>
  <si>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</si>
  <si>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</si>
  <si>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</si>
  <si>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</si>
  <si>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</si>
  <si>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</si>
  <si>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</si>
  <si>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</si>
  <si>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</si>
  <si>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</si>
  <si>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</si>
  <si>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</si>
  <si>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</si>
  <si>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</si>
  <si>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</si>
  <si>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</si>
  <si>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</si>
  <si>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</si>
  <si>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</si>
  <si>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</si>
  <si>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</si>
  <si>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</si>
  <si>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</si>
  <si>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</si>
  <si>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</si>
  <si>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</si>
  <si>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</si>
  <si>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</si>
  <si>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</si>
  <si>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</si>
  <si>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</si>
  <si>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</si>
  <si>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</si>
  <si>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</si>
  <si>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</si>
  <si>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</si>
  <si>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</si>
  <si>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</si>
  <si>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</si>
  <si>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</si>
  <si>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</si>
  <si>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</si>
  <si>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</si>
  <si>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</si>
  <si>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</si>
  <si>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</si>
  <si>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</si>
  <si>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</si>
  <si>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</si>
  <si>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</si>
  <si>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</si>
  <si>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</si>
  <si>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</si>
  <si>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</si>
  <si>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</si>
  <si>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</si>
  <si>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</si>
  <si>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</si>
  <si>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</si>
  <si>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</si>
  <si>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</si>
  <si>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</si>
  <si>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</si>
  <si>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</si>
  <si>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</si>
  <si>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</si>
  <si>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</si>
  <si>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</si>
  <si>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</si>
  <si>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</si>
  <si>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</si>
  <si>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</si>
  <si>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</si>
  <si>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</si>
  <si>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</si>
  <si>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</si>
  <si>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</si>
  <si>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</si>
  <si>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</si>
  <si>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</si>
  <si>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</si>
  <si>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</si>
  <si>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</si>
  <si>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</si>
  <si>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</si>
  <si>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</si>
  <si>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</si>
  <si>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</si>
  <si>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</si>
  <si>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</si>
  <si>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</si>
  <si>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</si>
  <si>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</si>
  <si>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</si>
  <si>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</si>
  <si>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</si>
  <si>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</si>
  <si>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</si>
  <si>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</si>
  <si>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</si>
  <si>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</si>
  <si>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</si>
  <si>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</si>
  <si>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</si>
  <si>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</si>
  <si>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</si>
  <si>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</si>
  <si>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</si>
  <si>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</si>
  <si>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</si>
  <si>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</si>
  <si>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</si>
  <si>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</si>
  <si>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</si>
  <si>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</si>
  <si>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</si>
  <si>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</si>
  <si>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</si>
  <si>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</si>
  <si>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</si>
  <si>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</si>
  <si>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</si>
  <si>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</si>
  <si>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</si>
  <si>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</si>
  <si>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</si>
  <si>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</si>
  <si>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</si>
  <si>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</si>
  <si>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</si>
  <si>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</si>
  <si>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</si>
  <si>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</si>
  <si>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</si>
  <si>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</si>
  <si>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</si>
  <si>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</si>
  <si>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</si>
  <si>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</si>
  <si>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</si>
  <si>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</si>
  <si>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</si>
  <si>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</si>
  <si>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</si>
  <si>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</si>
  <si>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</si>
  <si>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</si>
  <si>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</si>
  <si>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</si>
  <si>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</si>
  <si>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</si>
  <si>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</si>
  <si>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</si>
  <si>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</si>
  <si>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</si>
  <si>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</si>
  <si>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</si>
  <si>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</si>
  <si>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</si>
  <si>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</si>
  <si>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</si>
  <si>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</si>
  <si>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</si>
  <si>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</si>
  <si>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</si>
  <si>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</si>
  <si>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</si>
  <si>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</si>
  <si>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</si>
  <si>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</si>
  <si>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</si>
  <si>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</si>
  <si>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</si>
  <si>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</si>
  <si>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</si>
  <si>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</si>
  <si>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</si>
  <si>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</si>
  <si>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</si>
  <si>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</si>
  <si>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</si>
  <si>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</si>
  <si>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</si>
  <si>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</si>
  <si>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</si>
  <si>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</si>
  <si>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</si>
  <si>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</si>
  <si>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</si>
  <si>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</si>
  <si>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</si>
  <si>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</si>
  <si>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</si>
  <si>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</si>
  <si>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</si>
  <si>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</si>
  <si>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</si>
  <si>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</si>
  <si>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</si>
  <si>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</si>
  <si>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</si>
  <si>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</si>
  <si>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</si>
  <si>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</si>
  <si>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</si>
  <si>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</si>
  <si>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</si>
  <si>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</si>
  <si>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</si>
  <si>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</si>
  <si>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</si>
  <si>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</si>
  <si>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</si>
  <si>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</si>
  <si>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</si>
  <si>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</si>
  <si>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</si>
  <si>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</si>
  <si>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</si>
  <si>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</si>
  <si>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</si>
  <si>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</si>
  <si>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</si>
  <si>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</si>
  <si>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</si>
  <si>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</si>
  <si>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</si>
  <si>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</si>
  <si>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</si>
  <si>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</si>
  <si>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</si>
  <si>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</si>
  <si>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</si>
  <si>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</si>
  <si>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</si>
  <si>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</si>
  <si>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</si>
  <si>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</si>
  <si>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</si>
  <si>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</si>
  <si>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</si>
  <si>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</si>
  <si>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</si>
  <si>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</si>
  <si>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</si>
  <si>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</si>
  <si>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</si>
  <si>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</si>
  <si>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</si>
  <si>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</si>
  <si>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</si>
  <si>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</si>
  <si>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</si>
  <si>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</si>
  <si>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</si>
  <si>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</si>
  <si>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</si>
  <si>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</si>
  <si>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</si>
  <si>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</si>
  <si>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</si>
  <si>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</si>
  <si>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</si>
  <si>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</si>
  <si>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</si>
  <si>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</si>
  <si>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</si>
  <si>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</si>
  <si>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</si>
  <si>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</si>
  <si>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</si>
  <si>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</si>
  <si>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</si>
  <si>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</si>
  <si>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</si>
  <si>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</si>
  <si>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</si>
  <si>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</si>
  <si>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</si>
  <si>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</si>
  <si>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</si>
  <si>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</si>
  <si>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</si>
  <si>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</si>
  <si>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</si>
  <si>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</si>
  <si>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</si>
  <si>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</si>
  <si>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</si>
  <si>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</si>
  <si>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</si>
  <si>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</si>
  <si>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</si>
  <si>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</si>
  <si>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</si>
  <si>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</si>
  <si>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</si>
  <si>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</si>
  <si>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</si>
  <si>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</si>
  <si>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</si>
  <si>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</si>
  <si>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</si>
  <si>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</si>
  <si>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</si>
  <si>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</si>
  <si>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</si>
  <si>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</si>
  <si>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</si>
  <si>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</si>
  <si>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</si>
  <si>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</si>
  <si>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</si>
  <si>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</si>
  <si>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</si>
  <si>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</si>
  <si>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</si>
  <si>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</si>
  <si>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</si>
  <si>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</si>
  <si>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</si>
  <si>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</si>
  <si>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</si>
  <si>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</si>
  <si>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</si>
  <si>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</si>
  <si>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</si>
  <si>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</si>
  <si>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</si>
  <si>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</si>
  <si>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</si>
  <si>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</si>
  <si>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</si>
  <si>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</si>
  <si>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</si>
  <si>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</si>
  <si>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</si>
  <si>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</si>
  <si>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</si>
  <si>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</si>
  <si>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</si>
  <si>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</si>
  <si>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</si>
  <si>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</si>
  <si>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</si>
  <si>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</si>
  <si>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</si>
  <si>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</si>
  <si>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</si>
  <si>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</si>
  <si>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</si>
  <si>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</si>
  <si>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</si>
  <si>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</si>
  <si>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</si>
  <si>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</si>
  <si>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</si>
  <si>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</si>
  <si>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</si>
  <si>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</si>
  <si>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</si>
  <si>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</si>
  <si>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</si>
  <si>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</si>
  <si>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</si>
  <si>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</si>
  <si>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</si>
  <si>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</si>
  <si>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</si>
  <si>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</si>
  <si>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</si>
  <si>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</si>
  <si>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</si>
  <si>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</si>
  <si>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</si>
  <si>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</si>
  <si>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</si>
  <si>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</si>
  <si>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</si>
  <si>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</si>
  <si>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</si>
  <si>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</si>
  <si>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</si>
  <si>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</si>
  <si>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</si>
  <si>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</si>
  <si>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</si>
  <si>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</si>
  <si>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</si>
  <si>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</si>
  <si>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</si>
  <si>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</si>
  <si>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</si>
  <si>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</si>
  <si>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</si>
  <si>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</si>
  <si>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</si>
  <si>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</si>
  <si>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</si>
  <si>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</si>
  <si>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</si>
  <si>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</si>
  <si>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</si>
  <si>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</si>
  <si>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</si>
  <si>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</si>
  <si>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</si>
  <si>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</si>
  <si>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</si>
  <si>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</si>
  <si>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</si>
  <si>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</si>
  <si>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</si>
  <si>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</si>
  <si>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</si>
  <si>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</si>
  <si>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</si>
  <si>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</si>
  <si>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</si>
  <si>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</si>
  <si>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</si>
  <si>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</si>
  <si>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</si>
  <si>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</si>
  <si>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</si>
  <si>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</si>
  <si>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</si>
  <si>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</si>
  <si>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</si>
  <si>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</si>
  <si>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</si>
  <si>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</si>
  <si>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</si>
  <si>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</si>
  <si>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</si>
  <si>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</si>
  <si>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</si>
  <si>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</si>
  <si>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</si>
  <si>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</si>
  <si>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</si>
  <si>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</si>
  <si>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</si>
  <si>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</si>
  <si>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</si>
  <si>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</si>
  <si>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</si>
  <si>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</si>
  <si>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</si>
  <si>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</si>
  <si>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</si>
  <si>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</si>
  <si>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</si>
  <si>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</si>
  <si>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</si>
  <si>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</si>
  <si>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</si>
  <si>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</si>
  <si>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</si>
  <si>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</si>
  <si>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</si>
  <si>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</si>
  <si>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</si>
  <si>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</si>
  <si>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</si>
  <si>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</si>
  <si>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</si>
  <si>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</si>
  <si>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</si>
  <si>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</si>
  <si>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</si>
  <si>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</si>
  <si>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</si>
  <si>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</si>
  <si>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</si>
  <si>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</si>
  <si>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</si>
  <si>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</si>
  <si>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</si>
  <si>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</si>
  <si>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</si>
  <si>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</si>
  <si>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</si>
  <si>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</si>
  <si>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</si>
  <si>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</si>
  <si>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</si>
  <si>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</si>
  <si>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</si>
  <si>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</si>
  <si>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</si>
  <si>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</si>
  <si>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</si>
  <si>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</si>
  <si>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</si>
  <si>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</si>
  <si>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</si>
  <si>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</si>
  <si>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</si>
  <si>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</si>
  <si>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</si>
  <si>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</si>
  <si>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</si>
  <si>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</si>
  <si>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</si>
  <si>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</si>
  <si>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</si>
  <si>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</si>
  <si>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</si>
  <si>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</si>
  <si>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</si>
  <si>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</si>
  <si>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</si>
  <si>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</si>
  <si>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</si>
  <si>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</si>
  <si>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</si>
  <si>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</si>
  <si>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</si>
  <si>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</si>
  <si>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</si>
  <si>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</si>
  <si>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</si>
  <si>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</si>
  <si>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</si>
  <si>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</si>
  <si>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</si>
  <si>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</si>
  <si>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</si>
  <si>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</si>
  <si>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</si>
  <si>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</si>
  <si>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</si>
  <si>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</si>
  <si>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</si>
  <si>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</si>
  <si>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</si>
  <si>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</si>
  <si>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</si>
  <si>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</si>
  <si>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</si>
  <si>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</si>
  <si>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</si>
  <si>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</si>
  <si>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</si>
  <si>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</si>
  <si>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</si>
  <si>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</si>
  <si>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</si>
  <si>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</si>
  <si>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</si>
  <si>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</si>
  <si>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</si>
  <si>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</si>
  <si>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</si>
  <si>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</si>
  <si>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</si>
  <si>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</si>
  <si>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</si>
  <si>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</si>
  <si>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</si>
  <si>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</si>
  <si>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</si>
  <si>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</si>
  <si>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</si>
  <si>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</si>
  <si>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</si>
  <si>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</si>
  <si>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</si>
  <si>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</si>
  <si>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</si>
  <si>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</si>
  <si>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</si>
  <si>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</si>
  <si>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</si>
  <si>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</si>
  <si>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</si>
  <si>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</si>
  <si>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</si>
  <si>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</si>
  <si>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</si>
  <si>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</si>
  <si>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</si>
  <si>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</si>
  <si>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</si>
  <si>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</si>
  <si>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</si>
  <si>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</si>
  <si>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</si>
  <si>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</si>
  <si>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</si>
  <si>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</si>
  <si>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</si>
  <si>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</si>
  <si>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</si>
  <si>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</si>
  <si>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</si>
  <si>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</si>
  <si>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</si>
  <si>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</si>
  <si>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</si>
  <si>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</si>
  <si>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</si>
  <si>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</si>
  <si>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</si>
  <si>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</si>
  <si>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</si>
  <si>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</si>
  <si>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</si>
  <si>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</si>
  <si>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</si>
  <si>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</si>
  <si>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</si>
  <si>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</si>
  <si>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</si>
  <si>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</si>
  <si>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</si>
  <si>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</si>
  <si>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</si>
  <si>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</si>
  <si>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</si>
  <si>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</si>
  <si>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</si>
  <si>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</si>
  <si>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</si>
  <si>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</si>
  <si>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</si>
  <si>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</si>
  <si>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</si>
  <si>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</si>
  <si>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</si>
  <si>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</si>
  <si>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</si>
  <si>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</si>
  <si>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</si>
  <si>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</si>
  <si>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</si>
  <si>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</si>
  <si>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</si>
  <si>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</si>
  <si>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</si>
  <si>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</si>
  <si>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</si>
  <si>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</si>
  <si>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</si>
  <si>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</si>
  <si>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</si>
  <si>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</si>
  <si>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</si>
  <si>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</si>
  <si>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</si>
  <si>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</si>
  <si>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</si>
  <si>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</si>
  <si>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</si>
  <si>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</si>
  <si>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</si>
  <si>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</si>
  <si>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</si>
  <si>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</si>
  <si>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</si>
  <si>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</si>
  <si>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</si>
  <si>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</si>
  <si>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</si>
  <si>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</si>
  <si>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</si>
  <si>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</si>
  <si>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</si>
  <si>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</si>
  <si>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</si>
  <si>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</si>
  <si>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</si>
  <si>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</si>
  <si>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</si>
  <si>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</si>
  <si>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</si>
  <si>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</si>
  <si>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</si>
  <si>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</si>
  <si>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</si>
  <si>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</si>
  <si>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</si>
  <si>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</si>
  <si>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</si>
  <si>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</si>
  <si>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</si>
  <si>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</si>
  <si>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</si>
  <si>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</si>
  <si>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</si>
  <si>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</si>
  <si>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</si>
  <si>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</si>
  <si>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</si>
  <si>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</si>
  <si>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</si>
  <si>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</si>
  <si>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</si>
  <si>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</si>
  <si>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</si>
  <si>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</si>
  <si>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</si>
  <si>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</si>
  <si>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</si>
  <si>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</si>
  <si>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</si>
  <si>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</si>
  <si>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</si>
  <si>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</si>
  <si>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</si>
  <si>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</si>
  <si>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</si>
  <si>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</si>
  <si>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</si>
  <si>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</si>
  <si>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</si>
  <si>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</si>
  <si>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</si>
  <si>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</si>
  <si>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</si>
  <si>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</si>
  <si>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</si>
  <si>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</si>
  <si>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</si>
  <si>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</si>
  <si>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</si>
  <si>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</si>
  <si>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</si>
  <si>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</si>
  <si>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</si>
  <si>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</si>
  <si>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</si>
  <si>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</si>
  <si>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</si>
  <si>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</si>
  <si>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</si>
  <si>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</si>
  <si>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</si>
  <si>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</si>
  <si>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</si>
  <si>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</si>
  <si>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</si>
  <si>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</si>
  <si>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</si>
  <si>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</si>
  <si>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</si>
  <si>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</si>
  <si>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</si>
  <si>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</si>
  <si>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</si>
  <si>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</si>
  <si>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</si>
  <si>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</si>
  <si>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</si>
  <si>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</si>
  <si>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</si>
  <si>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</si>
  <si>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</si>
  <si>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</si>
  <si>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</si>
  <si>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</si>
  <si>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</si>
  <si>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</si>
  <si>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</si>
  <si>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</si>
  <si>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</si>
  <si>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</si>
  <si>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</si>
  <si>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</si>
  <si>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</si>
  <si>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</si>
  <si>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</si>
  <si>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</si>
  <si>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</si>
  <si>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</si>
  <si>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</si>
  <si>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</si>
  <si>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</si>
  <si>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</si>
  <si>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</si>
  <si>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</si>
  <si>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</si>
  <si>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</si>
  <si>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</si>
  <si>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</si>
  <si>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</si>
  <si>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</si>
  <si>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</si>
  <si>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</si>
  <si>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</si>
  <si>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</si>
  <si>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</si>
  <si>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</si>
  <si>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</si>
  <si>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</si>
  <si>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</si>
  <si>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</si>
  <si>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</si>
  <si>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</si>
  <si>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</si>
  <si>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</si>
  <si>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</si>
  <si>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</si>
  <si>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</si>
  <si>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</si>
  <si>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</si>
  <si>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</si>
  <si>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</si>
  <si>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</si>
  <si>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</si>
  <si>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</si>
  <si>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</si>
  <si>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</si>
  <si>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</si>
  <si>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</si>
  <si>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</si>
  <si>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</si>
  <si>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</si>
  <si>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</si>
  <si>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</si>
  <si>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</si>
  <si>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</si>
  <si>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</si>
  <si>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</si>
  <si>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</si>
  <si>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</si>
  <si>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</si>
  <si>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</si>
  <si>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</si>
  <si>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</si>
  <si>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</si>
  <si>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</si>
  <si>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</si>
  <si>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</si>
  <si>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</si>
  <si>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</si>
  <si>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</si>
  <si>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</si>
  <si>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</si>
  <si>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</si>
  <si>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</si>
  <si>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</si>
  <si>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</si>
  <si>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</si>
  <si>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</si>
  <si>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</si>
  <si>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</si>
  <si>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</si>
  <si>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</si>
  <si>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</si>
  <si>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</si>
  <si>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</si>
  <si>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</si>
  <si>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</si>
  <si>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</si>
  <si>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</si>
  <si>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</si>
  <si>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</si>
  <si>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</si>
  <si>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</si>
  <si>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</si>
  <si>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</si>
  <si>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</si>
  <si>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</si>
  <si>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</si>
  <si>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</si>
  <si>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</si>
  <si>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</si>
  <si>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</si>
  <si>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</si>
  <si>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</si>
  <si>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</si>
  <si>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</si>
  <si>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</si>
  <si>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</si>
  <si>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</si>
  <si>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</si>
  <si>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</si>
  <si>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</si>
  <si>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</si>
  <si>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</si>
  <si>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</si>
  <si>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</si>
  <si>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</si>
  <si>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</si>
  <si>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</si>
  <si>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</si>
  <si>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</si>
  <si>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</si>
  <si>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</si>
  <si>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</si>
  <si>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</si>
  <si>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</si>
  <si>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</si>
  <si>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</si>
  <si>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</si>
  <si>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</si>
  <si>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</si>
  <si>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</si>
  <si>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</si>
  <si>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</si>
  <si>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</si>
  <si>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</si>
  <si>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</si>
  <si>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</si>
  <si>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</si>
  <si>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</si>
  <si>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</si>
  <si>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</si>
  <si>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</si>
  <si>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</si>
  <si>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</si>
  <si>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</si>
  <si>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</si>
  <si>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</si>
  <si>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</si>
  <si>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</si>
  <si>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</si>
  <si>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</si>
  <si>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</si>
  <si>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</si>
  <si>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</si>
  <si>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</si>
  <si>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</si>
  <si>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</si>
  <si>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</si>
  <si>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</si>
  <si>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</si>
  <si>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</si>
  <si>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</si>
  <si>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</si>
  <si>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</si>
  <si>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</si>
  <si>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</si>
  <si>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</si>
  <si>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</si>
  <si>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</si>
  <si>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</si>
  <si>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</si>
  <si>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</si>
  <si>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</si>
  <si>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</si>
  <si>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</si>
  <si>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</si>
  <si>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</si>
  <si>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</si>
  <si>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</si>
  <si>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</si>
  <si>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</si>
  <si>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</si>
  <si>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</si>
  <si>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</si>
  <si>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</si>
  <si>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</si>
  <si>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</si>
  <si>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</si>
  <si>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</si>
  <si>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</si>
  <si>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</si>
  <si>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</si>
  <si>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</si>
  <si>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</si>
  <si>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</si>
  <si>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</si>
  <si>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</si>
  <si>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</si>
  <si>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</si>
  <si>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</si>
  <si>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</si>
  <si>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</si>
  <si>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</si>
  <si>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</si>
  <si>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</si>
  <si>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</si>
  <si>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</si>
  <si>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</si>
  <si>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</si>
  <si>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</si>
  <si>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</si>
  <si>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</si>
  <si>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</si>
  <si>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</si>
  <si>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</si>
  <si>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</si>
  <si>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</si>
  <si>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</si>
  <si>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</si>
  <si>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</si>
  <si>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</si>
  <si>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</si>
  <si>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</si>
  <si>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</si>
  <si>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</si>
  <si>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</si>
  <si>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</si>
  <si>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</si>
  <si>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</si>
  <si>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</si>
  <si>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</si>
  <si>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</si>
  <si>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</si>
  <si>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</si>
  <si>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</si>
  <si>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</si>
  <si>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</si>
  <si>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</si>
  <si>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</si>
  <si>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商业</t>
  </si>
  <si>
    <t>钢混</t>
  </si>
  <si>
    <t>地上</t>
  </si>
  <si>
    <t>批发零售用地</t>
  </si>
  <si>
    <t>较差</t>
  </si>
  <si>
    <t>较好</t>
  </si>
  <si>
    <t>七通一平</t>
  </si>
  <si>
    <t>扣出让金</t>
  </si>
  <si>
    <t>楼面熟地价</t>
    <phoneticPr fontId="108" type="noConversion"/>
  </si>
  <si>
    <t>1970-2900%</t>
    <phoneticPr fontId="10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</si>
</sst>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6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183" fontId="16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10" fillId="8" borderId="0" xfId="0" applyNumberFormat="1" applyFont="1" applyFill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5" t="s">
        <v>168</v>
      </c>
      <c r="B15" s="665" t="s">
        <v>253</v>
      </c>
    </row>
    <row r="16" spans="1:7" ht="13.5">
      <c r="A16" s="1726"/>
      <c r="B16" s="666" t="s">
        <v>169</v>
      </c>
    </row>
    <row r="17" spans="1:2" ht="13.5">
      <c r="A17" s="180" t="s">
        <v>170</v>
      </c>
      <c r="B17" s="667"/>
    </row>
    <row r="18" spans="1:2" ht="13.5">
      <c r="A18" s="1724" t="s">
        <v>171</v>
      </c>
      <c r="B18" s="665" t="s">
        <v>1402</v>
      </c>
    </row>
    <row r="19" spans="1:2" ht="13.5">
      <c r="A19" s="1724"/>
      <c r="B19" s="665" t="s">
        <v>1403</v>
      </c>
    </row>
    <row r="20" spans="1:2" ht="13.5">
      <c r="A20" s="1724"/>
      <c r="B20" s="665" t="s">
        <v>1404</v>
      </c>
    </row>
    <row r="21" spans="1:2" ht="13.5">
      <c r="A21" s="1724"/>
      <c r="B21" s="503" t="s">
        <v>172</v>
      </c>
    </row>
    <row r="22" spans="1:2" ht="13.5">
      <c r="A22" s="1724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4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4"/>
      <c r="B19" s="1774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4"/>
      <c r="B20" s="1774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4"/>
      <c r="B21" s="1774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4"/>
      <c r="B22" s="1774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4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4"/>
      <c r="B24" s="1774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4"/>
      <c r="B25" s="1774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4"/>
      <c r="B26" s="1774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4"/>
      <c r="B27" s="1774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4"/>
      <c r="B28" s="1774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4"/>
      <c r="B29" s="1774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4"/>
      <c r="B30" s="1774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4"/>
      <c r="B31" s="1774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4"/>
      <c r="B32" s="1774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4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4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4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4"/>
      <c r="B36" s="1774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4"/>
      <c r="B37" s="1774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4"/>
      <c r="B38" s="1774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4"/>
      <c r="B39" s="1774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4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4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4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4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4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4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4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4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4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4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4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4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4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4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4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4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4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4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4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4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4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4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4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4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4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4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4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4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4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4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4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4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4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4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4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4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4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4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4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4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4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4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4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4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4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4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4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4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4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4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0.98740000000000006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G28" sqref="G28"/>
    </sheetView>
  </sheetViews>
  <sheetFormatPr defaultRowHeight="12"/>
  <cols>
    <col min="1" max="1" width="13.3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6632.02</v>
      </c>
      <c r="I1" s="725" t="s">
        <v>1356</v>
      </c>
      <c r="J1" s="525">
        <f>主表!B6</f>
        <v>2524.38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商业</v>
      </c>
      <c r="F2" s="732" t="s">
        <v>689</v>
      </c>
      <c r="G2" s="734" t="str">
        <f>主表!B10</f>
        <v>六级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0</v>
      </c>
      <c r="C3" s="731" t="s">
        <v>917</v>
      </c>
      <c r="D3" s="732" t="s">
        <v>256</v>
      </c>
      <c r="E3" s="736" t="s">
        <v>1765</v>
      </c>
      <c r="F3" s="1499" t="s">
        <v>1229</v>
      </c>
      <c r="G3" s="238">
        <f>IF(F3="容积率",主表!B8,主表!B9)</f>
        <v>2.63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0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0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0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/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1.7787999999999999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40035</v>
      </c>
      <c r="I9" s="1643">
        <f>ROUND(SUMPRODUCT((地价!A17:A67=YEAR(H9)&amp;"-"&amp;ROUNDUP(MONTH(H9)/3,0))*(地价!B3:F3=E2)*(地价!B17:F67)),0)</f>
        <v>185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0.94010000000000005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34.770000000000003</v>
      </c>
      <c r="H10" s="1648">
        <f>IF(E2="住宅/居住",70,IF(E2="商业",40,50))</f>
        <v>40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0.88949999999999996</v>
      </c>
      <c r="D11" s="1531"/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0.88949999999999996</v>
      </c>
      <c r="E12" s="1522">
        <f>ROUNDDOWN(G3,1)</f>
        <v>2.6</v>
      </c>
      <c r="F12" s="1523">
        <f>IF(G3&lt;=10,SUMPRODUCT(('2002容积率修正'!A3:A102=E12)*('2002容积率修正'!B2:D2=E2)*('2002容积率修正'!B3:D102)),"——")</f>
        <v>0.89400000000000002</v>
      </c>
      <c r="G12" s="1521">
        <f>ROUNDUP(G3,1)</f>
        <v>2.7</v>
      </c>
      <c r="H12" s="637">
        <f>IF(G3&lt;=10,SUMPRODUCT(('2002容积率修正'!A3:A102=G12)*('2002容积率修正'!B2:D2=E2)*('2002容积率修正'!B3:D102)),"——")</f>
        <v>0.879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0.88949999999999996</v>
      </c>
      <c r="E13" s="1522">
        <f>ROUNDDOWN(G3,1)</f>
        <v>2.6</v>
      </c>
      <c r="F13" s="1523">
        <f>IF(G3&lt;=10,SUMPRODUCT(('2002容积率修正'!A3:A102=E13)*('2002容积率修正'!E2:G2=E2)*('2002容积率修正'!E3:G102)),"——")</f>
        <v>0.72599999999999998</v>
      </c>
      <c r="G13" s="1521">
        <f>ROUNDUP(G3,1)</f>
        <v>2.7</v>
      </c>
      <c r="H13" s="637">
        <f>IF(G3&lt;=10,SUMPRODUCT(('2002容积率修正'!A3:A102=G13)*('2002容积率修正'!E2:G2=E2)*('2002容积率修正'!E3:G102)),"——")</f>
        <v>0.71299999999999997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0.93520000000000003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6" t="s">
        <v>929</v>
      </c>
      <c r="F16" s="1527" t="s">
        <v>1768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784" t="s">
        <v>1353</v>
      </c>
      <c r="B18" s="779" t="s">
        <v>1340</v>
      </c>
      <c r="C18" s="645">
        <f>ROUND(C7*C9*C10*C11*C15*C16,0)</f>
        <v>0</v>
      </c>
      <c r="D18" s="646">
        <f>H1</f>
        <v>6632.02</v>
      </c>
      <c r="E18" s="647">
        <f>ROUND(C18*D18,0)</f>
        <v>0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785"/>
      <c r="B19" s="784" t="s">
        <v>1343</v>
      </c>
      <c r="C19" s="637">
        <f>ROUND(C7*C9*C10*C11*C15*C16*G3,0)</f>
        <v>0</v>
      </c>
      <c r="D19" s="646">
        <f>J1</f>
        <v>2524.38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786" t="s">
        <v>1354</v>
      </c>
      <c r="B20" s="766" t="s">
        <v>1341</v>
      </c>
      <c r="C20" s="651">
        <f>ROUND(IF(G3&gt;=I3,C8*C9*C10*C15,C8*C9*C10*C15*G3),0)</f>
        <v>0</v>
      </c>
      <c r="D20" s="652">
        <f>H1</f>
        <v>6632.02</v>
      </c>
      <c r="E20" s="653">
        <f>ROUND(C20*D20,0)</f>
        <v>0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786"/>
      <c r="B21" s="789" t="s">
        <v>1342</v>
      </c>
      <c r="C21" s="654">
        <f>ROUND(IF(G3&lt;I3,C8*C9*C10*C15,C8*C9*C10*C15*G3),0)</f>
        <v>0</v>
      </c>
      <c r="D21" s="655">
        <f>J1</f>
        <v>2524.38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0</v>
      </c>
      <c r="D22" s="794"/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31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272</v>
      </c>
      <c r="D25" s="791"/>
      <c r="E25" s="791" t="s">
        <v>1770</v>
      </c>
      <c r="F25" s="791" t="s">
        <v>1771</v>
      </c>
      <c r="G25" s="1723">
        <f>(1970+2900)/2</f>
        <v>2435</v>
      </c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1.9300000000000001E-2</v>
      </c>
      <c r="D26" s="791"/>
      <c r="E26" s="791"/>
      <c r="F26" s="791"/>
      <c r="G26" s="1723">
        <f>ROUND(G25*C9*C10*C11*C15,0)</f>
        <v>3387</v>
      </c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1.78E-2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1.78E-2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1.9900000000000001E-2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1.7899999999999999E-2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0.93520000000000003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 t="s">
        <v>1766</v>
      </c>
      <c r="D42" s="493">
        <f t="shared" ref="D42:D48" si="1">SUMIF($F$41:$J$41,C42,F42:J42)</f>
        <v>-0.03</v>
      </c>
      <c r="E42" s="253">
        <f>SUM(D42:D48)</f>
        <v>-6.480000000000001E-2</v>
      </c>
      <c r="F42" s="530">
        <f>SUMPRODUCT(('2002因素修正幅度'!$A$36:$A$42=A42)*('2002因素修正幅度'!$B$35:$K$35=$G$2)*('2002因素修正幅度'!$B$36:$K$42))</f>
        <v>5.3999999999999999E-2</v>
      </c>
      <c r="G42" s="530">
        <f>F42/2</f>
        <v>2.7E-2</v>
      </c>
      <c r="H42" s="531">
        <v>0</v>
      </c>
      <c r="I42" s="530">
        <f>J42/2</f>
        <v>-0.03</v>
      </c>
      <c r="J42" s="530">
        <f>SUMPRODUCT(('2002因素修正幅度'!$A$66:$A$72=A42)*('2002因素修正幅度'!$B$35:$K$35=$G$2)*('2002因素修正幅度'!$B$66:$K$72))</f>
        <v>-0.06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 t="s">
        <v>1766</v>
      </c>
      <c r="D43" s="493">
        <f t="shared" si="1"/>
        <v>-1.4999999999999999E-2</v>
      </c>
      <c r="E43" s="255"/>
      <c r="F43" s="530">
        <f>SUMPRODUCT(('2002因素修正幅度'!$A$36:$A$42=A43)*('2002因素修正幅度'!$B$35:$K$35=$G$2)*('2002因素修正幅度'!$B$36:$K$42))</f>
        <v>2.7E-2</v>
      </c>
      <c r="G43" s="530">
        <f t="shared" ref="G43:G48" si="2">F43/2</f>
        <v>1.35E-2</v>
      </c>
      <c r="H43" s="531">
        <v>0</v>
      </c>
      <c r="I43" s="530">
        <f t="shared" ref="I43:I48" si="3">J43/2</f>
        <v>-1.4999999999999999E-2</v>
      </c>
      <c r="J43" s="530">
        <f>SUMPRODUCT(('2002因素修正幅度'!$A$66:$A$72=A43)*('2002因素修正幅度'!$B$35:$K$35=$G$2)*('2002因素修正幅度'!$B$66:$K$72))</f>
        <v>-0.03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 t="s">
        <v>1766</v>
      </c>
      <c r="D44" s="493">
        <f t="shared" si="1"/>
        <v>-0.01</v>
      </c>
      <c r="E44" s="255"/>
      <c r="F44" s="530">
        <f>SUMPRODUCT(('2002因素修正幅度'!$A$36:$A$42=A44)*('2002因素修正幅度'!$B$35:$K$35=$G$2)*('2002因素修正幅度'!$B$36:$K$42))</f>
        <v>1.7999999999999999E-2</v>
      </c>
      <c r="G44" s="530">
        <f t="shared" si="2"/>
        <v>8.9999999999999993E-3</v>
      </c>
      <c r="H44" s="531">
        <v>0</v>
      </c>
      <c r="I44" s="530">
        <f t="shared" si="3"/>
        <v>-0.01</v>
      </c>
      <c r="J44" s="530">
        <f>SUMPRODUCT(('2002因素修正幅度'!$A$66:$A$72=A44)*('2002因素修正幅度'!$B$35:$K$35=$G$2)*('2002因素修正幅度'!$B$66:$K$72))</f>
        <v>-0.02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 t="s">
        <v>15</v>
      </c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3.5999999999999997E-2</v>
      </c>
      <c r="G45" s="530">
        <f t="shared" si="2"/>
        <v>1.7999999999999999E-2</v>
      </c>
      <c r="H45" s="531">
        <v>0</v>
      </c>
      <c r="I45" s="530">
        <f t="shared" si="3"/>
        <v>-0.02</v>
      </c>
      <c r="J45" s="530">
        <f>SUMPRODUCT(('2002因素修正幅度'!$A$66:$A$72=A45)*('2002因素修正幅度'!$B$35:$K$35=$G$2)*('2002因素修正幅度'!$B$66:$K$72))</f>
        <v>-0.04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 t="s">
        <v>1766</v>
      </c>
      <c r="D46" s="493">
        <f t="shared" si="1"/>
        <v>-0.01</v>
      </c>
      <c r="E46" s="255"/>
      <c r="F46" s="530">
        <f>SUMPRODUCT(('2002因素修正幅度'!$A$36:$A$42=A46)*('2002因素修正幅度'!$B$35:$K$35=$G$2)*('2002因素修正幅度'!$B$36:$K$42))</f>
        <v>1.7999999999999999E-2</v>
      </c>
      <c r="G46" s="530">
        <f t="shared" si="2"/>
        <v>8.9999999999999993E-3</v>
      </c>
      <c r="H46" s="531">
        <v>0</v>
      </c>
      <c r="I46" s="530">
        <f t="shared" si="3"/>
        <v>-0.01</v>
      </c>
      <c r="J46" s="530">
        <f>SUMPRODUCT(('2002因素修正幅度'!$A$66:$A$72=A46)*('2002因素修正幅度'!$B$35:$K$35=$G$2)*('2002因素修正幅度'!$B$66:$K$72))</f>
        <v>-0.02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 t="s">
        <v>1767</v>
      </c>
      <c r="D47" s="493">
        <f t="shared" si="1"/>
        <v>7.1999999999999998E-3</v>
      </c>
      <c r="E47" s="255"/>
      <c r="F47" s="530">
        <f>SUMPRODUCT(('2002因素修正幅度'!$A$36:$A$42=A47)*('2002因素修正幅度'!$B$35:$K$35=$G$2)*('2002因素修正幅度'!$B$36:$K$42))</f>
        <v>1.44E-2</v>
      </c>
      <c r="G47" s="530">
        <f t="shared" si="2"/>
        <v>7.1999999999999998E-3</v>
      </c>
      <c r="H47" s="531">
        <v>0</v>
      </c>
      <c r="I47" s="530">
        <f t="shared" si="3"/>
        <v>-8.0000000000000002E-3</v>
      </c>
      <c r="J47" s="530">
        <f>SUMPRODUCT(('2002因素修正幅度'!$A$66:$A$72=A47)*('2002因素修正幅度'!$B$35:$K$35=$G$2)*('2002因素修正幅度'!$B$66:$K$72))</f>
        <v>-1.6E-2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 t="s">
        <v>1766</v>
      </c>
      <c r="D48" s="493">
        <f t="shared" si="1"/>
        <v>-7.0000000000000001E-3</v>
      </c>
      <c r="E48" s="255"/>
      <c r="F48" s="530">
        <f>SUMPRODUCT(('2002因素修正幅度'!$A$36:$A$42=A48)*('2002因素修正幅度'!$B$35:$K$35=$G$2)*('2002因素修正幅度'!$B$36:$K$42))</f>
        <v>1.26E-2</v>
      </c>
      <c r="G48" s="530">
        <f t="shared" si="2"/>
        <v>6.3E-3</v>
      </c>
      <c r="H48" s="531">
        <v>0</v>
      </c>
      <c r="I48" s="530">
        <f t="shared" si="3"/>
        <v>-7.0000000000000001E-3</v>
      </c>
      <c r="J48" s="530">
        <f>SUMPRODUCT(('2002因素修正幅度'!$A$66:$A$72=A48)*('2002因素修正幅度'!$B$35:$K$35=$G$2)*('2002因素修正幅度'!$B$66:$K$72))</f>
        <v>-1.4E-2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/>
      <c r="D51" s="493">
        <f t="shared" ref="D51:D57" si="4">SUMIF($F$50:$J$50,C51,F51:J51)</f>
        <v>0</v>
      </c>
      <c r="E51" s="253">
        <f>SUM(D51:D57)</f>
        <v>0</v>
      </c>
      <c r="F51" s="530">
        <f>SUMPRODUCT(('2002因素修正幅度'!$A$43:$A$49=A51)*('2002因素修正幅度'!$B$35:$K$35=$G$2)*('2002因素修正幅度'!$B$43:$K$49))</f>
        <v>4.5999999999999999E-2</v>
      </c>
      <c r="G51" s="530">
        <f>F51/2</f>
        <v>2.3E-2</v>
      </c>
      <c r="H51" s="531">
        <v>0</v>
      </c>
      <c r="I51" s="530">
        <f>J51/2</f>
        <v>-2.4E-2</v>
      </c>
      <c r="J51" s="530">
        <f>SUMPRODUCT(('2002因素修正幅度'!$A$73:$A$79=A51)*('2002因素修正幅度'!$B$35:$K$35=$G$2)*('2002因素修正幅度'!$B$73:$K$79))</f>
        <v>-4.8000000000000001E-2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/>
      <c r="D52" s="493">
        <f t="shared" si="4"/>
        <v>0</v>
      </c>
      <c r="E52" s="255"/>
      <c r="F52" s="530">
        <f>SUMPRODUCT(('2002因素修正幅度'!$A$43:$A$49=A52)*('2002因素修正幅度'!$B$35:$K$35=$G$2)*('2002因素修正幅度'!$B$43:$K$49))</f>
        <v>5.7500000000000002E-2</v>
      </c>
      <c r="G52" s="530">
        <f t="shared" ref="G52:G57" si="5">F52/2</f>
        <v>2.8750000000000001E-2</v>
      </c>
      <c r="H52" s="531">
        <v>0</v>
      </c>
      <c r="I52" s="530">
        <f t="shared" ref="I52:I57" si="6">J52/2</f>
        <v>-0.03</v>
      </c>
      <c r="J52" s="530">
        <f>SUMPRODUCT(('2002因素修正幅度'!$A$73:$A$79=A52)*('2002因素修正幅度'!$B$35:$K$35=$G$2)*('2002因素修正幅度'!$B$73:$K$79))</f>
        <v>-0.06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/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2.3E-2</v>
      </c>
      <c r="G53" s="530">
        <f t="shared" si="5"/>
        <v>1.15E-2</v>
      </c>
      <c r="H53" s="531">
        <v>0</v>
      </c>
      <c r="I53" s="530">
        <f t="shared" si="6"/>
        <v>-1.2E-2</v>
      </c>
      <c r="J53" s="530">
        <f>SUMPRODUCT(('2002因素修正幅度'!$A$73:$A$79=A53)*('2002因素修正幅度'!$B$35:$K$35=$G$2)*('2002因素修正幅度'!$B$73:$K$79))</f>
        <v>-2.4E-2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/>
      <c r="D54" s="493">
        <f t="shared" si="4"/>
        <v>0</v>
      </c>
      <c r="E54" s="255"/>
      <c r="F54" s="530">
        <f>SUMPRODUCT(('2002因素修正幅度'!$A$43:$A$49=A54)*('2002因素修正幅度'!$B$35:$K$35=$G$2)*('2002因素修正幅度'!$B$43:$K$49))</f>
        <v>2.3E-2</v>
      </c>
      <c r="G54" s="530">
        <f t="shared" si="5"/>
        <v>1.15E-2</v>
      </c>
      <c r="H54" s="531">
        <v>0</v>
      </c>
      <c r="I54" s="530">
        <f t="shared" si="6"/>
        <v>-1.2E-2</v>
      </c>
      <c r="J54" s="530">
        <f>SUMPRODUCT(('2002因素修正幅度'!$A$73:$A$79=A54)*('2002因素修正幅度'!$B$35:$K$35=$G$2)*('2002因素修正幅度'!$B$73:$K$79))</f>
        <v>-2.4E-2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/>
      <c r="D55" s="493">
        <f t="shared" si="4"/>
        <v>0</v>
      </c>
      <c r="E55" s="255"/>
      <c r="F55" s="530">
        <f>SUMPRODUCT(('2002因素修正幅度'!$A$43:$A$49=A55)*('2002因素修正幅度'!$B$35:$K$35=$G$2)*('2002因素修正幅度'!$B$43:$K$49))</f>
        <v>3.4500000000000003E-2</v>
      </c>
      <c r="G55" s="530">
        <f t="shared" si="5"/>
        <v>1.7250000000000001E-2</v>
      </c>
      <c r="H55" s="531">
        <v>0</v>
      </c>
      <c r="I55" s="530">
        <f t="shared" si="6"/>
        <v>-1.7999999999999999E-2</v>
      </c>
      <c r="J55" s="530">
        <f>SUMPRODUCT(('2002因素修正幅度'!$A$73:$A$79=A55)*('2002因素修正幅度'!$B$35:$K$35=$G$2)*('2002因素修正幅度'!$B$73:$K$79))</f>
        <v>-3.5999999999999997E-2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/>
      <c r="D56" s="493">
        <f t="shared" si="4"/>
        <v>0</v>
      </c>
      <c r="E56" s="255"/>
      <c r="F56" s="530">
        <f>SUMPRODUCT(('2002因素修正幅度'!$A$43:$A$49=A56)*('2002因素修正幅度'!$B$35:$K$35=$G$2)*('2002因素修正幅度'!$B$43:$K$49))</f>
        <v>1.84E-2</v>
      </c>
      <c r="G56" s="530">
        <f t="shared" si="5"/>
        <v>9.1999999999999998E-3</v>
      </c>
      <c r="H56" s="531">
        <v>0</v>
      </c>
      <c r="I56" s="530">
        <f t="shared" si="6"/>
        <v>-9.5999999999999992E-3</v>
      </c>
      <c r="J56" s="530">
        <f>SUMPRODUCT(('2002因素修正幅度'!$A$73:$A$79=A56)*('2002因素修正幅度'!$B$35:$K$35=$G$2)*('2002因素修正幅度'!$B$73:$K$79))</f>
        <v>-1.9199999999999998E-2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/>
      <c r="D57" s="493">
        <f t="shared" si="4"/>
        <v>0</v>
      </c>
      <c r="E57" s="255"/>
      <c r="F57" s="530">
        <f>SUMPRODUCT(('2002因素修正幅度'!$A$43:$A$49=A57)*('2002因素修正幅度'!$B$35:$K$35=$G$2)*('2002因素修正幅度'!$B$43:$K$49))</f>
        <v>2.76E-2</v>
      </c>
      <c r="G57" s="530">
        <f t="shared" si="5"/>
        <v>1.38E-2</v>
      </c>
      <c r="H57" s="531">
        <v>0</v>
      </c>
      <c r="I57" s="530">
        <f t="shared" si="6"/>
        <v>-1.44E-2</v>
      </c>
      <c r="J57" s="530">
        <f>SUMPRODUCT(('2002因素修正幅度'!$A$73:$A$79=A57)*('2002因素修正幅度'!$B$35:$K$35=$G$2)*('2002因素修正幅度'!$B$73:$K$79))</f>
        <v>-2.8799999999999999E-2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-1.2999999999999999E-2</v>
      </c>
      <c r="J60" s="530">
        <f>SUMPRODUCT(('2002因素修正幅度'!$A$80:$A$87=A60)*('2002因素修正幅度'!$B$35:$K$35=$G$2)*('2002因素修正幅度'!$B$80:$K$87))</f>
        <v>-2.5999999999999999E-2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-2.5999999999999999E-2</v>
      </c>
      <c r="J61" s="530">
        <f>SUMPRODUCT(('2002因素修正幅度'!$A$80:$A$87=A61)*('2002因素修正幅度'!$B$35:$K$35=$G$2)*('2002因素修正幅度'!$B$80:$K$87))</f>
        <v>-5.1999999999999998E-2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-1.2999999999999999E-2</v>
      </c>
      <c r="J62" s="530">
        <f>SUMPRODUCT(('2002因素修正幅度'!$A$80:$A$87=A62)*('2002因素修正幅度'!$B$35:$K$35=$G$2)*('2002因素修正幅度'!$B$80:$K$87))</f>
        <v>-2.5999999999999999E-2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-1.2999999999999999E-2</v>
      </c>
      <c r="J63" s="530">
        <f>SUMPRODUCT(('2002因素修正幅度'!$A$80:$A$87=A63)*('2002因素修正幅度'!$B$35:$K$35=$G$2)*('2002因素修正幅度'!$B$80:$K$87))</f>
        <v>-2.5999999999999999E-2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-1.04E-2</v>
      </c>
      <c r="J64" s="530">
        <f>SUMPRODUCT(('2002因素修正幅度'!$A$80:$A$87=A64)*('2002因素修正幅度'!$B$35:$K$35=$G$2)*('2002因素修正幅度'!$B$80:$K$87))</f>
        <v>-2.0799999999999999E-2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-1.5599999999999999E-2</v>
      </c>
      <c r="J65" s="530">
        <f>SUMPRODUCT(('2002因素修正幅度'!$A$80:$A$87=A65)*('2002因素修正幅度'!$B$35:$K$35=$G$2)*('2002因素修正幅度'!$B$80:$K$87))</f>
        <v>-3.1199999999999999E-2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-2.5999999999999999E-2</v>
      </c>
      <c r="J66" s="530">
        <f>SUMPRODUCT(('2002因素修正幅度'!$A$80:$A$87=A66)*('2002因素修正幅度'!$B$35:$K$35=$G$2)*('2002因素修正幅度'!$B$80:$K$87))</f>
        <v>-5.1999999999999998E-2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24.7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-1.2999999999999999E-2</v>
      </c>
      <c r="J67" s="530">
        <f>SUMPRODUCT(('2002因素修正幅度'!$A$80:$A$87=A67)*('2002因素修正幅度'!$B$35:$K$35=$G$2)*('2002因素修正幅度'!$B$80:$K$87))</f>
        <v>-2.5999999999999999E-2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0.04</v>
      </c>
      <c r="G70" s="530">
        <f t="shared" ref="G70:G76" si="11">F70/2</f>
        <v>0.02</v>
      </c>
      <c r="H70" s="531">
        <v>0</v>
      </c>
      <c r="I70" s="530">
        <f t="shared" ref="I70:I76" si="12">J70/2</f>
        <v>-0.02</v>
      </c>
      <c r="J70" s="530">
        <f>SUMPRODUCT(('2002因素修正幅度'!$A$88:$A$94=A70)*('2002因素修正幅度'!$B$35:$K$35=$G$2)*('2002因素修正幅度'!$B$88:$K$94))</f>
        <v>-0.04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6.4000000000000001E-2</v>
      </c>
      <c r="G71" s="530">
        <f t="shared" si="11"/>
        <v>3.2000000000000001E-2</v>
      </c>
      <c r="H71" s="531">
        <v>0</v>
      </c>
      <c r="I71" s="530">
        <f t="shared" si="12"/>
        <v>-3.2000000000000001E-2</v>
      </c>
      <c r="J71" s="530">
        <f>SUMPRODUCT(('2002因素修正幅度'!$A$88:$A$94=A71)*('2002因素修正幅度'!$B$35:$K$35=$G$2)*('2002因素修正幅度'!$B$88:$K$94))</f>
        <v>-6.4000000000000001E-2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0.02</v>
      </c>
      <c r="G72" s="530">
        <f t="shared" si="11"/>
        <v>0.01</v>
      </c>
      <c r="H72" s="531">
        <v>0</v>
      </c>
      <c r="I72" s="530">
        <f t="shared" si="12"/>
        <v>-0.01</v>
      </c>
      <c r="J72" s="530">
        <f>SUMPRODUCT(('2002因素修正幅度'!$A$88:$A$94=A72)*('2002因素修正幅度'!$B$35:$K$35=$G$2)*('2002因素修正幅度'!$B$88:$K$94))</f>
        <v>-0.02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1.6E-2</v>
      </c>
      <c r="G73" s="530">
        <f t="shared" si="11"/>
        <v>8.0000000000000002E-3</v>
      </c>
      <c r="H73" s="531">
        <v>0</v>
      </c>
      <c r="I73" s="530">
        <f t="shared" si="12"/>
        <v>-8.0000000000000002E-3</v>
      </c>
      <c r="J73" s="530">
        <f>SUMPRODUCT(('2002因素修正幅度'!$A$88:$A$94=A73)*('2002因素修正幅度'!$B$35:$K$35=$G$2)*('2002因素修正幅度'!$B$88:$K$94))</f>
        <v>-1.6E-2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2.4E-2</v>
      </c>
      <c r="G74" s="530">
        <f t="shared" si="11"/>
        <v>1.2E-2</v>
      </c>
      <c r="H74" s="531">
        <v>0</v>
      </c>
      <c r="I74" s="530">
        <f t="shared" si="12"/>
        <v>-1.2E-2</v>
      </c>
      <c r="J74" s="530">
        <f>SUMPRODUCT(('2002因素修正幅度'!$A$88:$A$94=A74)*('2002因素修正幅度'!$B$35:$K$35=$G$2)*('2002因素修正幅度'!$B$88:$K$94))</f>
        <v>-2.4E-2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0.02</v>
      </c>
      <c r="G75" s="530">
        <f t="shared" si="11"/>
        <v>0.01</v>
      </c>
      <c r="H75" s="531">
        <v>0</v>
      </c>
      <c r="I75" s="530">
        <f t="shared" si="12"/>
        <v>-0.01</v>
      </c>
      <c r="J75" s="530">
        <f>SUMPRODUCT(('2002因素修正幅度'!$A$88:$A$94=A75)*('2002因素修正幅度'!$B$35:$K$35=$G$2)*('2002因素修正幅度'!$B$88:$K$94))</f>
        <v>-0.02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1.6E-2</v>
      </c>
      <c r="G76" s="530">
        <f t="shared" si="11"/>
        <v>8.0000000000000002E-3</v>
      </c>
      <c r="H76" s="531">
        <v>0</v>
      </c>
      <c r="I76" s="530">
        <f t="shared" si="12"/>
        <v>-8.0000000000000002E-3</v>
      </c>
      <c r="J76" s="530">
        <f>SUMPRODUCT(('2002因素修正幅度'!$A$88:$A$94=A76)*('2002因素修正幅度'!$B$35:$K$35=$G$2)*('2002因素修正幅度'!$B$88:$K$94))</f>
        <v>-1.6E-2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2.63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0.79390000000000005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0.79390000000000005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0.93389999999999995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0.96040000000000003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0.70120000000000005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商业</v>
      </c>
      <c r="L1" s="581" t="str">
        <f>'2002基准地价'!G2</f>
        <v>六级</v>
      </c>
      <c r="M1" s="582">
        <f>SUMPRODUCT((K3:K7=L1)*(L2:O2=K1)*(L3:O7))</f>
        <v>0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790" t="s">
        <v>1324</v>
      </c>
      <c r="B1" s="1787" t="s">
        <v>1325</v>
      </c>
      <c r="C1" s="1788"/>
      <c r="D1" s="1789"/>
      <c r="E1" s="1787" t="s">
        <v>1326</v>
      </c>
      <c r="F1" s="1788"/>
      <c r="G1" s="1789"/>
    </row>
    <row r="2" spans="1:7">
      <c r="A2" s="1791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795" t="s">
        <v>1439</v>
      </c>
      <c r="E2" s="179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>
        <f ca="1">IF(C1="求取熟地价",C27,ROUND((C15*B11+C18)*C22/B11,0))</f>
        <v>0</v>
      </c>
      <c r="C3" s="978" t="s">
        <v>917</v>
      </c>
      <c r="D3" s="1796"/>
      <c r="E3" s="180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796"/>
      <c r="E4" s="180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商业</v>
      </c>
      <c r="C5" s="721"/>
      <c r="D5" s="1797"/>
      <c r="E5" s="180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795" t="s">
        <v>1440</v>
      </c>
      <c r="E6" s="179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六类</v>
      </c>
      <c r="C7" s="721"/>
      <c r="D7" s="1796"/>
      <c r="E7" s="180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797"/>
      <c r="E8" s="180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6632.02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2524.38</v>
      </c>
      <c r="C10" s="721"/>
      <c r="D10" s="1795" t="s">
        <v>1418</v>
      </c>
      <c r="E10" s="179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>
        <f>IF(A11="容积率",主表!B8,主表!B9)</f>
        <v>2.63</v>
      </c>
      <c r="C11" s="721"/>
      <c r="D11" s="1798"/>
      <c r="E11" s="180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>
        <f>IF(B11&lt;1,1,SUMIF(B55:K55,ROUNDDOWN(B11,0),B56:K56)+(SUMIF(B55:K55,ROUNDUP(B11,0),B56:K56)-SUMIF(B55:K55,ROUNDDOWN(B11,0),B56:K56))*(B11-ROUNDDOWN(B11,0)))</f>
        <v>2.4329000000000001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0.9446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4.3650000000000008E-2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34.770000000000003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40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4" t="s">
        <v>1353</v>
      </c>
      <c r="B27" s="779" t="s">
        <v>1340</v>
      </c>
      <c r="C27" s="637">
        <f>ROUND(C28/B11,0)</f>
        <v>0</v>
      </c>
      <c r="D27" s="646">
        <f>B9</f>
        <v>6632.02</v>
      </c>
      <c r="E27" s="647">
        <f>ROUND(C27*D27,0)</f>
        <v>0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5"/>
      <c r="B28" s="784" t="s">
        <v>1343</v>
      </c>
      <c r="C28" s="637">
        <f>IF(主表!B4&lt;DATE(2002,12,10),ROUND(C14*C21*C22+C15*B11+C18,0),0)</f>
        <v>0</v>
      </c>
      <c r="D28" s="646">
        <f>B10</f>
        <v>2524.38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6" t="s">
        <v>1466</v>
      </c>
      <c r="B29" s="766" t="s">
        <v>1467</v>
      </c>
      <c r="C29" s="651">
        <f>ROUND(C30/B11,0)</f>
        <v>0</v>
      </c>
      <c r="D29" s="652">
        <f>B9</f>
        <v>6632.02</v>
      </c>
      <c r="E29" s="653">
        <f>ROUND(C29*D29,0)</f>
        <v>0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5"/>
      <c r="B30" s="981" t="s">
        <v>1468</v>
      </c>
      <c r="C30" s="642">
        <f>IF(主表!B4&lt;DATE(2002,12,10),ROUND(C14*C21*C22+C15*B11,0),0)</f>
        <v>0</v>
      </c>
      <c r="D30" s="694">
        <f>B10</f>
        <v>2524.38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2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3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3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3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3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4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3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3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3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4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29" t="s">
        <v>91</v>
      </c>
      <c r="D4" s="1830"/>
      <c r="E4" s="1831" t="s">
        <v>92</v>
      </c>
      <c r="F4" s="1832"/>
      <c r="G4" s="1829" t="s">
        <v>93</v>
      </c>
      <c r="H4" s="1830"/>
      <c r="I4" s="1829" t="s">
        <v>94</v>
      </c>
      <c r="J4" s="1830"/>
      <c r="K4" s="142" t="s">
        <v>95</v>
      </c>
      <c r="L4" s="451"/>
      <c r="M4" s="452"/>
      <c r="N4" s="452"/>
      <c r="O4" s="452"/>
      <c r="P4" s="1833" t="s">
        <v>96</v>
      </c>
      <c r="Q4" s="1834"/>
      <c r="R4" s="1816" t="s">
        <v>92</v>
      </c>
      <c r="S4" s="1817"/>
      <c r="T4" s="1816" t="s">
        <v>93</v>
      </c>
      <c r="U4" s="1817"/>
      <c r="V4" s="1813" t="s">
        <v>94</v>
      </c>
      <c r="W4" s="1813"/>
      <c r="X4" s="201"/>
      <c r="Y4" s="1816" t="s">
        <v>96</v>
      </c>
      <c r="Z4" s="1817"/>
      <c r="AA4" s="1826" t="s">
        <v>92</v>
      </c>
      <c r="AB4" s="1827" t="s">
        <v>93</v>
      </c>
      <c r="AC4" s="1826" t="s">
        <v>94</v>
      </c>
    </row>
    <row r="5" spans="1:30" ht="15">
      <c r="A5" s="41"/>
      <c r="B5" s="42"/>
      <c r="C5" s="1841" t="s">
        <v>230</v>
      </c>
      <c r="D5" s="1842"/>
      <c r="E5" s="1839" t="s">
        <v>231</v>
      </c>
      <c r="F5" s="1840"/>
      <c r="G5" s="1841" t="s">
        <v>234</v>
      </c>
      <c r="H5" s="1842"/>
      <c r="I5" s="1841" t="s">
        <v>232</v>
      </c>
      <c r="J5" s="1842"/>
      <c r="K5" s="142"/>
      <c r="L5" s="451"/>
      <c r="M5" s="452"/>
      <c r="N5" s="452"/>
      <c r="O5" s="452"/>
      <c r="P5" s="1835"/>
      <c r="Q5" s="1836"/>
      <c r="R5" s="1818"/>
      <c r="S5" s="1819"/>
      <c r="T5" s="1818"/>
      <c r="U5" s="1819"/>
      <c r="V5" s="1813"/>
      <c r="W5" s="1813"/>
      <c r="X5" s="201"/>
      <c r="Y5" s="1818"/>
      <c r="Z5" s="1819"/>
      <c r="AA5" s="1827"/>
      <c r="AB5" s="1827"/>
      <c r="AC5" s="1827"/>
    </row>
    <row r="6" spans="1:30" ht="15.75" thickBot="1">
      <c r="A6" s="43"/>
      <c r="B6" s="44"/>
      <c r="C6" s="1843" t="s">
        <v>233</v>
      </c>
      <c r="D6" s="1844"/>
      <c r="E6" s="1845" t="s">
        <v>233</v>
      </c>
      <c r="F6" s="1846"/>
      <c r="G6" s="1843" t="s">
        <v>233</v>
      </c>
      <c r="H6" s="1844"/>
      <c r="I6" s="1843" t="s">
        <v>233</v>
      </c>
      <c r="J6" s="1844"/>
      <c r="K6" s="142" t="s">
        <v>97</v>
      </c>
      <c r="L6" s="451"/>
      <c r="M6" s="452"/>
      <c r="N6" s="452"/>
      <c r="O6" s="452"/>
      <c r="P6" s="1837"/>
      <c r="Q6" s="1838"/>
      <c r="R6" s="1818"/>
      <c r="S6" s="1819"/>
      <c r="T6" s="1820"/>
      <c r="U6" s="1821"/>
      <c r="V6" s="1813"/>
      <c r="W6" s="1813"/>
      <c r="X6" s="201"/>
      <c r="Y6" s="1820"/>
      <c r="Z6" s="1821"/>
      <c r="AA6" s="1828"/>
      <c r="AB6" s="1828"/>
      <c r="AC6" s="1828"/>
    </row>
    <row r="7" spans="1:30" s="22" customFormat="1" ht="15.75" thickBot="1">
      <c r="A7" s="45" t="s">
        <v>98</v>
      </c>
      <c r="B7" s="46"/>
      <c r="C7" s="1384">
        <f>主表!B4</f>
        <v>40035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4" t="s">
        <v>99</v>
      </c>
      <c r="Q7" s="182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4" t="s">
        <v>99</v>
      </c>
      <c r="Z7" s="1815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4" t="s">
        <v>125</v>
      </c>
      <c r="Q8" s="1815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4" t="s">
        <v>125</v>
      </c>
      <c r="Z8" s="1815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6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5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06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>
        <f>IF(B11="容积率",主表!B8,主表!B9)</f>
        <v>2.63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6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六级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6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06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06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3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24"/>
      <c r="Q16" s="206"/>
      <c r="R16" s="207"/>
      <c r="S16" s="208"/>
      <c r="T16" s="207"/>
      <c r="U16" s="208"/>
      <c r="V16" s="207"/>
      <c r="W16" s="208"/>
      <c r="X16" s="201"/>
      <c r="Y16" s="1824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24"/>
      <c r="Q18" s="206"/>
      <c r="R18" s="207"/>
      <c r="S18" s="208"/>
      <c r="T18" s="207"/>
      <c r="U18" s="208"/>
      <c r="V18" s="207"/>
      <c r="W18" s="208"/>
      <c r="X18" s="201"/>
      <c r="Y18" s="1824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24"/>
      <c r="Q20" s="206"/>
      <c r="R20" s="207"/>
      <c r="S20" s="208"/>
      <c r="T20" s="207"/>
      <c r="U20" s="208"/>
      <c r="V20" s="207"/>
      <c r="W20" s="208"/>
      <c r="X20" s="201"/>
      <c r="Y20" s="1824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24"/>
      <c r="Q22" s="206"/>
      <c r="R22" s="207"/>
      <c r="S22" s="208"/>
      <c r="T22" s="207"/>
      <c r="U22" s="208"/>
      <c r="V22" s="207"/>
      <c r="W22" s="208"/>
      <c r="X22" s="201"/>
      <c r="Y22" s="182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24"/>
      <c r="Q24" s="235"/>
      <c r="R24" s="207"/>
      <c r="S24" s="208"/>
      <c r="T24" s="207"/>
      <c r="U24" s="208"/>
      <c r="V24" s="207"/>
      <c r="W24" s="208"/>
      <c r="X24" s="234"/>
      <c r="Y24" s="1824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24"/>
      <c r="Q26" s="206"/>
      <c r="R26" s="207"/>
      <c r="S26" s="208"/>
      <c r="T26" s="207"/>
      <c r="U26" s="208"/>
      <c r="V26" s="207"/>
      <c r="W26" s="208"/>
      <c r="X26" s="201"/>
      <c r="Y26" s="182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24"/>
      <c r="Q28" s="18"/>
      <c r="R28" s="202"/>
      <c r="S28" s="203"/>
      <c r="T28" s="202"/>
      <c r="U28" s="203"/>
      <c r="V28" s="202"/>
      <c r="W28" s="203"/>
      <c r="X28" s="204"/>
      <c r="Y28" s="1824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4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24"/>
      <c r="Q30" s="500"/>
      <c r="R30" s="202"/>
      <c r="S30" s="203"/>
      <c r="T30" s="202"/>
      <c r="U30" s="203"/>
      <c r="V30" s="202"/>
      <c r="W30" s="203"/>
      <c r="X30" s="204"/>
      <c r="Y30" s="182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24"/>
      <c r="Q33" s="206"/>
      <c r="R33" s="207"/>
      <c r="S33" s="208"/>
      <c r="T33" s="207"/>
      <c r="U33" s="208"/>
      <c r="V33" s="207"/>
      <c r="W33" s="208"/>
      <c r="X33" s="201"/>
      <c r="Y33" s="182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2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2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11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2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1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2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2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6" t="str">
        <f>A46</f>
        <v>成交单价</v>
      </c>
      <c r="Q46" s="1806"/>
      <c r="R46" s="1813">
        <f>E46</f>
        <v>0</v>
      </c>
      <c r="S46" s="1813"/>
      <c r="T46" s="1813">
        <f>G46</f>
        <v>0</v>
      </c>
      <c r="U46" s="1813"/>
      <c r="V46" s="1813">
        <f>I46</f>
        <v>0</v>
      </c>
      <c r="W46" s="1813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6" t="str">
        <f>A47</f>
        <v>比较价值（元/平方米）</v>
      </c>
      <c r="Q47" s="1806"/>
      <c r="R47" s="1807" t="e">
        <f>ROUND(PRODUCT(R46,AA7:AA45),0)</f>
        <v>#DIV/0!</v>
      </c>
      <c r="S47" s="1807"/>
      <c r="T47" s="1807" t="e">
        <f>ROUND(PRODUCT(T46,AB7:AB45),0)</f>
        <v>#DIV/0!</v>
      </c>
      <c r="U47" s="1807"/>
      <c r="V47" s="1807" t="e">
        <f>ROUND(PRODUCT(V46,AC7:AC45),0)</f>
        <v>#DIV/0!</v>
      </c>
      <c r="W47" s="1807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8" t="str">
        <f>A48</f>
        <v>估价对象比较价值（单价内涵，元/平方米）</v>
      </c>
      <c r="Q48" s="1809"/>
      <c r="R48" s="1810" t="e">
        <f>ROUND(AVERAGE(R47:V47),0)</f>
        <v>#DIV/0!</v>
      </c>
      <c r="S48" s="1810"/>
      <c r="T48" s="1810"/>
      <c r="U48" s="1810"/>
      <c r="V48" s="1810"/>
      <c r="W48" s="181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2009-8-1</v>
      </c>
      <c r="D56" s="1688">
        <f>EDATE(C56,-3)</f>
        <v>39934</v>
      </c>
      <c r="E56" s="1688">
        <f t="shared" ref="E56:O56" si="15">EDATE(D56,-3)</f>
        <v>39845</v>
      </c>
      <c r="F56" s="1688">
        <f t="shared" si="15"/>
        <v>39753</v>
      </c>
      <c r="G56" s="1688">
        <f t="shared" si="15"/>
        <v>39661</v>
      </c>
      <c r="H56" s="1688">
        <f t="shared" si="15"/>
        <v>39569</v>
      </c>
      <c r="I56" s="1688">
        <f t="shared" si="15"/>
        <v>39479</v>
      </c>
      <c r="J56" s="1688">
        <f t="shared" si="15"/>
        <v>39387</v>
      </c>
      <c r="K56" s="1688">
        <f t="shared" si="15"/>
        <v>39295</v>
      </c>
      <c r="L56" s="1688">
        <f t="shared" si="15"/>
        <v>39203</v>
      </c>
      <c r="M56" s="1688">
        <f t="shared" si="15"/>
        <v>39114</v>
      </c>
      <c r="N56" s="1688">
        <f t="shared" si="15"/>
        <v>39022</v>
      </c>
      <c r="O56" s="1688">
        <f t="shared" si="15"/>
        <v>38930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2009-3</v>
      </c>
      <c r="D58" s="1687" t="str">
        <f t="shared" ref="D58:O58" si="16">YEAR(D56)&amp;"-"&amp;ROUNDUP(MONTH(D56)/3,0)</f>
        <v>2009-2</v>
      </c>
      <c r="E58" s="1687" t="str">
        <f t="shared" si="16"/>
        <v>2009-1</v>
      </c>
      <c r="F58" s="1687" t="str">
        <f t="shared" si="16"/>
        <v>2008-4</v>
      </c>
      <c r="G58" s="1687" t="str">
        <f t="shared" si="16"/>
        <v>2008-3</v>
      </c>
      <c r="H58" s="1687" t="str">
        <f t="shared" si="16"/>
        <v>2008-2</v>
      </c>
      <c r="I58" s="1687" t="str">
        <f t="shared" si="16"/>
        <v>2008-1</v>
      </c>
      <c r="J58" s="1687" t="str">
        <f t="shared" si="16"/>
        <v>2007-4</v>
      </c>
      <c r="K58" s="1687" t="str">
        <f t="shared" si="16"/>
        <v>2007-3</v>
      </c>
      <c r="L58" s="1687" t="str">
        <f t="shared" si="16"/>
        <v>2007-2</v>
      </c>
      <c r="M58" s="1687" t="str">
        <f t="shared" si="16"/>
        <v>2007-1</v>
      </c>
      <c r="N58" s="1687" t="str">
        <f t="shared" si="16"/>
        <v>2006-4</v>
      </c>
      <c r="O58" s="1687" t="str">
        <f t="shared" si="16"/>
        <v>2006-3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40035</v>
      </c>
      <c r="D1" s="999" t="str">
        <f>主表!A23</f>
        <v>建设期</v>
      </c>
      <c r="E1" s="1039">
        <f>主表!B23</f>
        <v>2</v>
      </c>
      <c r="F1" s="999" t="s">
        <v>1522</v>
      </c>
      <c r="G1" s="1000">
        <f ca="1">INDIRECT("d"&amp;$K$1)/100</f>
        <v>5.4000000000000006E-2</v>
      </c>
      <c r="H1" s="999" t="s">
        <v>1523</v>
      </c>
      <c r="I1" s="1000">
        <f ca="1">SUMIF(F4:F8,E1,G4:G8)/100</f>
        <v>2.7900000000000001E-2</v>
      </c>
      <c r="J1" s="1169">
        <f>IF(C1&gt;C14,0,MATCH(C1,C$14:C$59,-1))+IF(SUMIF(C14:C59,C1,D14:D59)=0,14,13)</f>
        <v>27</v>
      </c>
      <c r="K1" s="1169">
        <f>MATCH(E1,C4:C8,1)+IF(SUMIF(C4:C8,E1,D4:D8)=0,3,2)</f>
        <v>6</v>
      </c>
      <c r="L1" s="1169">
        <f>IF(C1&gt;M14,0,MATCH(C1,M$14:M$52,-1))+IF(SUMIF(M14:M52,C1,N14:N52)=0,14,13)</f>
        <v>27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40035</v>
      </c>
      <c r="D2" s="1043" t="str">
        <f>主表!A24</f>
        <v>土地开发期</v>
      </c>
      <c r="E2" s="1039">
        <f>主表!B24</f>
        <v>0</v>
      </c>
      <c r="F2" s="999" t="s">
        <v>1522</v>
      </c>
      <c r="G2" s="1000">
        <f ca="1">INDIRECT("e"&amp;$K$2)/100</f>
        <v>0.03</v>
      </c>
      <c r="H2" s="999" t="s">
        <v>1523</v>
      </c>
      <c r="I2" s="1000">
        <f>SUMIF(F4:F8,E2,G4:G8)/100</f>
        <v>0</v>
      </c>
      <c r="J2" s="1169">
        <f>IF(C2&gt;C14,0,MATCH(C2,C$14:C$59,-1))+IF(SUMIF(C14:C59,C2,D14:D59)=0,14,13)</f>
        <v>27</v>
      </c>
      <c r="K2" s="1169">
        <f ca="1">MATCH(E2,C4:C8,1)+IF(SUMIF(C4:C8,E2,D4:D8)=0,3,2)</f>
        <v>3</v>
      </c>
      <c r="L2" s="1169">
        <f>IF(C2&gt;M14,0,MATCH(C2,M$14:M$52,-1))+IF(SUMIF(M14:M52,C2,N14:N52)=0,14,13)</f>
        <v>27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5.4000000000000006E-2</v>
      </c>
      <c r="H3" s="1050" t="s">
        <v>1523</v>
      </c>
      <c r="I3" s="1051">
        <f ca="1">SUMIF(F4:F8,E3,H4:H8)/100</f>
        <v>3.3300000000000003E-2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4.8600000000000003</v>
      </c>
      <c r="E4" s="1035">
        <f ca="1">INDIRECT("d"&amp;$J$2)</f>
        <v>4.8600000000000003</v>
      </c>
      <c r="F4" s="1036">
        <v>0.5</v>
      </c>
      <c r="G4" s="1037">
        <f ca="1">INDIRECT("p"&amp;$L$1)</f>
        <v>1.98</v>
      </c>
      <c r="H4" s="1037">
        <f ca="1">INDIRECT("p"&amp;$L$2)</f>
        <v>1.98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5.31</v>
      </c>
      <c r="E5" s="1007">
        <f ca="1">INDIRECT("e"&amp;$J$2)</f>
        <v>5.31</v>
      </c>
      <c r="F5" s="1006">
        <v>1</v>
      </c>
      <c r="G5" s="1038">
        <f ca="1">INDIRECT("q"&amp;$L$1)</f>
        <v>2.25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5.4</v>
      </c>
      <c r="E6" s="1007">
        <f ca="1">INDIRECT("f"&amp;$J$2)</f>
        <v>5.4</v>
      </c>
      <c r="F6" s="1006">
        <v>2</v>
      </c>
      <c r="G6" s="1038">
        <f ca="1">INDIRECT("r"&amp;$L$1)</f>
        <v>2.79</v>
      </c>
      <c r="H6" s="1038">
        <f ca="1">INDIRECT("r"&amp;$L$2)</f>
        <v>2.79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5.76</v>
      </c>
      <c r="E7" s="1007">
        <f ca="1">INDIRECT("g"&amp;$J$2)</f>
        <v>5.76</v>
      </c>
      <c r="F7" s="1006">
        <v>3</v>
      </c>
      <c r="G7" s="1038">
        <f ca="1">INDIRECT("s"&amp;$L$1)</f>
        <v>3.33</v>
      </c>
      <c r="H7" s="1038">
        <f ca="1">INDIRECT("s"&amp;$L$2)</f>
        <v>3.33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5.94</v>
      </c>
      <c r="E8" s="1007">
        <f ca="1">INDIRECT("h"&amp;$J$2)</f>
        <v>5.94</v>
      </c>
      <c r="F8" s="1006">
        <v>5</v>
      </c>
      <c r="G8" s="1038">
        <f ca="1">INDIRECT("t"&amp;$L$1)</f>
        <v>3.6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55" t="s">
        <v>1657</v>
      </c>
      <c r="H2" s="1855"/>
      <c r="I2" s="1855"/>
      <c r="J2" s="1855"/>
      <c r="K2" s="1855"/>
      <c r="L2" s="1855"/>
      <c r="N2" s="1850" t="s">
        <v>1658</v>
      </c>
      <c r="O2" s="1850"/>
      <c r="P2" s="1850"/>
      <c r="Q2" s="1850"/>
      <c r="R2" s="1690"/>
      <c r="S2" s="1850" t="s">
        <v>1659</v>
      </c>
      <c r="T2" s="1850"/>
      <c r="U2" s="1850"/>
      <c r="V2" s="1850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51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48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48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49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51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48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48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49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47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48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48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49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47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48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48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49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52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53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53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54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47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48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48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49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47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48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48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49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47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48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48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49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47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48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48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49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47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48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48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49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47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48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48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49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47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48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48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49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47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48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48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49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47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48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48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49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47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48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48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49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47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48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48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49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4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4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4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4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4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4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4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17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31</v>
      </c>
      <c r="N1" s="1449" t="s">
        <v>1649</v>
      </c>
      <c r="O1" s="1463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6632.02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2524.38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40035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>
        <f>ROUND(B5*10000/$B$2,0)</f>
        <v>0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>
        <f>ROUND(B6*10000/$B$2,0)</f>
        <v>0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>
        <f>ROUND(B7*10000/$B$2,0)</f>
        <v>0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>
        <f>ROUND(B8*10000/$B$2,0)</f>
        <v>0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0</v>
      </c>
      <c r="C11" s="1696">
        <f ca="1">结果表!B18</f>
        <v>0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6632.02</v>
      </c>
      <c r="C14" s="1703">
        <f>主表!B6</f>
        <v>2524.38</v>
      </c>
      <c r="D14" s="1703"/>
      <c r="E14" s="1703">
        <f>ROUND(D14*10000/B14,0)</f>
        <v>0</v>
      </c>
      <c r="F14" s="1703">
        <f>ROUND(D14*10000/C14,0)</f>
        <v>0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7" t="s">
        <v>1368</v>
      </c>
      <c r="B2" s="1727"/>
      <c r="C2" s="1727"/>
      <c r="D2" s="1727"/>
      <c r="E2" s="1727"/>
      <c r="F2" s="1727"/>
      <c r="G2" s="1727"/>
      <c r="H2" s="664"/>
      <c r="I2" s="227"/>
      <c r="X2" s="221"/>
      <c r="AG2" s="189"/>
    </row>
    <row r="3" spans="1:33" ht="13.5">
      <c r="A3" s="1728" t="s">
        <v>1369</v>
      </c>
      <c r="B3" s="1729"/>
      <c r="C3" s="1730"/>
      <c r="D3" s="1731" t="s">
        <v>1370</v>
      </c>
      <c r="E3" s="1729"/>
      <c r="F3" s="1729"/>
      <c r="G3" s="173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33" t="s">
        <v>1371</v>
      </c>
      <c r="E4" s="1734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35" t="s">
        <v>1375</v>
      </c>
      <c r="B5" s="1736">
        <f>主表!F5</f>
        <v>0</v>
      </c>
      <c r="C5" s="1737" t="s">
        <v>1376</v>
      </c>
      <c r="D5" s="1734" t="s">
        <v>1377</v>
      </c>
      <c r="E5" s="1738"/>
      <c r="F5" s="1335">
        <f>SUM(F6:F10)</f>
        <v>0</v>
      </c>
      <c r="G5" s="1336" t="s">
        <v>1654</v>
      </c>
      <c r="H5" s="664"/>
      <c r="I5" s="227"/>
      <c r="X5" s="221"/>
      <c r="AG5" s="189"/>
    </row>
    <row r="6" spans="1:33" ht="27">
      <c r="A6" s="1735"/>
      <c r="B6" s="1736"/>
      <c r="C6" s="1737"/>
      <c r="D6" s="1739" t="s">
        <v>1398</v>
      </c>
      <c r="E6" s="1335" t="s">
        <v>1378</v>
      </c>
      <c r="F6" s="1335">
        <f>主表!F14</f>
        <v>0</v>
      </c>
      <c r="G6" s="1336" t="s">
        <v>1379</v>
      </c>
      <c r="H6" s="664"/>
      <c r="I6" s="227"/>
      <c r="X6" s="221"/>
      <c r="AG6" s="189"/>
    </row>
    <row r="7" spans="1:33" ht="13.5">
      <c r="A7" s="1735"/>
      <c r="B7" s="1736"/>
      <c r="C7" s="1737"/>
      <c r="D7" s="1739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35"/>
      <c r="B8" s="1736"/>
      <c r="C8" s="1737"/>
      <c r="D8" s="1740" t="s">
        <v>1399</v>
      </c>
      <c r="E8" s="1741"/>
      <c r="F8" s="1335">
        <f>主表!F16</f>
        <v>0</v>
      </c>
      <c r="G8" s="1336" t="str">
        <f>"按建安工程费的"&amp;TEXT(主表!G16,"0.0%")&amp;"计取"</f>
        <v>按建安工程费的0.0%计取</v>
      </c>
      <c r="H8" s="664"/>
      <c r="I8" s="227"/>
      <c r="X8" s="221"/>
      <c r="AG8" s="189"/>
    </row>
    <row r="9" spans="1:33" ht="13.5">
      <c r="A9" s="1735"/>
      <c r="B9" s="1736"/>
      <c r="C9" s="1737"/>
      <c r="D9" s="1740" t="s">
        <v>1400</v>
      </c>
      <c r="E9" s="1741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35"/>
      <c r="B10" s="1736"/>
      <c r="C10" s="1737"/>
      <c r="D10" s="1740" t="s">
        <v>1401</v>
      </c>
      <c r="E10" s="1741"/>
      <c r="F10" s="1335">
        <f>主表!F19</f>
        <v>0</v>
      </c>
      <c r="G10" s="1336" t="str">
        <f>"按建安工程费的"&amp;TEXT(主表!G19,"0.0%")&amp;"计取"</f>
        <v>按建安工程费的0.0%计取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0</v>
      </c>
      <c r="C11" s="1337" t="str">
        <f>"按前期开发成本的"&amp;TEXT(主表!G8,"0.0%")&amp;"计取"</f>
        <v>按前期开发成本的0.0%计取</v>
      </c>
      <c r="D11" s="1734" t="s">
        <v>1382</v>
      </c>
      <c r="E11" s="1738"/>
      <c r="F11" s="1335">
        <f>主表!F20</f>
        <v>0</v>
      </c>
      <c r="G11" s="1336" t="str">
        <f>"按房屋建设成本的"&amp;主表!G20&amp;"计取"</f>
        <v>按房屋建设成本的计取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0</v>
      </c>
      <c r="C12" s="1338" t="str">
        <f ca="1">"前期开发期为"&amp;主表!B24&amp;"年，贷款利率为"&amp;TEXT(主表!G9,"0.00%")&amp;"，"&amp;主表!H9</f>
        <v>前期开发期为0年，贷款利率为3.00%，计息期为0年，单利计息</v>
      </c>
      <c r="D12" s="1734" t="s">
        <v>1384</v>
      </c>
      <c r="E12" s="1738"/>
      <c r="F12" s="1335">
        <f ca="1">主表!F21</f>
        <v>0</v>
      </c>
      <c r="G12" s="1336" t="str">
        <f ca="1">"房屋建设期为"&amp;主表!B23&amp;"年，贷款利率为"&amp;TEXT(主表!G21,"0.00%")&amp;"，"&amp;主表!H21</f>
        <v>房屋建设期为2年，贷款利率为5.40%，计息期为2年，复利计息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0</v>
      </c>
      <c r="C13" s="1338" t="str">
        <f>"按前期开发成本及其管理费用的"&amp;TEXT(主表!G10,"0%")&amp;"计取"</f>
        <v>按前期开发成本及其管理费用的0%计取</v>
      </c>
      <c r="D13" s="1734" t="s">
        <v>1385</v>
      </c>
      <c r="E13" s="1738"/>
      <c r="F13" s="1335">
        <f>主表!F22</f>
        <v>0</v>
      </c>
      <c r="G13" s="1336" t="str">
        <f>"按房屋建设成本及其管理费用的"&amp;TEXT(主表!G22,"0%")&amp;"计取"</f>
        <v>按房屋建设成本及其管理费用的0%计取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0</v>
      </c>
      <c r="C14" s="1338" t="s">
        <v>1387</v>
      </c>
      <c r="D14" s="1734" t="s">
        <v>1386</v>
      </c>
      <c r="E14" s="1738"/>
      <c r="F14" s="1335">
        <f ca="1">F5+F11+F12+F13</f>
        <v>0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36">
        <f ca="1">主表!F24</f>
        <v>0</v>
      </c>
      <c r="C15" s="1742"/>
      <c r="D15" s="1740" t="s">
        <v>1389</v>
      </c>
      <c r="E15" s="1741"/>
      <c r="F15" s="1741"/>
      <c r="G15" s="1743"/>
      <c r="H15" s="664"/>
      <c r="I15" s="227"/>
      <c r="X15" s="221"/>
      <c r="AG15" s="189"/>
    </row>
    <row r="16" spans="1:33" ht="27.75" thickBot="1">
      <c r="A16" s="1331" t="s">
        <v>1390</v>
      </c>
      <c r="B16" s="1736">
        <f ca="1">主表!F25</f>
        <v>0</v>
      </c>
      <c r="C16" s="1742"/>
      <c r="D16" s="1740" t="s">
        <v>1391</v>
      </c>
      <c r="E16" s="1741"/>
      <c r="F16" s="1741"/>
      <c r="G16" s="1743"/>
      <c r="H16" s="1340" t="str">
        <f ca="1">NUMBERSTRING(INT(B16*10000),2)&amp;"元整"</f>
        <v>零元整</v>
      </c>
      <c r="I16" s="1341"/>
      <c r="X16" s="221"/>
      <c r="AG16" s="189"/>
    </row>
    <row r="17" spans="1:33" ht="13.5">
      <c r="A17" s="1331" t="s">
        <v>1392</v>
      </c>
      <c r="B17" s="1749">
        <f>主表!F33</f>
        <v>0</v>
      </c>
      <c r="C17" s="1742"/>
      <c r="D17" s="1740" t="s">
        <v>1393</v>
      </c>
      <c r="E17" s="1741"/>
      <c r="F17" s="1741"/>
      <c r="G17" s="1743"/>
      <c r="H17" s="664"/>
      <c r="I17" s="227"/>
      <c r="X17" s="221"/>
      <c r="AG17" s="189"/>
    </row>
    <row r="18" spans="1:33" ht="27.75" thickBot="1">
      <c r="A18" s="1331" t="s">
        <v>1394</v>
      </c>
      <c r="B18" s="1736">
        <f ca="1">主表!F35</f>
        <v>0</v>
      </c>
      <c r="C18" s="1742"/>
      <c r="D18" s="1740" t="s">
        <v>1395</v>
      </c>
      <c r="E18" s="1741"/>
      <c r="F18" s="1741"/>
      <c r="G18" s="174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0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零元整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H7" sqref="H7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55" t="s">
        <v>1288</v>
      </c>
      <c r="E2" s="1756"/>
      <c r="F2" s="1756"/>
      <c r="G2" s="1756"/>
      <c r="H2" s="1757"/>
      <c r="I2" s="1198"/>
      <c r="J2" s="1198"/>
      <c r="K2" s="1249"/>
      <c r="L2" s="1249"/>
      <c r="N2" s="515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7">
        <v>40035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2</v>
      </c>
    </row>
    <row r="4" spans="1:18" ht="15.75" customHeight="1">
      <c r="A4" s="1199" t="s">
        <v>1546</v>
      </c>
      <c r="B4" s="517">
        <v>40035</v>
      </c>
      <c r="C4" s="1197"/>
      <c r="D4" s="1205" t="s">
        <v>1289</v>
      </c>
      <c r="E4" s="1206" t="s">
        <v>1585</v>
      </c>
      <c r="F4" s="1207">
        <f ca="1">F5+F8+F9+F10</f>
        <v>0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6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0</v>
      </c>
      <c r="G5" s="1215"/>
      <c r="H5" s="1216" t="s">
        <v>1299</v>
      </c>
      <c r="I5" s="1210"/>
      <c r="J5" s="1193"/>
      <c r="K5" s="1249"/>
      <c r="L5" s="1249"/>
      <c r="N5" s="514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2524.38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0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4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6632.02</v>
      </c>
      <c r="C7" s="1197"/>
      <c r="D7" s="1218" t="s">
        <v>1282</v>
      </c>
      <c r="E7" s="1214" t="s">
        <v>1235</v>
      </c>
      <c r="F7" s="1052">
        <f>IF(B4&lt;DATE(2002,12,10),0,IF(B4&gt;=DATE(2014,8,28),'2014基准地价'!C30,IF(H7="采用比较法计算",比较法!B3,IF(H7="扣毛地价",'2002基准地价'!B4,'2002基准地价'!B5))))</f>
        <v>0</v>
      </c>
      <c r="G7" s="1223"/>
      <c r="H7" s="1385" t="s">
        <v>1769</v>
      </c>
      <c r="I7" s="1224" t="s">
        <v>1573</v>
      </c>
      <c r="J7" s="1193"/>
      <c r="K7" s="1249"/>
      <c r="L7" s="1249"/>
      <c r="N7" s="514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>
        <f>ROUND(B7/B6,2)</f>
        <v>2.63</v>
      </c>
      <c r="C8" s="1197"/>
      <c r="D8" s="1226">
        <v>2</v>
      </c>
      <c r="E8" s="1227" t="s">
        <v>1237</v>
      </c>
      <c r="F8" s="1228">
        <f>ROUND(F5*G8,0)</f>
        <v>0</v>
      </c>
      <c r="G8" s="663"/>
      <c r="H8" s="1229"/>
      <c r="I8" s="1210" t="s">
        <v>1298</v>
      </c>
      <c r="J8" s="1193"/>
      <c r="K8" s="1249"/>
      <c r="L8" s="1249"/>
      <c r="N8" s="514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/>
      <c r="C9" s="1197"/>
      <c r="D9" s="1226">
        <v>3</v>
      </c>
      <c r="E9" s="1227" t="s">
        <v>1238</v>
      </c>
      <c r="F9" s="1228">
        <f ca="1">ROUND(F5*(POWER((1+G9),B24)-1)+F8*(POWER((1+G9),B24/2)-1),0)</f>
        <v>0</v>
      </c>
      <c r="G9" s="1230">
        <f ca="1">存贷款利率!G2</f>
        <v>0.03</v>
      </c>
      <c r="H9" s="1231" t="str">
        <f>"计息期为"&amp;B24&amp;"年，"&amp;IF(B24&lt;=1,"单利计息","复利计息")</f>
        <v>计息期为0年，单利计息</v>
      </c>
      <c r="I9" s="1232"/>
      <c r="J9" s="1233"/>
      <c r="K9" s="1249"/>
      <c r="L9" s="1249"/>
      <c r="N9" s="514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34</v>
      </c>
      <c r="C10" s="1197"/>
      <c r="D10" s="1235">
        <v>4</v>
      </c>
      <c r="E10" s="1236" t="s">
        <v>1239</v>
      </c>
      <c r="F10" s="1237">
        <f>ROUND((F5+F8)*G10,0)</f>
        <v>0</v>
      </c>
      <c r="G10" s="520"/>
      <c r="H10" s="1238" t="s">
        <v>1241</v>
      </c>
      <c r="I10" s="1239" t="s">
        <v>1240</v>
      </c>
      <c r="J10" s="1240"/>
      <c r="K10" s="1249"/>
      <c r="L10" s="1249"/>
      <c r="N10" s="514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 t="s">
        <v>34</v>
      </c>
      <c r="C11" s="1197"/>
      <c r="D11" s="1241" t="s">
        <v>1295</v>
      </c>
      <c r="E11" s="1242" t="s">
        <v>1587</v>
      </c>
      <c r="F11" s="1207">
        <f ca="1">F12+F20+F21+F22</f>
        <v>0</v>
      </c>
      <c r="G11" s="1243"/>
      <c r="H11" s="1244" t="s">
        <v>1242</v>
      </c>
      <c r="I11" s="1210"/>
      <c r="J11" s="1193"/>
      <c r="K11" s="1249"/>
      <c r="L11" s="1249"/>
      <c r="N11" s="514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1762</v>
      </c>
      <c r="C12" s="1197"/>
      <c r="D12" s="1226">
        <v>1</v>
      </c>
      <c r="E12" s="1227" t="s">
        <v>1588</v>
      </c>
      <c r="F12" s="1228">
        <f>F13+F16+F17</f>
        <v>0</v>
      </c>
      <c r="G12" s="1245"/>
      <c r="H12" s="1246" t="s">
        <v>1300</v>
      </c>
      <c r="I12" s="1210"/>
      <c r="J12" s="1193"/>
      <c r="K12" s="1249"/>
      <c r="L12" s="1249"/>
      <c r="N12" s="514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40</v>
      </c>
      <c r="C13" s="1197"/>
      <c r="D13" s="1218" t="s">
        <v>1281</v>
      </c>
      <c r="E13" s="1227" t="s">
        <v>1243</v>
      </c>
      <c r="F13" s="1228">
        <f>F14+F15</f>
        <v>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1722">
        <v>52727</v>
      </c>
      <c r="C14" s="1197"/>
      <c r="D14" s="1226" t="s">
        <v>1284</v>
      </c>
      <c r="E14" s="1227" t="s">
        <v>1244</v>
      </c>
      <c r="F14" s="521"/>
      <c r="G14" s="1247"/>
      <c r="H14" s="1219"/>
      <c r="I14" s="1210"/>
      <c r="J14" s="1193"/>
      <c r="K14" s="1249"/>
      <c r="L14" s="1249"/>
    </row>
    <row r="15" spans="1:18" ht="15.75" customHeight="1">
      <c r="A15" s="508" t="s">
        <v>201</v>
      </c>
      <c r="B15" s="509">
        <f>IF(B14="",B13-(YEAR($B$4)-B22+B23),ROUNDDOWN(MIN((B14-$B$4)/365,B13),2))</f>
        <v>34.770000000000003</v>
      </c>
      <c r="C15" s="1197"/>
      <c r="D15" s="1226" t="s">
        <v>1285</v>
      </c>
      <c r="E15" s="1227" t="s">
        <v>1245</v>
      </c>
      <c r="F15" s="521"/>
      <c r="G15" s="1247"/>
      <c r="H15" s="1219"/>
      <c r="I15" s="1210"/>
      <c r="J15" s="1193"/>
      <c r="K15" s="1249"/>
      <c r="L15" s="1249"/>
    </row>
    <row r="16" spans="1:18" ht="15.75" customHeight="1">
      <c r="A16" s="508" t="s">
        <v>1651</v>
      </c>
      <c r="B16" s="1287"/>
      <c r="C16" s="1197"/>
      <c r="D16" s="1218" t="s">
        <v>1282</v>
      </c>
      <c r="E16" s="1227" t="s">
        <v>1246</v>
      </c>
      <c r="F16" s="1052">
        <f>ROUND(F13*G16,0)</f>
        <v>0</v>
      </c>
      <c r="G16" s="519"/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8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0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0">
        <f>IF(ISERROR(ROUND(POWER(1+B17,B13-B15)*(POWER(1+B17,B15)-1)/(POWER(1+B17,B13)-1),3)),0,ROUND(POWER(1+B17,B13-B15)*(POWER(1+B17,B15)-1)/(POWER(1+B17,B13)-1),3))</f>
        <v>0.94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19"/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0</v>
      </c>
      <c r="G19" s="519"/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4" t="s">
        <v>1158</v>
      </c>
      <c r="B20" s="511" t="s">
        <v>1763</v>
      </c>
      <c r="C20" s="1197"/>
      <c r="D20" s="1226">
        <v>2</v>
      </c>
      <c r="E20" s="1227" t="s">
        <v>1237</v>
      </c>
      <c r="F20" s="1228">
        <f>ROUND(F12*G20,0)</f>
        <v>0</v>
      </c>
      <c r="G20" s="663"/>
      <c r="H20" s="1219"/>
      <c r="I20" s="1232" t="s">
        <v>1253</v>
      </c>
      <c r="J20" s="1193"/>
      <c r="K20" s="1249"/>
      <c r="L20" s="1249"/>
    </row>
    <row r="21" spans="1:18" ht="15.75" customHeight="1">
      <c r="A21" s="514" t="s">
        <v>1159</v>
      </c>
      <c r="B21" s="512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0</v>
      </c>
      <c r="G21" s="1423">
        <f ca="1">存贷款利率!G1</f>
        <v>5.4000000000000006E-2</v>
      </c>
      <c r="H21" s="1231" t="str">
        <f>"计息期为"&amp;B23&amp;"年，"&amp;"复利计息"</f>
        <v>计息期为2年，复利计息</v>
      </c>
      <c r="I21" s="1220"/>
      <c r="J21" s="1203"/>
      <c r="K21" s="1249"/>
      <c r="L21" s="1249"/>
    </row>
    <row r="22" spans="1:18" ht="15.75" customHeight="1" thickBot="1">
      <c r="A22" s="514" t="s">
        <v>1160</v>
      </c>
      <c r="B22" s="513">
        <v>2007</v>
      </c>
      <c r="C22" s="1197"/>
      <c r="D22" s="1235">
        <v>4</v>
      </c>
      <c r="E22" s="1236" t="s">
        <v>1590</v>
      </c>
      <c r="F22" s="1237">
        <f>ROUND((F12+F20)*G22,0)</f>
        <v>0</v>
      </c>
      <c r="G22" s="520"/>
      <c r="H22" s="1238" t="s">
        <v>1241</v>
      </c>
      <c r="I22" s="1291" t="str">
        <f>IF(B12="商业","商业用途35%-50%",IF(B12="工业","工业用途18%-28%",IF(B12="办公/综合","办公用途25%-40%","居住用途30%-50%")))</f>
        <v>商业用途35%-50%</v>
      </c>
      <c r="J22" s="1193"/>
      <c r="K22" s="1249"/>
      <c r="L22" s="1249"/>
    </row>
    <row r="23" spans="1:18" ht="15.75" customHeight="1" thickTop="1">
      <c r="A23" s="514" t="s">
        <v>1278</v>
      </c>
      <c r="B23" s="518">
        <v>2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4" t="s">
        <v>1655</v>
      </c>
      <c r="B24" s="518">
        <v>0</v>
      </c>
      <c r="C24" s="1249"/>
      <c r="D24" s="1213">
        <v>1</v>
      </c>
      <c r="E24" s="1214" t="s">
        <v>1255</v>
      </c>
      <c r="F24" s="1052">
        <f ca="1">F4+F11</f>
        <v>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0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58" t="s">
        <v>1290</v>
      </c>
      <c r="E26" s="1759"/>
      <c r="F26" s="1759"/>
      <c r="G26" s="1759"/>
      <c r="H26" s="1760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0.97</v>
      </c>
      <c r="G28" s="522"/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</v>
      </c>
      <c r="G29" s="1265">
        <f>1-G28</f>
        <v>1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523"/>
      <c r="G30" s="1265">
        <f>IF(ISNUMBER(FIND("砖木",B20)),O30,SUMPRODUCT((N30:N32=E30)*(O29:R29=B20)*(O30:R32)))</f>
        <v>0.2</v>
      </c>
      <c r="H30" s="1266"/>
      <c r="I30" s="1750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0</v>
      </c>
      <c r="G31" s="1265">
        <f>IF(ISNUMBER(FIND("砖木",B20)),O31,SUMPRODUCT((N30:N32=E31)*(O29:R29=B20)*(O30:R32)))</f>
        <v>0.5</v>
      </c>
      <c r="H31" s="1266"/>
      <c r="I31" s="1750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0</v>
      </c>
      <c r="G32" s="1265">
        <f>IF(ISNUMBER(FIND("砖木",B20)),O32,SUMPRODUCT((N30:N32=E32)*(O29:R29=B20)*(O30:R32)))</f>
        <v>0.3</v>
      </c>
      <c r="H32" s="1266"/>
      <c r="I32" s="1750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58" t="s">
        <v>1293</v>
      </c>
      <c r="E34" s="1759"/>
      <c r="F34" s="1759"/>
      <c r="G34" s="1759"/>
      <c r="H34" s="1760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0</v>
      </c>
      <c r="G35" s="1751" t="s">
        <v>1267</v>
      </c>
      <c r="H35" s="1752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0</v>
      </c>
      <c r="G36" s="1753" t="s">
        <v>1269</v>
      </c>
      <c r="H36" s="1754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6632.02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商业</v>
      </c>
      <c r="F2" s="732" t="s">
        <v>914</v>
      </c>
      <c r="G2" s="734" t="str">
        <f>主表!B10</f>
        <v>六级</v>
      </c>
      <c r="H2" s="829" t="s">
        <v>915</v>
      </c>
      <c r="I2" s="683" t="str">
        <f>主表!B11</f>
        <v>六级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>
        <f>IF(F3="容积率",主表!B8,主表!B9)</f>
        <v>2.63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61"/>
      <c r="B4" s="1762"/>
      <c r="C4" s="1762"/>
      <c r="D4" s="1763"/>
      <c r="E4" s="1763"/>
      <c r="F4" s="1763"/>
      <c r="G4" s="1763"/>
      <c r="H4" s="1763"/>
      <c r="I4" s="1763"/>
      <c r="J4" s="1764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1721" t="e">
        <f>ROUND(IF(E2="商业",IF(F16="增加",C6*C7+C16,C6*C7-C16)),0)</f>
        <v>#DIV/0!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65">
        <f>IF(E2="商业",IF(C8="不临58条商业街","",2),"")</f>
        <v>2</v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66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66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66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66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65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67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67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68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65">
        <f>IF(E2="办公/综合",2,IF(E2="工业",2,IF(E2="住宅/居住",3,IF(E2="商业",IF(C8="不临58条商业街",2,3)))))</f>
        <v>3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66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6.6000000000000003E-2</v>
      </c>
      <c r="N17" s="624">
        <f ca="1">ROUND($E$20*(1+N16),3)</f>
        <v>6.4000000000000001E-2</v>
      </c>
      <c r="O17" s="624">
        <f ca="1">ROUND($E$20*(1+O16),3)</f>
        <v>6.0999999999999999E-2</v>
      </c>
      <c r="P17" s="964">
        <f ca="1">ROUND($E$20*(1+P16),3)</f>
        <v>5.8000000000000003E-2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17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40035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0.96660000000000001</v>
      </c>
      <c r="D20" s="1508" t="s">
        <v>939</v>
      </c>
      <c r="E20" s="1509">
        <f ca="1">INDIRECT("'存贷款利率'!e"&amp;存贷款利率!$K$4)/100</f>
        <v>5.3099999999999994E-2</v>
      </c>
      <c r="F20" s="1506" t="s">
        <v>940</v>
      </c>
      <c r="G20" s="1510">
        <f ca="1">SUMIF(M15:P15,E2,M17:P17)</f>
        <v>6.6000000000000003E-2</v>
      </c>
      <c r="H20" s="1511" t="s">
        <v>1653</v>
      </c>
      <c r="I20" s="1053">
        <f>IF(H20="剩余土地使用年限",主表!B15,主表!B16)</f>
        <v>34.770000000000003</v>
      </c>
      <c r="J20" s="390">
        <f>IF(E2="住宅/居住",70,IF(E2="商业",40,50))</f>
        <v>40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>
        <f>IF(B21="容积率修正",IF(G3&lt;=10,D22,J22),C23)</f>
        <v>0.98229999999999995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>
        <f>IF(E22=G22,F22,IF(G3&lt;=10,ROUND(F22+(H22-F22)*(G3-E22)/(G22-E22),4),"——"))</f>
        <v>0.98229999999999995</v>
      </c>
      <c r="E22" s="1518">
        <f>ROUNDDOWN(G3,1)</f>
        <v>2.6</v>
      </c>
      <c r="F22" s="1519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0.98619999999999997</v>
      </c>
      <c r="G22" s="1517">
        <f>ROUNDUP(G3,1)</f>
        <v>2.7</v>
      </c>
      <c r="H22" s="150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0.97330000000000005</v>
      </c>
      <c r="I22" s="1516" t="s">
        <v>284</v>
      </c>
      <c r="J22" s="392" t="str">
        <f>IF(G3&gt;10,D114,"——")</f>
        <v>——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70" t="s">
        <v>1761</v>
      </c>
      <c r="B33" s="941" t="s">
        <v>285</v>
      </c>
      <c r="C33" s="27" t="e">
        <f ca="1">ROUND(D5*C19*C20*C24*F33,0)</f>
        <v>#DIV/0!</v>
      </c>
      <c r="D33" s="623"/>
      <c r="E33" s="26" t="e">
        <f t="shared" ref="E33:E39" ca="1" si="0">ROUND(C33*D33,0)</f>
        <v>#DIV/0!</v>
      </c>
      <c r="F33" s="26">
        <f>SUMIF('2014修正'!A45:A56,G2,'2014修正'!B45:B56)</f>
        <v>0.7</v>
      </c>
      <c r="G33" s="26" t="e">
        <f t="shared" ref="G33:G39" ca="1" si="1">ROUND(IF(E2="工业",C33*$M$39,C33*$M$38),0)</f>
        <v>#DIV/0!</v>
      </c>
      <c r="H33" s="26">
        <f>D33</f>
        <v>0</v>
      </c>
      <c r="I33" s="26" t="e">
        <f t="shared" ref="I33:I39" ca="1" si="2">ROUND(G33*H33,0)</f>
        <v>#DIV/0!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71"/>
      <c r="B34" s="325" t="s">
        <v>286</v>
      </c>
      <c r="C34" s="27" t="e">
        <f ca="1">ROUND(D5*C19*C20*C24*F34,0)</f>
        <v>#DIV/0!</v>
      </c>
      <c r="D34" s="623"/>
      <c r="E34" s="26" t="e">
        <f t="shared" ca="1" si="0"/>
        <v>#DIV/0!</v>
      </c>
      <c r="F34" s="26">
        <f>SUMIF('2014修正'!A45:A56,G2,'2014修正'!C45:C56)</f>
        <v>0.4</v>
      </c>
      <c r="G34" s="26" t="e">
        <f t="shared" ca="1" si="1"/>
        <v>#DIV/0!</v>
      </c>
      <c r="H34" s="26">
        <f t="shared" ref="H34:H39" si="3">D34</f>
        <v>0</v>
      </c>
      <c r="I34" s="26" t="e">
        <f t="shared" ca="1" si="2"/>
        <v>#DIV/0!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71"/>
      <c r="B35" s="325" t="s">
        <v>287</v>
      </c>
      <c r="C35" s="27" t="e">
        <f ca="1">ROUND(D5*C19*C20*C24*F35,0)</f>
        <v>#DIV/0!</v>
      </c>
      <c r="D35" s="623"/>
      <c r="E35" s="26" t="e">
        <f t="shared" ca="1" si="0"/>
        <v>#DIV/0!</v>
      </c>
      <c r="F35" s="26">
        <f>SUMIF('2014修正'!A45:A56,G2,'2014修正'!D45:D56)</f>
        <v>0.28000000000000003</v>
      </c>
      <c r="G35" s="26" t="e">
        <f t="shared" ca="1" si="1"/>
        <v>#DIV/0!</v>
      </c>
      <c r="H35" s="26">
        <f t="shared" si="3"/>
        <v>0</v>
      </c>
      <c r="I35" s="26" t="e">
        <f t="shared" ca="1" si="2"/>
        <v>#DIV/0!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72"/>
      <c r="B36" s="325" t="s">
        <v>288</v>
      </c>
      <c r="C36" s="27" t="e">
        <f ca="1">ROUND(D5*C19*C20*C24*F36,0)</f>
        <v>#DIV/0!</v>
      </c>
      <c r="D36" s="623"/>
      <c r="E36" s="26" t="e">
        <f t="shared" ca="1" si="0"/>
        <v>#DIV/0!</v>
      </c>
      <c r="F36" s="26">
        <f>SUMIF('2014修正'!A45:A56,G2,'2014修正'!E45:E56)</f>
        <v>0.25</v>
      </c>
      <c r="G36" s="26" t="e">
        <f t="shared" ca="1" si="1"/>
        <v>#DIV/0!</v>
      </c>
      <c r="H36" s="26">
        <f t="shared" si="3"/>
        <v>0</v>
      </c>
      <c r="I36" s="26" t="e">
        <f t="shared" ca="1" si="2"/>
        <v>#DIV/0!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 t="e">
        <f ca="1">ROUND(C5*C19*C20*C24*F37,0)</f>
        <v>#DIV/0!</v>
      </c>
      <c r="D37" s="623"/>
      <c r="E37" s="26" t="e">
        <f t="shared" ca="1" si="0"/>
        <v>#DIV/0!</v>
      </c>
      <c r="F37" s="27">
        <f>SUMIF('2014修正'!A45:A56,G2,'2014修正'!F45:F56)</f>
        <v>0.25</v>
      </c>
      <c r="G37" s="26" t="e">
        <f t="shared" ca="1" si="1"/>
        <v>#DIV/0!</v>
      </c>
      <c r="H37" s="26">
        <f t="shared" si="3"/>
        <v>0</v>
      </c>
      <c r="I37" s="26" t="e">
        <f t="shared" ca="1" si="2"/>
        <v>#DIV/0!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 t="e">
        <f ca="1">ROUND(C5*C19*C20*C24*F38,0)</f>
        <v>#DIV/0!</v>
      </c>
      <c r="D38" s="623"/>
      <c r="E38" s="26" t="e">
        <f t="shared" ca="1" si="0"/>
        <v>#DIV/0!</v>
      </c>
      <c r="F38" s="27">
        <f>SUMIF('2014修正'!A45:A56,G2,'2014修正'!G45:G56)</f>
        <v>0.25</v>
      </c>
      <c r="G38" s="26" t="e">
        <f t="shared" ca="1" si="1"/>
        <v>#DIV/0!</v>
      </c>
      <c r="H38" s="26">
        <f t="shared" si="3"/>
        <v>0</v>
      </c>
      <c r="I38" s="26" t="e">
        <f t="shared" ca="1" si="2"/>
        <v>#DIV/0!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 t="e">
        <f ca="1">ROUND(C5*C19*C20*C24*F39,0)</f>
        <v>#DIV/0!</v>
      </c>
      <c r="D39" s="625"/>
      <c r="E39" s="29" t="e">
        <f t="shared" ca="1" si="0"/>
        <v>#DIV/0!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>
        <f>IF(E2="商业",SUMIF(L1:L12,G2,N1:N12),"——")</f>
        <v>0</v>
      </c>
      <c r="G48" s="494"/>
      <c r="H48" s="497">
        <f t="shared" ref="H48:H56" si="5">IFERROR($F$48*I48/2,"——")</f>
        <v>0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>
        <f t="shared" si="5"/>
        <v>0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>
        <f t="shared" si="5"/>
        <v>0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>
        <f t="shared" si="5"/>
        <v>0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>
        <f t="shared" si="5"/>
        <v>0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>
        <f t="shared" si="5"/>
        <v>0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>
        <f t="shared" si="5"/>
        <v>0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>
        <f t="shared" si="5"/>
        <v>0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>
        <f t="shared" si="5"/>
        <v>0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69" t="s">
        <v>1167</v>
      </c>
      <c r="B91" s="1769"/>
      <c r="C91" s="1769"/>
      <c r="D91" s="1769"/>
      <c r="E91" s="1769"/>
      <c r="F91" s="1769"/>
      <c r="G91" s="1769"/>
      <c r="H91" s="1769"/>
      <c r="I91" s="1769"/>
      <c r="J91" s="1769"/>
      <c r="K91" s="671"/>
      <c r="L91" s="671"/>
      <c r="M91" s="671"/>
      <c r="N91" s="671"/>
    </row>
    <row r="92" spans="1:37">
      <c r="A92" s="1774" t="s">
        <v>1168</v>
      </c>
      <c r="B92" s="1774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4"/>
      <c r="B93" s="1774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75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76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76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76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76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76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76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77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75" t="s">
        <v>1495</v>
      </c>
      <c r="B102" s="972" t="s">
        <v>1498</v>
      </c>
      <c r="C102" s="973">
        <f>$G$3</f>
        <v>2.63</v>
      </c>
      <c r="D102" s="973">
        <f t="shared" ref="D102:N102" si="25">$G$3</f>
        <v>2.63</v>
      </c>
      <c r="E102" s="973">
        <f t="shared" si="25"/>
        <v>2.63</v>
      </c>
      <c r="F102" s="973">
        <f t="shared" si="25"/>
        <v>2.63</v>
      </c>
      <c r="G102" s="973">
        <f t="shared" si="25"/>
        <v>2.63</v>
      </c>
      <c r="H102" s="973">
        <f t="shared" si="25"/>
        <v>2.63</v>
      </c>
      <c r="I102" s="973">
        <f t="shared" si="25"/>
        <v>2.63</v>
      </c>
      <c r="J102" s="973">
        <f t="shared" si="25"/>
        <v>2.63</v>
      </c>
      <c r="K102" s="973">
        <f t="shared" si="25"/>
        <v>2.63</v>
      </c>
      <c r="L102" s="973">
        <f t="shared" si="25"/>
        <v>2.63</v>
      </c>
      <c r="M102" s="973">
        <f t="shared" si="25"/>
        <v>2.63</v>
      </c>
      <c r="N102" s="973">
        <f t="shared" si="25"/>
        <v>2.63</v>
      </c>
    </row>
    <row r="103" spans="1:14" ht="12.75">
      <c r="A103" s="1776"/>
      <c r="B103" s="968">
        <v>1</v>
      </c>
      <c r="C103" s="969">
        <f>1.9362/C102</f>
        <v>0.73619771863117867</v>
      </c>
      <c r="D103" s="969">
        <f>1.9362/D102</f>
        <v>0.73619771863117867</v>
      </c>
      <c r="E103" s="969">
        <f>1.8629/E102</f>
        <v>0.70832699619771866</v>
      </c>
      <c r="F103" s="969">
        <f>1.8629/F102</f>
        <v>0.70832699619771866</v>
      </c>
      <c r="G103" s="969">
        <f>1.8629/G102</f>
        <v>0.70832699619771866</v>
      </c>
      <c r="H103" s="969">
        <f>1.8629/H102</f>
        <v>0.70832699619771866</v>
      </c>
      <c r="I103" s="969">
        <f>1.8629/I102</f>
        <v>0.70832699619771866</v>
      </c>
      <c r="J103" s="969">
        <f>1.942/J102</f>
        <v>0.73840304182509509</v>
      </c>
      <c r="K103" s="969">
        <f>1.942/K102</f>
        <v>0.73840304182509509</v>
      </c>
      <c r="L103" s="969">
        <f>1.942/L102</f>
        <v>0.73840304182509509</v>
      </c>
      <c r="M103" s="969">
        <f>1.942/M102</f>
        <v>0.73840304182509509</v>
      </c>
      <c r="N103" s="969">
        <f>1.942/N102</f>
        <v>0.73840304182509509</v>
      </c>
    </row>
    <row r="104" spans="1:14" ht="12.75">
      <c r="A104" s="1776"/>
      <c r="B104" s="968">
        <v>2</v>
      </c>
      <c r="C104" s="969">
        <f>1.4198/C102</f>
        <v>0.53984790874524713</v>
      </c>
      <c r="D104" s="969">
        <f>1.4198/D102</f>
        <v>0.53984790874524713</v>
      </c>
      <c r="E104" s="969">
        <f>1.3372/E102</f>
        <v>0.50844106463878325</v>
      </c>
      <c r="F104" s="969">
        <f>1.3372/F102</f>
        <v>0.50844106463878325</v>
      </c>
      <c r="G104" s="969">
        <f>1.3372/G102</f>
        <v>0.50844106463878325</v>
      </c>
      <c r="H104" s="969">
        <f>1.3372/H102</f>
        <v>0.50844106463878325</v>
      </c>
      <c r="I104" s="969">
        <f>1.3372/I102</f>
        <v>0.50844106463878325</v>
      </c>
      <c r="J104" s="969">
        <f>1.2799/J102</f>
        <v>0.48665399239543727</v>
      </c>
      <c r="K104" s="969">
        <f>1.2799/K102</f>
        <v>0.48665399239543727</v>
      </c>
      <c r="L104" s="969">
        <f>1.2799/L102</f>
        <v>0.48665399239543727</v>
      </c>
      <c r="M104" s="969">
        <f>1.2799/M102</f>
        <v>0.48665399239543727</v>
      </c>
      <c r="N104" s="969">
        <f>1.2799/N102</f>
        <v>0.48665399239543727</v>
      </c>
    </row>
    <row r="105" spans="1:14" ht="12.75">
      <c r="A105" s="1776"/>
      <c r="B105" s="968">
        <v>3</v>
      </c>
      <c r="C105" s="969">
        <f>1.1594/C102</f>
        <v>0.44083650190114071</v>
      </c>
      <c r="D105" s="969">
        <f>1.1594/D102</f>
        <v>0.44083650190114071</v>
      </c>
      <c r="E105" s="969">
        <f>1.0788/E102</f>
        <v>0.41019011406844108</v>
      </c>
      <c r="F105" s="969">
        <f>1.0788/F102</f>
        <v>0.41019011406844108</v>
      </c>
      <c r="G105" s="969">
        <f>1.0788/G102</f>
        <v>0.41019011406844108</v>
      </c>
      <c r="H105" s="969">
        <f>1.0788/H102</f>
        <v>0.41019011406844108</v>
      </c>
      <c r="I105" s="969">
        <f>1.0788/I102</f>
        <v>0.41019011406844108</v>
      </c>
      <c r="J105" s="969">
        <f>1.0072/J102</f>
        <v>0.38296577946768068</v>
      </c>
      <c r="K105" s="969">
        <f>1.0072/K102</f>
        <v>0.38296577946768068</v>
      </c>
      <c r="L105" s="969">
        <f>1.0072/L102</f>
        <v>0.38296577946768068</v>
      </c>
      <c r="M105" s="969">
        <f>1.0072/M102</f>
        <v>0.38296577946768068</v>
      </c>
      <c r="N105" s="969">
        <f>1.0072/N102</f>
        <v>0.38296577946768068</v>
      </c>
    </row>
    <row r="106" spans="1:14" ht="12.75">
      <c r="A106" s="1776"/>
      <c r="B106" s="968">
        <v>4</v>
      </c>
      <c r="C106" s="969">
        <f>0.9622/C102</f>
        <v>0.36585551330798483</v>
      </c>
      <c r="D106" s="969">
        <f>0.9622/D102</f>
        <v>0.36585551330798483</v>
      </c>
      <c r="E106" s="969">
        <f>0.8656/E102</f>
        <v>0.32912547528517111</v>
      </c>
      <c r="F106" s="969">
        <f>0.8656/F102</f>
        <v>0.32912547528517111</v>
      </c>
      <c r="G106" s="969">
        <f>0.8656/G102</f>
        <v>0.32912547528517111</v>
      </c>
      <c r="H106" s="969">
        <f>0.8656/H102</f>
        <v>0.32912547528517111</v>
      </c>
      <c r="I106" s="969">
        <f>0.8656/I102</f>
        <v>0.32912547528517111</v>
      </c>
      <c r="J106" s="969">
        <f>0.7525/J102</f>
        <v>0.28612167300380226</v>
      </c>
      <c r="K106" s="969">
        <f>0.7525/K102</f>
        <v>0.28612167300380226</v>
      </c>
      <c r="L106" s="969">
        <f>0.7525/L102</f>
        <v>0.28612167300380226</v>
      </c>
      <c r="M106" s="969">
        <f>0.7525/M102</f>
        <v>0.28612167300380226</v>
      </c>
      <c r="N106" s="969">
        <f>0.7525/N102</f>
        <v>0.28612167300380226</v>
      </c>
    </row>
    <row r="107" spans="1:14" ht="12.75">
      <c r="A107" s="1776"/>
      <c r="B107" s="968">
        <v>5</v>
      </c>
      <c r="C107" s="969">
        <f>0.8417/C102</f>
        <v>0.32003802281368821</v>
      </c>
      <c r="D107" s="969">
        <f>0.8417/D102</f>
        <v>0.32003802281368821</v>
      </c>
      <c r="E107" s="969">
        <f>0.7371/E102</f>
        <v>0.28026615969581747</v>
      </c>
      <c r="F107" s="969">
        <f>0.7371/F102</f>
        <v>0.28026615969581747</v>
      </c>
      <c r="G107" s="969">
        <f>0.7371/G102</f>
        <v>0.28026615969581747</v>
      </c>
      <c r="H107" s="969">
        <f>0.7371/H102</f>
        <v>0.28026615969581747</v>
      </c>
      <c r="I107" s="969">
        <f>0.7371/I102</f>
        <v>0.28026615969581747</v>
      </c>
      <c r="J107" s="969">
        <f>0.5659/J102</f>
        <v>0.21517110266159695</v>
      </c>
      <c r="K107" s="969">
        <f>0.5659/K102</f>
        <v>0.21517110266159695</v>
      </c>
      <c r="L107" s="969">
        <f>0.5659/L102</f>
        <v>0.21517110266159695</v>
      </c>
      <c r="M107" s="969">
        <f>0.5659/M102</f>
        <v>0.21517110266159695</v>
      </c>
      <c r="N107" s="969">
        <f>0.5659/N102</f>
        <v>0.21517110266159695</v>
      </c>
    </row>
    <row r="108" spans="1:14" ht="12.75">
      <c r="A108" s="1776"/>
      <c r="B108" s="968">
        <v>6</v>
      </c>
      <c r="C108" s="969">
        <f>0.7608/C102</f>
        <v>0.28927756653992398</v>
      </c>
      <c r="D108" s="969">
        <f>0.7608/D102</f>
        <v>0.28927756653992398</v>
      </c>
      <c r="E108" s="969">
        <f>0.6482/E102</f>
        <v>0.24646387832699621</v>
      </c>
      <c r="F108" s="969">
        <f>0.6482/F102</f>
        <v>0.24646387832699621</v>
      </c>
      <c r="G108" s="969">
        <f>0.6482/G102</f>
        <v>0.24646387832699621</v>
      </c>
      <c r="H108" s="969">
        <f>0.6482/H102</f>
        <v>0.24646387832699621</v>
      </c>
      <c r="I108" s="969">
        <f>0.6482/I102</f>
        <v>0.24646387832699621</v>
      </c>
      <c r="J108" s="969">
        <f>0.4525/J102</f>
        <v>0.1720532319391635</v>
      </c>
      <c r="K108" s="969">
        <f>0.4525/K102</f>
        <v>0.1720532319391635</v>
      </c>
      <c r="L108" s="969">
        <f>0.4525/L102</f>
        <v>0.1720532319391635</v>
      </c>
      <c r="M108" s="969">
        <f>0.4525/M102</f>
        <v>0.1720532319391635</v>
      </c>
      <c r="N108" s="969">
        <f>0.4525/N102</f>
        <v>0.1720532319391635</v>
      </c>
    </row>
    <row r="109" spans="1:14" ht="12.75">
      <c r="A109" s="1776"/>
      <c r="B109" s="1778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77"/>
      <c r="B110" s="1779"/>
      <c r="C110" s="971">
        <f>(-0.163*(C109^2)-0.59*C109+7617)*(10^(-4))/C102</f>
        <v>0.28959114068441066</v>
      </c>
      <c r="D110" s="971">
        <f>(-0.163*(D109^2)-0.59*D109+7617)*(10^(-4))/D102</f>
        <v>0.28959114068441066</v>
      </c>
      <c r="E110" s="971">
        <f>(-0.161*(E109^2)-7.509*E109+6533)*(10^(-4))/E102</f>
        <v>0.24811140684410649</v>
      </c>
      <c r="F110" s="971">
        <f>(-0.161*(F109^2)-7.509*F109+6533)*(10^(-4))/F102</f>
        <v>0.24811140684410649</v>
      </c>
      <c r="G110" s="971">
        <f>(-0.161*(G109^2)-7.509*G109+6533)*(10^(-4))/G102</f>
        <v>0.24811140684410649</v>
      </c>
      <c r="H110" s="971">
        <f>(-0.161*(H109^2)-7.509*H109+6533)*(10^(-4))/H102</f>
        <v>0.24811140684410649</v>
      </c>
      <c r="I110" s="971">
        <f>(-0.161*(I109^2)-7.509*I109+6533)*(10^(-4))/I102</f>
        <v>0.24811140684410649</v>
      </c>
      <c r="J110" s="971">
        <f>(-0.214*(J109^2)-21.991*J109+4665)*(10^(-4))/J102</f>
        <v>0.17653212927756656</v>
      </c>
      <c r="K110" s="971">
        <f>(-0.214*(K109^2)-21.991*K109+4665)*(10^(-4))/K102</f>
        <v>0.17653212927756656</v>
      </c>
      <c r="L110" s="971">
        <f>(-0.214*(L109^2)-21.991*L109+4665)*(10^(-4))/L102</f>
        <v>0.17653212927756656</v>
      </c>
      <c r="M110" s="971">
        <f>(-0.214*(M109^2)-21.991*M109+4665)*(10^(-4))/M102</f>
        <v>0.17653212927756656</v>
      </c>
      <c r="N110" s="971">
        <f>(-0.214*(N109^2)-21.991*N109+4665)*(10^(-4))/N102</f>
        <v>0.17653212927756656</v>
      </c>
    </row>
    <row r="111" spans="1:14">
      <c r="A111" s="1773" t="s">
        <v>1183</v>
      </c>
      <c r="B111" s="1773"/>
      <c r="C111" s="1773"/>
      <c r="D111" s="1773"/>
      <c r="E111" s="1773"/>
      <c r="F111" s="1773"/>
      <c r="G111" s="1773"/>
      <c r="H111" s="1773"/>
      <c r="I111" s="1773"/>
      <c r="J111" s="1773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>
        <f>G3</f>
        <v>2.63</v>
      </c>
      <c r="C114" s="954" t="s">
        <v>1482</v>
      </c>
      <c r="D114" s="351">
        <f>SUMPRODUCT((A116:A119=F114)*(B115:M115=H114)*B116:M119)</f>
        <v>0.8044</v>
      </c>
      <c r="E114" s="734" t="s">
        <v>1168</v>
      </c>
      <c r="F114" s="955" t="str">
        <f>E2</f>
        <v>商业</v>
      </c>
      <c r="G114" s="734" t="s">
        <v>1185</v>
      </c>
      <c r="H114" s="955" t="str">
        <f>G2</f>
        <v>六级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>
        <f>ROUND(0.9335-0.0094*B114,4)</f>
        <v>0.90880000000000005</v>
      </c>
      <c r="C116" s="355">
        <f>B116</f>
        <v>0.90880000000000005</v>
      </c>
      <c r="D116" s="355">
        <f>ROUND(0.8331-0.0109*B114,4)</f>
        <v>0.8044</v>
      </c>
      <c r="E116" s="355">
        <f>D116</f>
        <v>0.8044</v>
      </c>
      <c r="F116" s="355">
        <f>E116</f>
        <v>0.8044</v>
      </c>
      <c r="G116" s="355">
        <f>F116</f>
        <v>0.8044</v>
      </c>
      <c r="H116" s="355">
        <f>G116</f>
        <v>0.8044</v>
      </c>
      <c r="I116" s="355">
        <f>ROUND(0.689-0.0155*B114,4)</f>
        <v>0.6482</v>
      </c>
      <c r="J116" s="355">
        <f t="shared" ref="J116:M119" si="27">I116</f>
        <v>0.6482</v>
      </c>
      <c r="K116" s="355">
        <f t="shared" si="27"/>
        <v>0.6482</v>
      </c>
      <c r="L116" s="355">
        <f t="shared" si="27"/>
        <v>0.6482</v>
      </c>
      <c r="M116" s="356">
        <f t="shared" si="27"/>
        <v>0.6482</v>
      </c>
    </row>
    <row r="117" spans="1:13" ht="12.75">
      <c r="A117" s="816" t="s">
        <v>1317</v>
      </c>
      <c r="B117" s="355">
        <f>ROUND(0.949-0.012*B114,4)</f>
        <v>0.91739999999999999</v>
      </c>
      <c r="C117" s="355">
        <f>B117</f>
        <v>0.91739999999999999</v>
      </c>
      <c r="D117" s="355">
        <f>ROUND(0.8567-0.013*B114,4)</f>
        <v>0.82250000000000001</v>
      </c>
      <c r="E117" s="355">
        <f t="shared" ref="E117:H118" si="28">D117</f>
        <v>0.82250000000000001</v>
      </c>
      <c r="F117" s="355">
        <f t="shared" si="28"/>
        <v>0.82250000000000001</v>
      </c>
      <c r="G117" s="355">
        <f t="shared" si="28"/>
        <v>0.82250000000000001</v>
      </c>
      <c r="H117" s="355">
        <f t="shared" si="28"/>
        <v>0.82250000000000001</v>
      </c>
      <c r="I117" s="355">
        <f>ROUND(0.7694-0.014*B114,4)</f>
        <v>0.73260000000000003</v>
      </c>
      <c r="J117" s="355">
        <f t="shared" si="27"/>
        <v>0.73260000000000003</v>
      </c>
      <c r="K117" s="355">
        <f t="shared" si="27"/>
        <v>0.73260000000000003</v>
      </c>
      <c r="L117" s="355">
        <f t="shared" si="27"/>
        <v>0.73260000000000003</v>
      </c>
      <c r="M117" s="356">
        <f t="shared" si="27"/>
        <v>0.73260000000000003</v>
      </c>
    </row>
    <row r="118" spans="1:13" ht="12.75">
      <c r="A118" s="816" t="s">
        <v>1318</v>
      </c>
      <c r="B118" s="355">
        <f>ROUND(0.8808-0.006*B114,4)</f>
        <v>0.86499999999999999</v>
      </c>
      <c r="C118" s="355">
        <f>B118</f>
        <v>0.86499999999999999</v>
      </c>
      <c r="D118" s="355">
        <f>ROUND(0.8748-0.008*B114,4)</f>
        <v>0.8538</v>
      </c>
      <c r="E118" s="355">
        <f t="shared" si="28"/>
        <v>0.8538</v>
      </c>
      <c r="F118" s="355">
        <f t="shared" si="28"/>
        <v>0.8538</v>
      </c>
      <c r="G118" s="355">
        <f t="shared" si="28"/>
        <v>0.8538</v>
      </c>
      <c r="H118" s="355">
        <f t="shared" si="28"/>
        <v>0.8538</v>
      </c>
      <c r="I118" s="355">
        <f>ROUND(0.7412-0.0095*B114,4)</f>
        <v>0.71619999999999995</v>
      </c>
      <c r="J118" s="355">
        <f t="shared" si="27"/>
        <v>0.71619999999999995</v>
      </c>
      <c r="K118" s="355">
        <f t="shared" si="27"/>
        <v>0.71619999999999995</v>
      </c>
      <c r="L118" s="355">
        <f t="shared" si="27"/>
        <v>0.71619999999999995</v>
      </c>
      <c r="M118" s="356">
        <f t="shared" si="27"/>
        <v>0.71619999999999995</v>
      </c>
    </row>
    <row r="119" spans="1:13" ht="13.5" thickBot="1">
      <c r="A119" s="817" t="s">
        <v>229</v>
      </c>
      <c r="B119" s="357">
        <f>ROUND(0.7275-0.01*B114,4)</f>
        <v>0.70120000000000005</v>
      </c>
      <c r="C119" s="357">
        <f>B119</f>
        <v>0.70120000000000005</v>
      </c>
      <c r="D119" s="357">
        <f>ROUND(0.7043-0.012*B114,4)</f>
        <v>0.67269999999999996</v>
      </c>
      <c r="E119" s="357">
        <f>D119</f>
        <v>0.67269999999999996</v>
      </c>
      <c r="F119" s="357">
        <f>E119</f>
        <v>0.67269999999999996</v>
      </c>
      <c r="G119" s="357">
        <f>ROUND(0.6299-0.0122*B114,4)</f>
        <v>0.5978</v>
      </c>
      <c r="H119" s="357">
        <f>G119</f>
        <v>0.5978</v>
      </c>
      <c r="I119" s="357">
        <f>ROUND(0.5667-0.0136*B114,4)</f>
        <v>0.53090000000000004</v>
      </c>
      <c r="J119" s="357">
        <f t="shared" si="27"/>
        <v>0.53090000000000004</v>
      </c>
      <c r="K119" s="357">
        <f t="shared" si="27"/>
        <v>0.53090000000000004</v>
      </c>
      <c r="L119" s="357">
        <f t="shared" si="27"/>
        <v>0.53090000000000004</v>
      </c>
      <c r="M119" s="358">
        <f t="shared" si="27"/>
        <v>0.53090000000000004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80" t="s">
        <v>990</v>
      </c>
      <c r="B1" s="1780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80" t="s">
        <v>292</v>
      </c>
      <c r="B1" s="1780"/>
      <c r="C1" s="1780"/>
      <c r="D1" s="1780"/>
      <c r="E1" s="1780"/>
      <c r="F1" s="1780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81" t="s">
        <v>305</v>
      </c>
      <c r="B2" s="1781"/>
      <c r="C2" s="1781"/>
      <c r="D2" s="1781"/>
      <c r="E2" s="1781"/>
      <c r="F2" s="1781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82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83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2017-09-07T05:18:43Z</dcterms:modified>
</cp:coreProperties>
</file>