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41" i="37" l="1"/>
  <c r="G41" i="37"/>
  <c r="E92" i="37"/>
  <c r="F92" i="37"/>
  <c r="D92" i="37"/>
  <c r="C30" i="37"/>
  <c r="I7" i="37"/>
  <c r="G7" i="37"/>
  <c r="E7" i="37"/>
  <c r="B29" i="1"/>
  <c r="Y6" i="1"/>
  <c r="N6" i="1"/>
  <c r="G19" i="6"/>
  <c r="K13" i="3"/>
  <c r="F6" i="1"/>
  <c r="A6" i="1"/>
  <c r="G1" i="67"/>
  <c r="L48" i="67"/>
  <c r="J51" i="67"/>
  <c r="B24" i="1"/>
  <c r="J53" i="67"/>
  <c r="G1" i="15"/>
  <c r="L48" i="15"/>
  <c r="J50" i="15"/>
  <c r="J51" i="15"/>
  <c r="M47" i="15"/>
  <c r="J53"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D13" i="3"/>
  <c r="BE13" i="3"/>
  <c r="BF13" i="3"/>
  <c r="BG13" i="3"/>
  <c r="BH13" i="3"/>
  <c r="BI13" i="3"/>
  <c r="BJ13" i="3"/>
  <c r="BK13" i="3"/>
  <c r="BM13" i="3"/>
  <c r="BN13" i="3"/>
  <c r="BO13" i="3"/>
  <c r="BP13" i="3"/>
  <c r="BQ13" i="3"/>
  <c r="BR13" i="3"/>
  <c r="BS13" i="3"/>
  <c r="BT13" i="3"/>
  <c r="BL13" i="3"/>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BL17" i="3"/>
  <c r="AZ17" i="3"/>
  <c r="G30" i="6"/>
  <c r="G31" i="6"/>
  <c r="J56" i="9"/>
  <c r="J57" i="9"/>
  <c r="A24" i="51"/>
  <c r="B18" i="72"/>
  <c r="U29" i="34"/>
  <c r="E5" i="6"/>
  <c r="D9" i="11"/>
  <c r="C9" i="11"/>
  <c r="P10" i="1"/>
  <c r="E32" i="6"/>
  <c r="L19" i="6"/>
  <c r="G1" i="68"/>
  <c r="K1" i="12"/>
  <c r="F30" i="6"/>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T11" i="1"/>
  <c r="D9" i="69"/>
  <c r="C9" i="69"/>
  <c r="D19" i="12"/>
  <c r="C19" i="12"/>
  <c r="AQ9" i="1"/>
  <c r="AR11" i="1"/>
  <c r="C28" i="15"/>
  <c r="E30" i="6"/>
  <c r="K15" i="1"/>
  <c r="T9" i="1"/>
  <c r="T13" i="1"/>
  <c r="D9" i="68"/>
  <c r="C9" i="68"/>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c r="O14" i="1"/>
  <c r="P14" i="1"/>
  <c r="BL5" i="3"/>
  <c r="J59" i="9"/>
  <c r="J61" i="9"/>
  <c r="S6" i="1"/>
  <c r="AQ6" i="1"/>
  <c r="AR6" i="1"/>
  <c r="AR8" i="1"/>
  <c r="AQ8" i="1"/>
  <c r="T8" i="1"/>
  <c r="AQ7" i="1"/>
  <c r="R22" i="31"/>
  <c r="B21" i="31"/>
  <c r="B5" i="62"/>
  <c r="B73" i="72"/>
  <c r="L27"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27" i="68"/>
  <c r="C29" i="68"/>
  <c r="D27" i="68"/>
  <c r="F28" i="12"/>
  <c r="P7" i="1"/>
  <c r="O16" i="1"/>
  <c r="F1" i="15"/>
  <c r="Q52" i="15"/>
  <c r="M16" i="1"/>
  <c r="N16" i="1"/>
  <c r="F27" i="11"/>
  <c r="F1" i="67"/>
  <c r="Q52" i="67"/>
  <c r="AC11" i="37"/>
  <c r="W11" i="37"/>
  <c r="W11" i="34"/>
  <c r="AC11" i="34"/>
  <c r="R7" i="1"/>
  <c r="P16" i="1"/>
  <c r="C11" i="12"/>
  <c r="C15" i="12"/>
  <c r="F34" i="11"/>
  <c r="F11" i="12"/>
  <c r="F34" i="68"/>
  <c r="F50" i="11"/>
  <c r="F50" i="69"/>
  <c r="F50" i="68"/>
  <c r="C47" i="11"/>
  <c r="D45" i="11"/>
  <c r="C29" i="11"/>
  <c r="D27" i="11"/>
  <c r="L16" i="1"/>
  <c r="C34" i="11"/>
  <c r="C38" i="11"/>
  <c r="R8" i="1"/>
  <c r="C35" i="11"/>
  <c r="M19" i="6"/>
  <c r="I19" i="6"/>
  <c r="H19" i="6"/>
  <c r="R19" i="6"/>
  <c r="R6" i="1"/>
  <c r="E2" i="70"/>
  <c r="C34" i="69"/>
  <c r="C38" i="69"/>
  <c r="S16" i="1"/>
  <c r="AE7" i="1"/>
  <c r="T16" i="1"/>
  <c r="AE8" i="1"/>
  <c r="AE6" i="1"/>
  <c r="AG6" i="1"/>
  <c r="H109" i="9"/>
  <c r="D2" i="37"/>
  <c r="D3" i="37"/>
  <c r="R42" i="37"/>
  <c r="T42" i="37"/>
  <c r="V42" i="37"/>
  <c r="R43" i="37"/>
  <c r="C43" i="37"/>
  <c r="B2" i="37"/>
  <c r="C19" i="9"/>
  <c r="F6" i="15"/>
  <c r="F8" i="15"/>
  <c r="F7" i="15"/>
  <c r="F9" i="15"/>
  <c r="C6" i="15"/>
  <c r="F4" i="73"/>
  <c r="I1" i="73"/>
  <c r="B39" i="1"/>
  <c r="F11" i="15"/>
  <c r="C10" i="15"/>
  <c r="C5" i="15"/>
  <c r="C32" i="15"/>
  <c r="C33" i="15"/>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J7" i="33"/>
  <c r="W7" i="33"/>
  <c r="F7" i="33"/>
  <c r="S7" i="33"/>
  <c r="H7" i="33"/>
  <c r="AB7" i="33"/>
  <c r="T48" i="33"/>
  <c r="G48" i="33"/>
  <c r="H112" i="9"/>
  <c r="D21" i="53"/>
  <c r="B39" i="72"/>
  <c r="H111" i="9"/>
  <c r="D126" i="9"/>
  <c r="D19" i="53"/>
  <c r="D59" i="9"/>
  <c r="M55" i="9"/>
  <c r="B38" i="72"/>
  <c r="D20" i="53"/>
  <c r="B40" i="72"/>
  <c r="I14" i="74"/>
  <c r="B8" i="74"/>
  <c r="D127" i="9"/>
  <c r="D13" i="52"/>
  <c r="D12" i="52"/>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D3" i="73"/>
  <c r="K1" i="73"/>
  <c r="J57" i="15"/>
  <c r="J55" i="15"/>
  <c r="J58" i="15"/>
  <c r="J59" i="15"/>
  <c r="C76" i="15"/>
  <c r="L51" i="15"/>
  <c r="L57" i="15"/>
  <c r="L47" i="15"/>
  <c r="L58" i="15"/>
  <c r="L59" i="15"/>
  <c r="L60" i="15"/>
  <c r="AO6" i="1"/>
  <c r="B12" i="76"/>
  <c r="E11" i="76"/>
  <c r="M29" i="15"/>
  <c r="F7" i="73"/>
  <c r="E10" i="76"/>
  <c r="F16" i="67"/>
  <c r="F36" i="67"/>
  <c r="M22" i="67"/>
  <c r="M6" i="67"/>
  <c r="AO10" i="1"/>
  <c r="AO12" i="1"/>
  <c r="F6" i="73"/>
  <c r="F6" i="67"/>
  <c r="M26" i="67"/>
  <c r="D34" i="9"/>
  <c r="M8" i="67"/>
  <c r="B3" i="15"/>
  <c r="D20" i="9"/>
  <c r="M23" i="67"/>
  <c r="E9" i="76"/>
  <c r="F40" i="67"/>
  <c r="B3" i="3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J1" i="73"/>
  <c r="AA7" i="33"/>
  <c r="R48" i="33"/>
  <c r="C36"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F8" i="71"/>
  <c r="F7" i="71"/>
  <c r="F6" i="71"/>
  <c r="F5" i="71"/>
  <c r="Y7" i="71"/>
  <c r="Z7" i="71"/>
  <c r="B7" i="49"/>
  <c r="E7" i="49"/>
  <c r="B15" i="49"/>
  <c r="AB3" i="71"/>
  <c r="X3" i="71"/>
  <c r="C8" i="71"/>
  <c r="E8" i="71"/>
  <c r="E7" i="71"/>
  <c r="E10" i="49"/>
  <c r="B6" i="49"/>
  <c r="E14" i="49"/>
  <c r="AF3" i="71"/>
  <c r="P24" i="43"/>
  <c r="B66" i="40"/>
  <c r="P21" i="43"/>
  <c r="C12" i="12"/>
  <c r="P22" i="43"/>
  <c r="C23" i="12"/>
  <c r="C29" i="69"/>
  <c r="D27" i="69"/>
  <c r="R16" i="1"/>
  <c r="B13" i="49"/>
  <c r="B4" i="49"/>
  <c r="B9" i="49"/>
  <c r="E22" i="49"/>
  <c r="E16" i="49"/>
  <c r="E11" i="49"/>
  <c r="B10" i="49"/>
  <c r="E6" i="49"/>
  <c r="E8" i="49"/>
  <c r="E5" i="49"/>
  <c r="B8" i="49"/>
  <c r="B5" i="49"/>
  <c r="E21" i="49"/>
  <c r="E4" i="49"/>
  <c r="B11" i="49"/>
  <c r="B14" i="49"/>
  <c r="B16" i="49"/>
  <c r="E13" i="49"/>
  <c r="E15" i="49"/>
  <c r="E9" i="49"/>
  <c r="B22" i="49"/>
  <c r="C47" i="68"/>
  <c r="D45" i="68"/>
  <c r="C35" i="69"/>
  <c r="C34" i="68"/>
  <c r="G20" i="9"/>
  <c r="C103" i="9"/>
  <c r="D102"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6" i="73"/>
  <c r="C14" i="67"/>
  <c r="F31" i="15"/>
  <c r="M17" i="67"/>
  <c r="F59" i="67"/>
  <c r="F59" i="15"/>
  <c r="M17" i="15"/>
  <c r="F31" i="67"/>
  <c r="C16" i="67"/>
  <c r="D4" i="73"/>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G42" i="37"/>
  <c r="S7" i="37"/>
  <c r="AA7" i="37"/>
  <c r="U10" i="40"/>
  <c r="AB10" i="40"/>
  <c r="AA10" i="40"/>
  <c r="S10" i="40"/>
  <c r="S10" i="39"/>
  <c r="AA10" i="39"/>
  <c r="E53" i="33"/>
  <c r="F53" i="33"/>
  <c r="E52" i="33"/>
  <c r="F52" i="33"/>
  <c r="E6" i="71"/>
  <c r="E5" i="71"/>
  <c r="V7" i="71"/>
  <c r="P23" i="43"/>
  <c r="B71" i="39"/>
  <c r="C7" i="71"/>
  <c r="D8" i="71"/>
  <c r="P25" i="43"/>
  <c r="C49" i="67"/>
  <c r="C49" i="15"/>
  <c r="C38" i="68"/>
  <c r="C35" i="68"/>
  <c r="C18" i="67"/>
  <c r="C15" i="67"/>
  <c r="F11" i="67"/>
  <c r="M11" i="67"/>
  <c r="J10" i="67"/>
  <c r="J5" i="67"/>
  <c r="Q73" i="67"/>
  <c r="Q60" i="67"/>
  <c r="B2" i="70"/>
  <c r="B3" i="70"/>
  <c r="P28" i="43"/>
  <c r="Q60" i="15"/>
  <c r="Q73" i="15"/>
  <c r="Q74" i="15"/>
  <c r="Q61" i="15"/>
  <c r="Q61" i="67"/>
  <c r="Q74" i="67"/>
  <c r="N28" i="43"/>
  <c r="O28" i="43"/>
  <c r="F22" i="68"/>
  <c r="E65" i="40"/>
  <c r="F63" i="40"/>
  <c r="E41" i="43"/>
  <c r="C41" i="43"/>
  <c r="C20" i="43"/>
  <c r="I42" i="35"/>
  <c r="J42" i="35"/>
  <c r="G42" i="35"/>
  <c r="H42" i="35"/>
  <c r="G43" i="35"/>
  <c r="H43" i="35"/>
  <c r="F68" i="39"/>
  <c r="E70" i="39"/>
  <c r="G40" i="36"/>
  <c r="H40" i="36"/>
  <c r="G41" i="36"/>
  <c r="H41" i="36"/>
  <c r="U7" i="21"/>
  <c r="AB7" i="21"/>
  <c r="T48" i="21"/>
  <c r="G48" i="21"/>
  <c r="E42"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35" i="9"/>
  <c r="F118" i="9"/>
  <c r="C53" i="67"/>
  <c r="C48" i="67"/>
  <c r="C10" i="67"/>
  <c r="C5" i="67"/>
  <c r="J24" i="15"/>
  <c r="C53" i="15"/>
  <c r="C48" i="15"/>
  <c r="F24" i="67"/>
  <c r="C24" i="67"/>
  <c r="F25" i="12"/>
  <c r="C26" i="12"/>
  <c r="D25" i="12"/>
  <c r="F22" i="11"/>
  <c r="C44" i="11"/>
  <c r="D41" i="11"/>
  <c r="F22" i="69"/>
  <c r="F65" i="40"/>
  <c r="G63" i="40"/>
  <c r="AC7" i="34"/>
  <c r="V49" i="34"/>
  <c r="I49" i="34"/>
  <c r="W7" i="34"/>
  <c r="E43" i="35"/>
  <c r="F43" i="35"/>
  <c r="E42" i="35"/>
  <c r="F42" i="35"/>
  <c r="C36" i="36"/>
  <c r="C37" i="36"/>
  <c r="B2" i="36"/>
  <c r="B3" i="36"/>
  <c r="C42"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23" i="68"/>
  <c r="C26" i="68"/>
  <c r="D22" i="68"/>
  <c r="C44" i="68"/>
  <c r="D41" i="68"/>
  <c r="C66" i="15"/>
  <c r="C60" i="15"/>
  <c r="C60" i="67"/>
  <c r="C66" i="67"/>
  <c r="D14" i="74"/>
  <c r="H119" i="9"/>
  <c r="H5" i="52"/>
  <c r="H4" i="52"/>
  <c r="C104" i="9"/>
  <c r="C38" i="67"/>
  <c r="F4" i="52"/>
  <c r="B51" i="72"/>
  <c r="F119" i="9"/>
  <c r="F5" i="52"/>
  <c r="B53" i="72"/>
  <c r="C26" i="11"/>
  <c r="D22" i="11"/>
  <c r="C23" i="67"/>
  <c r="C29" i="67"/>
  <c r="J19" i="67"/>
  <c r="C44" i="69"/>
  <c r="D41" i="69"/>
  <c r="C23" i="11"/>
  <c r="D4" i="52"/>
  <c r="B47" i="72"/>
  <c r="J19" i="15"/>
  <c r="J17" i="15"/>
  <c r="C26" i="69"/>
  <c r="D22" i="69"/>
  <c r="G65" i="40"/>
  <c r="H63" i="40"/>
  <c r="H68" i="39"/>
  <c r="G70" i="39"/>
  <c r="R50" i="34"/>
  <c r="E49" i="34"/>
  <c r="U7" i="34"/>
  <c r="AB7" i="34"/>
  <c r="T49" i="34"/>
  <c r="G49" i="34"/>
  <c r="E52" i="21"/>
  <c r="F52" i="21"/>
  <c r="E53" i="21"/>
  <c r="F53" i="21"/>
  <c r="I53" i="34"/>
  <c r="J53" i="34"/>
  <c r="I54" i="34"/>
  <c r="J54" i="34"/>
  <c r="C48" i="21"/>
  <c r="C49" i="21"/>
  <c r="C39" i="43"/>
  <c r="E39" i="43"/>
  <c r="C38" i="43"/>
  <c r="G38" i="43"/>
  <c r="I38" i="43"/>
  <c r="C36" i="43"/>
  <c r="E36" i="43"/>
  <c r="T8" i="43"/>
  <c r="V8" i="43"/>
  <c r="C35" i="43"/>
  <c r="E35" i="43"/>
  <c r="T13" i="43"/>
  <c r="V13" i="43"/>
  <c r="C37" i="43"/>
  <c r="E37" i="43"/>
  <c r="T16" i="43"/>
  <c r="V16" i="43"/>
  <c r="T15" i="43"/>
  <c r="V15" i="43"/>
  <c r="C33" i="43"/>
  <c r="E33" i="43"/>
  <c r="T9" i="43"/>
  <c r="V9" i="43"/>
  <c r="T12" i="43"/>
  <c r="V12" i="43"/>
  <c r="T10" i="43"/>
  <c r="V10" i="43"/>
  <c r="T11" i="43"/>
  <c r="V11" i="43"/>
  <c r="C34" i="43"/>
  <c r="E34" i="43"/>
  <c r="G33" i="43"/>
  <c r="I33" i="43"/>
  <c r="E38" i="43"/>
  <c r="G36" i="43"/>
  <c r="I36" i="43"/>
  <c r="G37" i="43"/>
  <c r="I37" i="43"/>
  <c r="D45" i="9"/>
  <c r="M48" i="9"/>
  <c r="D5" i="53"/>
  <c r="B5" i="74"/>
  <c r="C57" i="67"/>
  <c r="J17" i="67"/>
  <c r="C36" i="67"/>
  <c r="D10" i="68"/>
  <c r="D19" i="68"/>
  <c r="C19" i="68"/>
  <c r="C24" i="68"/>
  <c r="C20" i="68"/>
  <c r="C25" i="68"/>
  <c r="C22" i="68"/>
  <c r="J14" i="67"/>
  <c r="J13" i="67"/>
  <c r="J23" i="67"/>
  <c r="C33" i="67"/>
  <c r="C31" i="67"/>
  <c r="J59" i="67"/>
  <c r="J60" i="67"/>
  <c r="L46" i="67"/>
  <c r="Q49" i="67"/>
  <c r="C13" i="67"/>
  <c r="C37" i="67"/>
  <c r="Q49" i="15"/>
  <c r="C19" i="11"/>
  <c r="C24" i="11"/>
  <c r="C20" i="11"/>
  <c r="C25" i="11"/>
  <c r="C22" i="11"/>
  <c r="C57" i="15"/>
  <c r="C64" i="15"/>
  <c r="Q70" i="15"/>
  <c r="J14" i="15"/>
  <c r="J22" i="15"/>
  <c r="G35" i="43"/>
  <c r="I35" i="43"/>
  <c r="H65" i="40"/>
  <c r="I63" i="40"/>
  <c r="C50" i="34"/>
  <c r="C49" i="34"/>
  <c r="I68" i="39"/>
  <c r="H70" i="39"/>
  <c r="G53" i="34"/>
  <c r="H53" i="34"/>
  <c r="G54" i="34"/>
  <c r="H54" i="34"/>
  <c r="E54" i="34"/>
  <c r="F54" i="34"/>
  <c r="E53" i="34"/>
  <c r="F53" i="34"/>
  <c r="G39" i="43"/>
  <c r="I39" i="43"/>
  <c r="G34" i="43"/>
  <c r="I34" i="43"/>
  <c r="Q48" i="67"/>
  <c r="J22" i="67"/>
  <c r="B20" i="72"/>
  <c r="D6" i="53"/>
  <c r="B22" i="72"/>
  <c r="D13" i="53"/>
  <c r="D122" i="9"/>
  <c r="C61" i="67"/>
  <c r="C59" i="67"/>
  <c r="C64" i="67"/>
  <c r="D55" i="9"/>
  <c r="M53" i="9"/>
  <c r="C64" i="9"/>
  <c r="C63" i="9"/>
  <c r="C67" i="9"/>
  <c r="C68" i="9"/>
  <c r="D54" i="9"/>
  <c r="C93" i="9"/>
  <c r="C86" i="9"/>
  <c r="D52" i="9"/>
  <c r="C78" i="9"/>
  <c r="C73" i="9"/>
  <c r="C85" i="9"/>
  <c r="D53" i="9"/>
  <c r="C72" i="9"/>
  <c r="C30" i="67"/>
  <c r="C39" i="67"/>
  <c r="Q69" i="67"/>
  <c r="C61" i="15"/>
  <c r="C59" i="15"/>
  <c r="Q48" i="15"/>
  <c r="Q70" i="67"/>
  <c r="J13" i="15"/>
  <c r="J23" i="15"/>
  <c r="J16" i="15"/>
  <c r="J25" i="15"/>
  <c r="C75" i="67"/>
  <c r="C56" i="67"/>
  <c r="C65" i="67"/>
  <c r="C58" i="67"/>
  <c r="C67" i="67"/>
  <c r="C68" i="67"/>
  <c r="C75" i="15"/>
  <c r="C56" i="15"/>
  <c r="C65" i="15"/>
  <c r="I65" i="40"/>
  <c r="J63" i="40"/>
  <c r="J68" i="39"/>
  <c r="I70" i="39"/>
  <c r="J16" i="67"/>
  <c r="J25" i="67"/>
  <c r="C40" i="67"/>
  <c r="C79" i="9"/>
  <c r="C95" i="9"/>
  <c r="D14" i="53"/>
  <c r="B32" i="72"/>
  <c r="B30" i="72"/>
  <c r="G14" i="74"/>
  <c r="B6" i="74"/>
  <c r="D123" i="9"/>
  <c r="D9" i="52"/>
  <c r="D8" i="52"/>
  <c r="L51" i="67"/>
  <c r="C80" i="67"/>
  <c r="C79" i="67"/>
  <c r="C58" i="15"/>
  <c r="C67" i="15"/>
  <c r="C68" i="15"/>
  <c r="C71" i="15"/>
  <c r="Q68" i="67"/>
  <c r="Q69" i="15"/>
  <c r="Q68" i="15"/>
  <c r="C80" i="15"/>
  <c r="C79" i="15"/>
  <c r="K63" i="40"/>
  <c r="J65" i="40"/>
  <c r="K68" i="39"/>
  <c r="J70" i="39"/>
  <c r="Q67" i="67"/>
  <c r="L57" i="67"/>
  <c r="L60" i="67"/>
  <c r="Q67" i="15"/>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B56" i="40"/>
  <c r="B53" i="40"/>
  <c r="F53" i="40"/>
  <c r="B58" i="40"/>
  <c r="B51" i="40"/>
  <c r="B60" i="40"/>
  <c r="B59" i="40"/>
  <c r="B54" i="40"/>
  <c r="F54" i="40"/>
  <c r="B52" i="40"/>
  <c r="F52" i="40"/>
  <c r="C48" i="39"/>
  <c r="C47" i="39"/>
  <c r="E52" i="39"/>
  <c r="F52" i="39"/>
  <c r="E51" i="39"/>
  <c r="F51" i="39"/>
  <c r="B61" i="39"/>
  <c r="B56" i="39"/>
  <c r="B59" i="39"/>
  <c r="F59" i="39"/>
  <c r="B65" i="39"/>
  <c r="B63" i="39"/>
  <c r="B60" i="39"/>
  <c r="F60" i="39"/>
  <c r="B58" i="39"/>
  <c r="F58" i="39"/>
  <c r="B64" i="39"/>
  <c r="B57" i="39"/>
  <c r="F57" i="39"/>
  <c r="B62" i="39"/>
  <c r="I13" i="3"/>
  <c r="BB13" i="3"/>
  <c r="BB5" i="3"/>
  <c r="BC13" i="3"/>
  <c r="BC5" i="3"/>
  <c r="E12" i="6"/>
  <c r="E62" i="39"/>
  <c r="F62" i="39"/>
  <c r="E14" i="6"/>
  <c r="E64" i="39"/>
  <c r="F64" i="39"/>
  <c r="E13" i="6"/>
  <c r="E63" i="39"/>
  <c r="F63" i="39"/>
  <c r="E15" i="6"/>
  <c r="E65" i="39"/>
  <c r="F65" i="39"/>
  <c r="E8" i="6"/>
  <c r="E56" i="39"/>
  <c r="F56" i="39"/>
  <c r="F66" i="39"/>
  <c r="B2" i="39"/>
  <c r="BA13" i="3"/>
  <c r="AZ13" i="3"/>
  <c r="AZ5" i="3"/>
  <c r="E3" i="6"/>
  <c r="B3" i="39"/>
  <c r="E11" i="6"/>
  <c r="E61" i="39"/>
  <c r="F61" i="39"/>
  <c r="H13" i="3"/>
  <c r="G13" i="3"/>
  <c r="G5" i="3"/>
  <c r="B3" i="3"/>
  <c r="AY6" i="3"/>
  <c r="D3" i="6"/>
  <c r="E61" i="40"/>
  <c r="F61" i="40"/>
  <c r="B2" i="40"/>
  <c r="B3" i="40"/>
  <c r="E59" i="40"/>
  <c r="F59" i="40"/>
  <c r="E60" i="40"/>
  <c r="F60" i="40"/>
  <c r="E51" i="40"/>
  <c r="F51" i="40"/>
  <c r="E58" i="40"/>
  <c r="F58" i="40"/>
  <c r="E56" i="40"/>
  <c r="F56" i="40"/>
  <c r="E57" i="40"/>
  <c r="F57" i="40"/>
  <c r="N61" i="9"/>
  <c r="M19" i="9"/>
  <c r="C118" i="9"/>
  <c r="C14" i="74"/>
  <c r="B2" i="74"/>
  <c r="D6" i="74"/>
  <c r="M18" i="9"/>
  <c r="B118" i="9"/>
  <c r="B14" i="74"/>
  <c r="B1" i="74"/>
  <c r="C6" i="74"/>
  <c r="I5" i="3"/>
  <c r="I4" i="6"/>
  <c r="G3" i="43"/>
  <c r="C23" i="43"/>
  <c r="C21" i="43"/>
  <c r="C29" i="43"/>
  <c r="E29" i="43"/>
  <c r="C26" i="43"/>
  <c r="B2" i="43"/>
  <c r="B6" i="76"/>
  <c r="B2" i="76"/>
  <c r="C30" i="43"/>
  <c r="E30" i="43"/>
  <c r="C27" i="43"/>
  <c r="C101" i="43"/>
  <c r="C102" i="43"/>
  <c r="C103" i="43"/>
  <c r="C104" i="43"/>
  <c r="C105" i="43"/>
  <c r="C106" i="43"/>
  <c r="C107" i="43"/>
  <c r="C109" i="43"/>
  <c r="B113" i="43"/>
  <c r="B115" i="43"/>
  <c r="C115" i="43"/>
  <c r="B116" i="43"/>
  <c r="C116" i="43"/>
  <c r="B117" i="43"/>
  <c r="C117" i="43"/>
  <c r="B118" i="43"/>
  <c r="C118" i="43"/>
  <c r="E22" i="43"/>
  <c r="G22" i="43"/>
  <c r="D22" i="43"/>
  <c r="D101" i="43"/>
  <c r="D102" i="43"/>
  <c r="D103" i="43"/>
  <c r="D104" i="43"/>
  <c r="D105" i="43"/>
  <c r="D106" i="43"/>
  <c r="D107" i="43"/>
  <c r="D109" i="43"/>
  <c r="D115" i="43"/>
  <c r="D116" i="43"/>
  <c r="D117" i="43"/>
  <c r="D118" i="43"/>
  <c r="E6" i="76"/>
  <c r="E2" i="76"/>
  <c r="B3" i="76"/>
  <c r="D37" i="11"/>
  <c r="C37" i="11"/>
  <c r="C33" i="11"/>
  <c r="C39" i="11"/>
  <c r="C42" i="11"/>
  <c r="C43" i="11"/>
  <c r="C41" i="11"/>
  <c r="C46" i="11"/>
  <c r="C45" i="11"/>
  <c r="C49" i="11"/>
  <c r="C51" i="11"/>
  <c r="D19" i="11"/>
  <c r="C28" i="11"/>
  <c r="C27" i="11"/>
  <c r="C31" i="11"/>
  <c r="C52" i="11"/>
  <c r="C56" i="11"/>
  <c r="C57" i="11"/>
  <c r="E6" i="6"/>
  <c r="D10" i="69"/>
  <c r="D19" i="69"/>
  <c r="D37" i="69"/>
  <c r="C37" i="69"/>
  <c r="C33" i="69"/>
  <c r="C39" i="69"/>
  <c r="C42" i="69"/>
  <c r="C43" i="69"/>
  <c r="C41" i="69"/>
  <c r="C46" i="69"/>
  <c r="C45" i="69"/>
  <c r="C49" i="69"/>
  <c r="C51" i="69"/>
  <c r="C10" i="69"/>
  <c r="C8" i="69"/>
  <c r="C5" i="69"/>
  <c r="C19" i="69"/>
  <c r="C20" i="69"/>
  <c r="C23" i="69"/>
  <c r="C24" i="69"/>
  <c r="C25" i="69"/>
  <c r="C22" i="69"/>
  <c r="C28" i="69"/>
  <c r="C27" i="69"/>
  <c r="C31" i="69"/>
  <c r="C52" i="69"/>
  <c r="C57" i="69"/>
  <c r="C56" i="69"/>
  <c r="B3" i="43"/>
  <c r="D37" i="68"/>
  <c r="C37" i="68"/>
  <c r="C33" i="68"/>
  <c r="C39" i="68"/>
  <c r="C42" i="68"/>
  <c r="C43" i="68"/>
  <c r="C41" i="68"/>
  <c r="C46" i="68"/>
  <c r="C45" i="68"/>
  <c r="C49" i="68"/>
  <c r="C51" i="68"/>
  <c r="C28" i="68"/>
  <c r="C27" i="68"/>
  <c r="C31" i="68"/>
  <c r="C52" i="68"/>
  <c r="C57" i="68"/>
  <c r="C56" i="68"/>
  <c r="B2" i="11"/>
  <c r="B3" i="11"/>
  <c r="B2" i="69"/>
  <c r="B3" i="69"/>
  <c r="H108" i="9"/>
  <c r="D15" i="53"/>
  <c r="B31" i="72"/>
  <c r="C5" i="74"/>
  <c r="D5" i="74"/>
  <c r="B2" i="68"/>
  <c r="B3" i="68"/>
  <c r="D3" i="34"/>
  <c r="B2" i="34"/>
  <c r="B3" i="34"/>
  <c r="F14" i="74"/>
  <c r="E14" i="74"/>
  <c r="I118" i="9"/>
  <c r="H102" i="9"/>
  <c r="D7" i="53"/>
  <c r="B21" i="72"/>
  <c r="G118" i="9"/>
  <c r="E118" i="9"/>
  <c r="E4" i="52"/>
  <c r="B48" i="72"/>
  <c r="C105" i="9"/>
  <c r="I4" i="52"/>
  <c r="S4" i="43"/>
  <c r="T4" i="43"/>
  <c r="V4" i="43"/>
  <c r="S7" i="43"/>
  <c r="T7" i="43"/>
  <c r="V7" i="43"/>
  <c r="S2" i="43"/>
  <c r="T2" i="43"/>
  <c r="V2" i="43"/>
  <c r="S5" i="43"/>
  <c r="T5" i="43"/>
  <c r="V5" i="43"/>
  <c r="S6" i="43"/>
  <c r="T6" i="43"/>
  <c r="V6" i="43"/>
  <c r="S3" i="43"/>
  <c r="T3" i="43"/>
  <c r="V3" i="43"/>
  <c r="D3" i="21"/>
  <c r="B2" i="21"/>
  <c r="B3" i="21"/>
  <c r="D14" i="12"/>
  <c r="C14" i="12"/>
  <c r="C16" i="12"/>
  <c r="D17" i="12"/>
  <c r="C17" i="12"/>
  <c r="D20" i="12"/>
  <c r="C20" i="12"/>
  <c r="C18" i="12"/>
  <c r="C21" i="12"/>
  <c r="C22" i="12"/>
  <c r="C27" i="12"/>
  <c r="C25" i="12"/>
  <c r="C30" i="12"/>
  <c r="C28" i="12"/>
  <c r="C32" i="12"/>
  <c r="B2" i="12"/>
  <c r="B3" i="12"/>
  <c r="G4" i="52"/>
  <c r="B52" i="72"/>
  <c r="L19" i="9"/>
  <c r="G21" i="9"/>
  <c r="D3" i="33"/>
  <c r="B2" i="33"/>
  <c r="B3" i="33"/>
  <c r="C21" i="9"/>
  <c r="D21" i="9"/>
  <c r="C8" i="74"/>
  <c r="D8" i="74"/>
  <c r="C7" i="74"/>
  <c r="D7" i="74"/>
  <c r="F19" i="6"/>
  <c r="E19" i="6"/>
  <c r="BA5" i="3"/>
  <c r="F27" i="6"/>
  <c r="E27" i="6"/>
  <c r="E31" i="6"/>
  <c r="D19" i="6"/>
  <c r="D20" i="6"/>
  <c r="D21" i="6"/>
  <c r="D22" i="6"/>
  <c r="D23" i="6"/>
  <c r="D24" i="6"/>
  <c r="D25" i="6"/>
  <c r="D26" i="6"/>
  <c r="D27" i="6"/>
  <c r="D28" i="6"/>
  <c r="D29" i="6"/>
  <c r="D30" i="6"/>
  <c r="D31" i="6"/>
  <c r="I5" i="6"/>
  <c r="K19" i="6"/>
  <c r="K20" i="6"/>
  <c r="M20" i="6"/>
  <c r="I20" i="6"/>
  <c r="H20" i="6"/>
  <c r="R20" i="6"/>
  <c r="K21" i="6"/>
  <c r="M21" i="6"/>
  <c r="I21" i="6"/>
  <c r="H21" i="6"/>
  <c r="R21" i="6"/>
  <c r="K22" i="6"/>
  <c r="M22" i="6"/>
  <c r="I22" i="6"/>
  <c r="H22" i="6"/>
  <c r="R22" i="6"/>
  <c r="K23" i="6"/>
  <c r="M23" i="6"/>
  <c r="I23" i="6"/>
  <c r="H23" i="6"/>
  <c r="R23" i="6"/>
  <c r="K24" i="6"/>
  <c r="M24" i="6"/>
  <c r="I24" i="6"/>
  <c r="H24" i="6"/>
  <c r="R24" i="6"/>
  <c r="K25" i="6"/>
  <c r="M25" i="6"/>
  <c r="I25" i="6"/>
  <c r="H25" i="6"/>
  <c r="R25" i="6"/>
  <c r="K26" i="6"/>
  <c r="M26" i="6"/>
  <c r="I26" i="6"/>
  <c r="H26" i="6"/>
  <c r="R26" i="6"/>
  <c r="R27" i="6"/>
  <c r="F31" i="6"/>
  <c r="I6" i="6"/>
  <c r="H27" i="6"/>
  <c r="C18" i="4"/>
  <c r="C17" i="4"/>
  <c r="A10" i="51"/>
  <c r="B9" i="72"/>
  <c r="C4" i="52"/>
  <c r="B45" i="72"/>
  <c r="A7" i="51"/>
  <c r="B7" i="72"/>
  <c r="D8" i="6"/>
  <c r="D9" i="6"/>
  <c r="E10" i="6"/>
  <c r="D10" i="6"/>
  <c r="D11" i="6"/>
  <c r="D12" i="6"/>
  <c r="D13" i="6"/>
  <c r="D14" i="6"/>
  <c r="D15" i="6"/>
  <c r="D16" i="6"/>
  <c r="I27" i="6"/>
  <c r="S19" i="6"/>
  <c r="S20" i="6"/>
  <c r="S21" i="6"/>
  <c r="S22" i="6"/>
  <c r="S23" i="6"/>
  <c r="S24" i="6"/>
  <c r="S25" i="6"/>
  <c r="S26" i="6"/>
  <c r="S27" i="6"/>
  <c r="D6" i="6"/>
  <c r="D5" i="6"/>
  <c r="D10" i="11"/>
  <c r="C10" i="11"/>
  <c r="C10" i="68"/>
  <c r="I6" i="3"/>
  <c r="K5" i="3"/>
  <c r="K6" i="3"/>
  <c r="M6" i="3"/>
  <c r="O6" i="3"/>
  <c r="J6" i="3"/>
  <c r="L6" i="3"/>
  <c r="N6" i="3"/>
  <c r="P6" i="3"/>
  <c r="Q6" i="3"/>
  <c r="R6" i="3"/>
  <c r="S6" i="3"/>
  <c r="T6" i="3"/>
  <c r="U6" i="3"/>
  <c r="V6" i="3"/>
  <c r="W6" i="3"/>
  <c r="X6" i="3"/>
  <c r="Y6" i="3"/>
  <c r="Z6" i="3"/>
  <c r="AA6" i="3"/>
  <c r="AB6" i="3"/>
  <c r="H6" i="3"/>
  <c r="AD6" i="3"/>
  <c r="AF6" i="3"/>
  <c r="AH6" i="3"/>
  <c r="AJ6" i="3"/>
  <c r="AE6" i="3"/>
  <c r="AG6" i="3"/>
  <c r="AI6" i="3"/>
  <c r="AK6" i="3"/>
  <c r="AL6" i="3"/>
  <c r="AM6" i="3"/>
  <c r="AN6" i="3"/>
  <c r="AO6" i="3"/>
  <c r="AP6" i="3"/>
  <c r="AQ6" i="3"/>
  <c r="AR6" i="3"/>
  <c r="AS6" i="3"/>
  <c r="AC6" i="3"/>
  <c r="E6" i="3"/>
  <c r="M27" i="6"/>
  <c r="AY498" i="3"/>
  <c r="AY567" i="3"/>
  <c r="AY586" i="3"/>
  <c r="BT6" i="3"/>
  <c r="AY504" i="3"/>
  <c r="AY583" i="3"/>
  <c r="AY511" i="3"/>
  <c r="AY566" i="3"/>
  <c r="BC6" i="3"/>
  <c r="AY15" i="3"/>
  <c r="BD6" i="3"/>
  <c r="AY521" i="3"/>
  <c r="AY550" i="3"/>
  <c r="AY413" i="3"/>
  <c r="AY429" i="3"/>
  <c r="AY400" i="3"/>
  <c r="AY416" i="3"/>
  <c r="AY432" i="3"/>
  <c r="AY448" i="3"/>
  <c r="AY443" i="3"/>
  <c r="AY459" i="3"/>
  <c r="AY474" i="3"/>
  <c r="AY490" i="3"/>
  <c r="AY477" i="3"/>
  <c r="AY306" i="3"/>
  <c r="AY322" i="3"/>
  <c r="AY338" i="3"/>
  <c r="AY307" i="3"/>
  <c r="AY323" i="3"/>
  <c r="AY339" i="3"/>
  <c r="AY354" i="3"/>
  <c r="AY351" i="3"/>
  <c r="AY367" i="3"/>
  <c r="AY375" i="3"/>
  <c r="AY391" i="3"/>
  <c r="AY386" i="3"/>
  <c r="AY213" i="3"/>
  <c r="AY208" i="3"/>
  <c r="AY224" i="3"/>
  <c r="AY240" i="3"/>
  <c r="AY256" i="3"/>
  <c r="AY272" i="3"/>
  <c r="AY241" i="3"/>
  <c r="AY257" i="3"/>
  <c r="AY273" i="3"/>
  <c r="AY288" i="3"/>
  <c r="AY277" i="3"/>
  <c r="AY293" i="3"/>
  <c r="AY119" i="3"/>
  <c r="AY136" i="3"/>
  <c r="AY128" i="3"/>
  <c r="AY143" i="3"/>
  <c r="AY159" i="3"/>
  <c r="AY175" i="3"/>
  <c r="AY148" i="3"/>
  <c r="AY164" i="3"/>
  <c r="AY179" i="3"/>
  <c r="AY195" i="3"/>
  <c r="AY184" i="3"/>
  <c r="AY200" i="3"/>
  <c r="AY27" i="3"/>
  <c r="AY22" i="3"/>
  <c r="AY38" i="3"/>
  <c r="AY54" i="3"/>
  <c r="AY70" i="3"/>
  <c r="AY39" i="3"/>
  <c r="AY55" i="3"/>
  <c r="AY71" i="3"/>
  <c r="AY86" i="3"/>
  <c r="AY102" i="3"/>
  <c r="AY91" i="3"/>
  <c r="AY107" i="3"/>
  <c r="AY587" i="3"/>
  <c r="AY576" i="3"/>
  <c r="BL6" i="3"/>
  <c r="AY568" i="3"/>
  <c r="AY512" i="3"/>
  <c r="AY528" i="3"/>
  <c r="AY560" i="3"/>
  <c r="AY547" i="3"/>
  <c r="AY517" i="3"/>
  <c r="AY13" i="3"/>
  <c r="AY558" i="3"/>
  <c r="AY500" i="3"/>
  <c r="AY405" i="3"/>
  <c r="AY421" i="3"/>
  <c r="AY437" i="3"/>
  <c r="AY408" i="3"/>
  <c r="AY424" i="3"/>
  <c r="AY440" i="3"/>
  <c r="AY456" i="3"/>
  <c r="AY451" i="3"/>
  <c r="AY466" i="3"/>
  <c r="AY482" i="3"/>
  <c r="AY469" i="3"/>
  <c r="AY485" i="3"/>
  <c r="AY314" i="3"/>
  <c r="AY330" i="3"/>
  <c r="AY346" i="3"/>
  <c r="AY315" i="3"/>
  <c r="AY331" i="3"/>
  <c r="AY347" i="3"/>
  <c r="AY362" i="3"/>
  <c r="AY359" i="3"/>
  <c r="AY376" i="3"/>
  <c r="AY383" i="3"/>
  <c r="AY378" i="3"/>
  <c r="AY394" i="3"/>
  <c r="AY221" i="3"/>
  <c r="AY216" i="3"/>
  <c r="AY232" i="3"/>
  <c r="AY248" i="3"/>
  <c r="AY264" i="3"/>
  <c r="AY233" i="3"/>
  <c r="AY249" i="3"/>
  <c r="AY265" i="3"/>
  <c r="AY280" i="3"/>
  <c r="AY296" i="3"/>
  <c r="AY285" i="3"/>
  <c r="AY301" i="3"/>
  <c r="AY127" i="3"/>
  <c r="AY120" i="3"/>
  <c r="AY135" i="3"/>
  <c r="AY151" i="3"/>
  <c r="AY167" i="3"/>
  <c r="AY140" i="3"/>
  <c r="AY156" i="3"/>
  <c r="AY172" i="3"/>
  <c r="AY187" i="3"/>
  <c r="AY203" i="3"/>
  <c r="AY192" i="3"/>
  <c r="AY19" i="3"/>
  <c r="AY35" i="3"/>
  <c r="AY30" i="3"/>
  <c r="AY46" i="3"/>
  <c r="AY62" i="3"/>
  <c r="AY78" i="3"/>
  <c r="AY47" i="3"/>
  <c r="AY63" i="3"/>
  <c r="AY79" i="3"/>
  <c r="AY94" i="3"/>
  <c r="AY110" i="3"/>
  <c r="AY99" i="3"/>
  <c r="AY493" i="3"/>
  <c r="BA6" i="3"/>
  <c r="AY563" i="3"/>
  <c r="AY578" i="3"/>
  <c r="BP6" i="3"/>
  <c r="AY531" i="3"/>
  <c r="AY548" i="3"/>
  <c r="AY570" i="3"/>
  <c r="AY545" i="3"/>
  <c r="BR6" i="3"/>
  <c r="AY530" i="3"/>
  <c r="AY542" i="3"/>
  <c r="AY551" i="3"/>
  <c r="AY509" i="3"/>
  <c r="AY537" i="3"/>
  <c r="AY565" i="3"/>
  <c r="AY515" i="3"/>
  <c r="AY502" i="3"/>
  <c r="AY575" i="3"/>
  <c r="AY524" i="3"/>
  <c r="AY522" i="3"/>
  <c r="AY564" i="3"/>
  <c r="AY14" i="3"/>
  <c r="AY538" i="3"/>
  <c r="AY499" i="3"/>
  <c r="AY17" i="3"/>
  <c r="AY506" i="3"/>
  <c r="AY505" i="3"/>
  <c r="AY579" i="3"/>
  <c r="AY399" i="3"/>
  <c r="AY407" i="3"/>
  <c r="AY415" i="3"/>
  <c r="AY423" i="3"/>
  <c r="AY431" i="3"/>
  <c r="AY439" i="3"/>
  <c r="AY402" i="3"/>
  <c r="AY410" i="3"/>
  <c r="AY418" i="3"/>
  <c r="AY426" i="3"/>
  <c r="AY434" i="3"/>
  <c r="AY442" i="3"/>
  <c r="AY450" i="3"/>
  <c r="AY458" i="3"/>
  <c r="AY445" i="3"/>
  <c r="AY453" i="3"/>
  <c r="AY461" i="3"/>
  <c r="AY468" i="3"/>
  <c r="AY476" i="3"/>
  <c r="AY484" i="3"/>
  <c r="AY492" i="3"/>
  <c r="AY471" i="3"/>
  <c r="AY479" i="3"/>
  <c r="AY487" i="3"/>
  <c r="AY304" i="3"/>
  <c r="AY312" i="3"/>
  <c r="AY320" i="3"/>
  <c r="AY328" i="3"/>
  <c r="AY336" i="3"/>
  <c r="AY344" i="3"/>
  <c r="AY305" i="3"/>
  <c r="AY313" i="3"/>
  <c r="AY321" i="3"/>
  <c r="AY329" i="3"/>
  <c r="AY337" i="3"/>
  <c r="AY345" i="3"/>
  <c r="AY352" i="3"/>
  <c r="AY364" i="3"/>
  <c r="AY361" i="3"/>
  <c r="AY369" i="3"/>
  <c r="AY385" i="3"/>
  <c r="AY380" i="3"/>
  <c r="AY396" i="3"/>
  <c r="AY223" i="3"/>
  <c r="AY218" i="3"/>
  <c r="AY234" i="3"/>
  <c r="AY250" i="3"/>
  <c r="AY266" i="3"/>
  <c r="AY235" i="3"/>
  <c r="AY251" i="3"/>
  <c r="AY267" i="3"/>
  <c r="AY282" i="3"/>
  <c r="AY298" i="3"/>
  <c r="AY287" i="3"/>
  <c r="AY113" i="3"/>
  <c r="AY129" i="3"/>
  <c r="AY122" i="3"/>
  <c r="AY137" i="3"/>
  <c r="AY153" i="3"/>
  <c r="AY169" i="3"/>
  <c r="AY142" i="3"/>
  <c r="AY158" i="3"/>
  <c r="AY174" i="3"/>
  <c r="AY189" i="3"/>
  <c r="AY205" i="3"/>
  <c r="AY194" i="3"/>
  <c r="AY21" i="3"/>
  <c r="AY37" i="3"/>
  <c r="AY32" i="3"/>
  <c r="AY48" i="3"/>
  <c r="AY64" i="3"/>
  <c r="AY80" i="3"/>
  <c r="AY49" i="3"/>
  <c r="AY65" i="3"/>
  <c r="AY81" i="3"/>
  <c r="AY96" i="3"/>
  <c r="AY112" i="3"/>
  <c r="AY101" i="3"/>
  <c r="AY523" i="3"/>
  <c r="AY519" i="3"/>
  <c r="AY577" i="3"/>
  <c r="AY582" i="3"/>
  <c r="AY496" i="3"/>
  <c r="AY514" i="3"/>
  <c r="AY556" i="3"/>
  <c r="AY494" i="3"/>
  <c r="AY532" i="3"/>
  <c r="AY584" i="3"/>
  <c r="AY508" i="3"/>
  <c r="AY501" i="3"/>
  <c r="AY543" i="3"/>
  <c r="AY16" i="3"/>
  <c r="AY559" i="3"/>
  <c r="BG6" i="3"/>
  <c r="AY552" i="3"/>
  <c r="AY510" i="3"/>
  <c r="AY518" i="3"/>
  <c r="AY495" i="3"/>
  <c r="AY520" i="3"/>
  <c r="AY546" i="3"/>
  <c r="AY527" i="3"/>
  <c r="AY571" i="3"/>
  <c r="AY536" i="3"/>
  <c r="BF6" i="3"/>
  <c r="BN6" i="3"/>
  <c r="AY534" i="3"/>
  <c r="AY572" i="3"/>
  <c r="AY561" i="3"/>
  <c r="AY516" i="3"/>
  <c r="AY585" i="3"/>
  <c r="AY580" i="3"/>
  <c r="BM6" i="3"/>
  <c r="AY525" i="3"/>
  <c r="BQ6" i="3"/>
  <c r="AY503" i="3"/>
  <c r="AY581" i="3"/>
  <c r="AY403" i="3"/>
  <c r="AY411" i="3"/>
  <c r="AY419" i="3"/>
  <c r="AY427" i="3"/>
  <c r="AY435" i="3"/>
  <c r="AY398" i="3"/>
  <c r="AY406" i="3"/>
  <c r="AY414" i="3"/>
  <c r="AY422" i="3"/>
  <c r="AY430" i="3"/>
  <c r="AY438" i="3"/>
  <c r="AY446" i="3"/>
  <c r="AY454" i="3"/>
  <c r="AY462" i="3"/>
  <c r="AY449" i="3"/>
  <c r="AY457" i="3"/>
  <c r="AY464" i="3"/>
  <c r="AY472" i="3"/>
  <c r="AY480" i="3"/>
  <c r="AY488" i="3"/>
  <c r="AY467" i="3"/>
  <c r="AY475" i="3"/>
  <c r="AY483" i="3"/>
  <c r="AY491" i="3"/>
  <c r="AY308" i="3"/>
  <c r="AY316" i="3"/>
  <c r="AY324" i="3"/>
  <c r="AY332" i="3"/>
  <c r="AY340" i="3"/>
  <c r="AY348" i="3"/>
  <c r="AY309" i="3"/>
  <c r="AY317" i="3"/>
  <c r="AY325" i="3"/>
  <c r="AY333" i="3"/>
  <c r="AY341" i="3"/>
  <c r="AY349" i="3"/>
  <c r="AY356" i="3"/>
  <c r="AY353" i="3"/>
  <c r="AY370" i="3"/>
  <c r="AY377" i="3"/>
  <c r="AY393" i="3"/>
  <c r="AY388" i="3"/>
  <c r="AY215" i="3"/>
  <c r="AY210" i="3"/>
  <c r="AY226" i="3"/>
  <c r="AY242" i="3"/>
  <c r="AY258" i="3"/>
  <c r="AY274" i="3"/>
  <c r="AY243" i="3"/>
  <c r="AY259" i="3"/>
  <c r="AY275" i="3"/>
  <c r="AY290" i="3"/>
  <c r="AY279" i="3"/>
  <c r="AY295" i="3"/>
  <c r="AY121" i="3"/>
  <c r="AY114" i="3"/>
  <c r="AY130" i="3"/>
  <c r="AY145" i="3"/>
  <c r="AY161" i="3"/>
  <c r="AY177" i="3"/>
  <c r="AY150" i="3"/>
  <c r="AY166" i="3"/>
  <c r="AY181" i="3"/>
  <c r="AY197" i="3"/>
  <c r="AY186" i="3"/>
  <c r="AY202" i="3"/>
  <c r="AY29" i="3"/>
  <c r="AY24" i="3"/>
  <c r="AY40" i="3"/>
  <c r="AY56" i="3"/>
  <c r="AY72" i="3"/>
  <c r="AY41" i="3"/>
  <c r="AY57" i="3"/>
  <c r="AY73" i="3"/>
  <c r="AY88" i="3"/>
  <c r="AY104" i="3"/>
  <c r="AY93" i="3"/>
  <c r="AY109" i="3"/>
  <c r="BB6" i="3"/>
  <c r="BJ6" i="3"/>
  <c r="BI6" i="3"/>
  <c r="BH6" i="3"/>
  <c r="AY507" i="3"/>
  <c r="AY554" i="3"/>
  <c r="BS6" i="3"/>
  <c r="AY360" i="3"/>
  <c r="AY368" i="3"/>
  <c r="AY357" i="3"/>
  <c r="AY365" i="3"/>
  <c r="AY374" i="3"/>
  <c r="AY373" i="3"/>
  <c r="AY381" i="3"/>
  <c r="AY389" i="3"/>
  <c r="AY397" i="3"/>
  <c r="AY384" i="3"/>
  <c r="AY392" i="3"/>
  <c r="AY211" i="3"/>
  <c r="AY219" i="3"/>
  <c r="AY227" i="3"/>
  <c r="AY214" i="3"/>
  <c r="AY222" i="3"/>
  <c r="AY230" i="3"/>
  <c r="AY238" i="3"/>
  <c r="AY246" i="3"/>
  <c r="AY254" i="3"/>
  <c r="AY262" i="3"/>
  <c r="AY270" i="3"/>
  <c r="AY231" i="3"/>
  <c r="AY239" i="3"/>
  <c r="AY247" i="3"/>
  <c r="AY255" i="3"/>
  <c r="AY263" i="3"/>
  <c r="AY271" i="3"/>
  <c r="AY278" i="3"/>
  <c r="AY286" i="3"/>
  <c r="AY294" i="3"/>
  <c r="AY302" i="3"/>
  <c r="AY283" i="3"/>
  <c r="AY291" i="3"/>
  <c r="AY299" i="3"/>
  <c r="AY117" i="3"/>
  <c r="AY125" i="3"/>
  <c r="AY134" i="3"/>
  <c r="AY118" i="3"/>
  <c r="AY126" i="3"/>
  <c r="AY133" i="3"/>
  <c r="AY141" i="3"/>
  <c r="AY149" i="3"/>
  <c r="AY157" i="3"/>
  <c r="AY165" i="3"/>
  <c r="AY173" i="3"/>
  <c r="AY138" i="3"/>
  <c r="AY146" i="3"/>
  <c r="AY154" i="3"/>
  <c r="AY162" i="3"/>
  <c r="AY170" i="3"/>
  <c r="AY178" i="3"/>
  <c r="AY185" i="3"/>
  <c r="AY193" i="3"/>
  <c r="AY201" i="3"/>
  <c r="AY182" i="3"/>
  <c r="AY190" i="3"/>
  <c r="AY198" i="3"/>
  <c r="AY206" i="3"/>
  <c r="AY25" i="3"/>
  <c r="AY33" i="3"/>
  <c r="AY20" i="3"/>
  <c r="AY28" i="3"/>
  <c r="AY36" i="3"/>
  <c r="AY44" i="3"/>
  <c r="AY52" i="3"/>
  <c r="AY60" i="3"/>
  <c r="AY68" i="3"/>
  <c r="AY76" i="3"/>
  <c r="AY84" i="3"/>
  <c r="AY45" i="3"/>
  <c r="AY53" i="3"/>
  <c r="AY61" i="3"/>
  <c r="AY69" i="3"/>
  <c r="AY77" i="3"/>
  <c r="AY85" i="3"/>
  <c r="AY92" i="3"/>
  <c r="AY100" i="3"/>
  <c r="AY108" i="3"/>
  <c r="AY89" i="3"/>
  <c r="AY97" i="3"/>
  <c r="AY105" i="3"/>
  <c r="AY553" i="3"/>
  <c r="AY555" i="3"/>
  <c r="BE6" i="3"/>
  <c r="AY539" i="3"/>
  <c r="AY541" i="3"/>
  <c r="BO6" i="3"/>
  <c r="AY533" i="3"/>
  <c r="AY540" i="3"/>
  <c r="AY569" i="3"/>
  <c r="AY574" i="3"/>
  <c r="AY544" i="3"/>
  <c r="AY573" i="3"/>
  <c r="BK6" i="3"/>
  <c r="AY562" i="3"/>
  <c r="AY549" i="3"/>
  <c r="AY557" i="3"/>
  <c r="AY513" i="3"/>
  <c r="AY535" i="3"/>
  <c r="AY401" i="3"/>
  <c r="AY417" i="3"/>
  <c r="AY433" i="3"/>
  <c r="AY404" i="3"/>
  <c r="AY420" i="3"/>
  <c r="AY436" i="3"/>
  <c r="AY452" i="3"/>
  <c r="AY447" i="3"/>
  <c r="AY463" i="3"/>
  <c r="AY478" i="3"/>
  <c r="AY465" i="3"/>
  <c r="AY481" i="3"/>
  <c r="AY310" i="3"/>
  <c r="AY326" i="3"/>
  <c r="AY342" i="3"/>
  <c r="AY311" i="3"/>
  <c r="AY327" i="3"/>
  <c r="AY343" i="3"/>
  <c r="AY358" i="3"/>
  <c r="AY355" i="3"/>
  <c r="AY372" i="3"/>
  <c r="AY379" i="3"/>
  <c r="AY395" i="3"/>
  <c r="AY390" i="3"/>
  <c r="AY217" i="3"/>
  <c r="AY212" i="3"/>
  <c r="AY228" i="3"/>
  <c r="AY244" i="3"/>
  <c r="AY260" i="3"/>
  <c r="AY229" i="3"/>
  <c r="AY245" i="3"/>
  <c r="AY269" i="3"/>
  <c r="AY300" i="3"/>
  <c r="AY116" i="3"/>
  <c r="AY180" i="3"/>
  <c r="AY199" i="3"/>
  <c r="AY26" i="3"/>
  <c r="AY43" i="3"/>
  <c r="AY106" i="3"/>
  <c r="AY526" i="3"/>
  <c r="AY529" i="3"/>
  <c r="AY497" i="3"/>
  <c r="AY409" i="3"/>
  <c r="AY425" i="3"/>
  <c r="AY441" i="3"/>
  <c r="AY412" i="3"/>
  <c r="AY428" i="3"/>
  <c r="AY444" i="3"/>
  <c r="AY460" i="3"/>
  <c r="AY455" i="3"/>
  <c r="AY470" i="3"/>
  <c r="AY486" i="3"/>
  <c r="AY473" i="3"/>
  <c r="AY489" i="3"/>
  <c r="AY318" i="3"/>
  <c r="AY334" i="3"/>
  <c r="AY303" i="3"/>
  <c r="AY319" i="3"/>
  <c r="AY335" i="3"/>
  <c r="AY350" i="3"/>
  <c r="AY366" i="3"/>
  <c r="AY363" i="3"/>
  <c r="AY371" i="3"/>
  <c r="AY387" i="3"/>
  <c r="AY382" i="3"/>
  <c r="AY209" i="3"/>
  <c r="AY225" i="3"/>
  <c r="AY220" i="3"/>
  <c r="AY236" i="3"/>
  <c r="AY252" i="3"/>
  <c r="AY268" i="3"/>
  <c r="AY237" i="3"/>
  <c r="AY253" i="3"/>
  <c r="AY284" i="3"/>
  <c r="AY297" i="3"/>
  <c r="AY147" i="3"/>
  <c r="AY168" i="3"/>
  <c r="AY204" i="3"/>
  <c r="AY58" i="3"/>
  <c r="AY75" i="3"/>
  <c r="AY111" i="3"/>
  <c r="AY261" i="3"/>
  <c r="AY276" i="3"/>
  <c r="AY292" i="3"/>
  <c r="AY281" i="3"/>
  <c r="AY123" i="3"/>
  <c r="AY131" i="3"/>
  <c r="AY163" i="3"/>
  <c r="AY152" i="3"/>
  <c r="AY183" i="3"/>
  <c r="AY188" i="3"/>
  <c r="AY31" i="3"/>
  <c r="AY42" i="3"/>
  <c r="AY74" i="3"/>
  <c r="AY59" i="3"/>
  <c r="AY90" i="3"/>
  <c r="AY95" i="3"/>
  <c r="AY289" i="3"/>
  <c r="AY115" i="3"/>
  <c r="AY132" i="3"/>
  <c r="AY124" i="3"/>
  <c r="AY139" i="3"/>
  <c r="AY155" i="3"/>
  <c r="AY171" i="3"/>
  <c r="AY144" i="3"/>
  <c r="AY160" i="3"/>
  <c r="AY176" i="3"/>
  <c r="AY191" i="3"/>
  <c r="AY207" i="3"/>
  <c r="AY196" i="3"/>
  <c r="AY23" i="3"/>
  <c r="AY18" i="3"/>
  <c r="AY34" i="3"/>
  <c r="AY50" i="3"/>
  <c r="AY66" i="3"/>
  <c r="AY82" i="3"/>
  <c r="AY51" i="3"/>
  <c r="AY67" i="3"/>
  <c r="AY83" i="3"/>
  <c r="AY98" i="3"/>
  <c r="AY87" i="3"/>
  <c r="AY103" i="3"/>
  <c r="L18" i="9"/>
  <c r="B4" i="52"/>
  <c r="B43" i="72"/>
  <c r="K27" i="6"/>
  <c r="E83" i="3"/>
  <c r="E21" i="3"/>
  <c r="E101" i="3"/>
  <c r="E82" i="3"/>
  <c r="E22" i="3"/>
  <c r="E513" i="3"/>
  <c r="E524" i="3"/>
  <c r="E373" i="3"/>
  <c r="E326" i="3"/>
  <c r="E309" i="3"/>
  <c r="E365" i="3"/>
  <c r="E323" i="3"/>
  <c r="E308" i="3"/>
  <c r="E283" i="3"/>
  <c r="E265" i="3"/>
  <c r="E222" i="3"/>
  <c r="E287" i="3"/>
  <c r="E264" i="3"/>
  <c r="E218" i="3"/>
  <c r="E179" i="3"/>
  <c r="E158" i="3"/>
  <c r="E118" i="3"/>
  <c r="E176" i="3"/>
  <c r="E154" i="3"/>
  <c r="E113" i="3"/>
  <c r="E81" i="3"/>
  <c r="E62" i="3"/>
  <c r="E19" i="3"/>
  <c r="E80" i="3"/>
  <c r="E63" i="3"/>
  <c r="E20" i="3"/>
  <c r="E51" i="3"/>
  <c r="E102" i="3"/>
  <c r="E68" i="3"/>
  <c r="E50" i="3"/>
  <c r="E381" i="3"/>
  <c r="E364" i="3"/>
  <c r="E341" i="3"/>
  <c r="E370" i="3"/>
  <c r="E355" i="3"/>
  <c r="E340" i="3"/>
  <c r="E284" i="3"/>
  <c r="E251" i="3"/>
  <c r="E233" i="3"/>
  <c r="E289" i="3"/>
  <c r="E250" i="3"/>
  <c r="E232" i="3"/>
  <c r="E184" i="3"/>
  <c r="E147" i="3"/>
  <c r="E127" i="3"/>
  <c r="E206" i="3"/>
  <c r="E144" i="3"/>
  <c r="E123" i="3"/>
  <c r="E87" i="3"/>
  <c r="E49" i="3"/>
  <c r="E33" i="3"/>
  <c r="E112" i="3"/>
  <c r="E48" i="3"/>
  <c r="E34" i="3"/>
  <c r="E67" i="3"/>
  <c r="E36" i="3"/>
  <c r="E24" i="3"/>
  <c r="E86" i="3"/>
  <c r="E84" i="3"/>
  <c r="E52" i="3"/>
  <c r="E66" i="3"/>
  <c r="E35" i="3"/>
  <c r="E23" i="3"/>
  <c r="E584" i="3"/>
  <c r="E522" i="3"/>
  <c r="E492" i="3"/>
  <c r="E392" i="3"/>
  <c r="E354" i="3"/>
  <c r="E342" i="3"/>
  <c r="E310" i="3"/>
  <c r="E325" i="3"/>
  <c r="E386" i="3"/>
  <c r="E383" i="3"/>
  <c r="E371" i="3"/>
  <c r="E339" i="3"/>
  <c r="E307" i="3"/>
  <c r="E324" i="3"/>
  <c r="E300" i="3"/>
  <c r="E299" i="3"/>
  <c r="E266" i="3"/>
  <c r="E235" i="3"/>
  <c r="E249" i="3"/>
  <c r="E219" i="3"/>
  <c r="E209" i="3"/>
  <c r="E275" i="3"/>
  <c r="E267" i="3"/>
  <c r="E234" i="3"/>
  <c r="E248" i="3"/>
  <c r="E220" i="3"/>
  <c r="E200" i="3"/>
  <c r="E194" i="3"/>
  <c r="E163" i="3"/>
  <c r="E174" i="3"/>
  <c r="E142" i="3"/>
  <c r="E137" i="3"/>
  <c r="E195" i="3"/>
  <c r="E190" i="3"/>
  <c r="E160" i="3"/>
  <c r="E170" i="3"/>
  <c r="E138" i="3"/>
  <c r="E129" i="3"/>
  <c r="E103" i="3"/>
  <c r="E100" i="3"/>
  <c r="E65" i="3"/>
  <c r="E78" i="3"/>
  <c r="E46" i="3"/>
  <c r="E38" i="3"/>
  <c r="E98" i="3"/>
  <c r="E96" i="3"/>
  <c r="E64" i="3"/>
  <c r="E79" i="3"/>
  <c r="E47" i="3"/>
  <c r="E18" i="3"/>
  <c r="E467" i="3"/>
  <c r="E455" i="3"/>
  <c r="E446" i="3"/>
  <c r="E412" i="3"/>
  <c r="E425" i="3"/>
  <c r="E15" i="3"/>
  <c r="E521" i="3"/>
  <c r="E482" i="3"/>
  <c r="E484" i="3"/>
  <c r="E473" i="3"/>
  <c r="E462" i="3"/>
  <c r="E428" i="3"/>
  <c r="E441" i="3"/>
  <c r="E409" i="3"/>
  <c r="E540" i="3"/>
  <c r="E488" i="3"/>
  <c r="E480" i="3"/>
  <c r="E75" i="3"/>
  <c r="E59" i="3"/>
  <c r="E43" i="3"/>
  <c r="E29" i="3"/>
  <c r="E32" i="3"/>
  <c r="E110" i="3"/>
  <c r="E94" i="3"/>
  <c r="E109" i="3"/>
  <c r="E93" i="3"/>
  <c r="E76" i="3"/>
  <c r="E60" i="3"/>
  <c r="E44" i="3"/>
  <c r="E74" i="3"/>
  <c r="E58" i="3"/>
  <c r="E42" i="3"/>
  <c r="E30" i="3"/>
  <c r="E31" i="3"/>
  <c r="E544" i="3"/>
  <c r="E580" i="3"/>
  <c r="E504" i="3"/>
  <c r="E572" i="3"/>
  <c r="E14" i="3"/>
  <c r="E389" i="3"/>
  <c r="E372" i="3"/>
  <c r="E384" i="3"/>
  <c r="E362" i="3"/>
  <c r="E375" i="3"/>
  <c r="E356" i="3"/>
  <c r="E334" i="3"/>
  <c r="E318" i="3"/>
  <c r="E349" i="3"/>
  <c r="E333" i="3"/>
  <c r="E317" i="3"/>
  <c r="E394" i="3"/>
  <c r="E378" i="3"/>
  <c r="E391" i="3"/>
  <c r="E377" i="3"/>
  <c r="E357" i="3"/>
  <c r="E363" i="3"/>
  <c r="E346" i="3"/>
  <c r="E331" i="3"/>
  <c r="E315" i="3"/>
  <c r="E348" i="3"/>
  <c r="E332" i="3"/>
  <c r="E316" i="3"/>
  <c r="E351" i="3"/>
  <c r="E292" i="3"/>
  <c r="E276" i="3"/>
  <c r="E291" i="3"/>
  <c r="E274" i="3"/>
  <c r="E259" i="3"/>
  <c r="E243" i="3"/>
  <c r="E273" i="3"/>
  <c r="E257" i="3"/>
  <c r="E241" i="3"/>
  <c r="E226" i="3"/>
  <c r="E210" i="3"/>
  <c r="E214" i="3"/>
  <c r="E297" i="3"/>
  <c r="E281" i="3"/>
  <c r="E295" i="3"/>
  <c r="E279" i="3"/>
  <c r="E258" i="3"/>
  <c r="E242" i="3"/>
  <c r="E272" i="3"/>
  <c r="E256" i="3"/>
  <c r="E240" i="3"/>
  <c r="E225" i="3"/>
  <c r="E211" i="3"/>
  <c r="E208" i="3"/>
  <c r="E192" i="3"/>
  <c r="E202" i="3"/>
  <c r="E186" i="3"/>
  <c r="E171" i="3"/>
  <c r="E155" i="3"/>
  <c r="E139" i="3"/>
  <c r="E166" i="3"/>
  <c r="E150" i="3"/>
  <c r="E132" i="3"/>
  <c r="E119" i="3"/>
  <c r="E126" i="3"/>
  <c r="E203" i="3"/>
  <c r="E187" i="3"/>
  <c r="E198" i="3"/>
  <c r="E182" i="3"/>
  <c r="E168" i="3"/>
  <c r="E152" i="3"/>
  <c r="E178" i="3"/>
  <c r="E162" i="3"/>
  <c r="E146" i="3"/>
  <c r="E131" i="3"/>
  <c r="E115" i="3"/>
  <c r="E121" i="3"/>
  <c r="E111" i="3"/>
  <c r="E95" i="3"/>
  <c r="E108" i="3"/>
  <c r="E92" i="3"/>
  <c r="E73" i="3"/>
  <c r="E57" i="3"/>
  <c r="E41" i="3"/>
  <c r="E70" i="3"/>
  <c r="E54" i="3"/>
  <c r="E37" i="3"/>
  <c r="E25" i="3"/>
  <c r="E27" i="3"/>
  <c r="E106" i="3"/>
  <c r="E90" i="3"/>
  <c r="E104" i="3"/>
  <c r="E88" i="3"/>
  <c r="E72" i="3"/>
  <c r="E56" i="3"/>
  <c r="E40" i="3"/>
  <c r="E71" i="3"/>
  <c r="E55" i="3"/>
  <c r="E39" i="3"/>
  <c r="E26" i="3"/>
  <c r="E28" i="3"/>
  <c r="E475" i="3"/>
  <c r="E479" i="3"/>
  <c r="E463" i="3"/>
  <c r="E447" i="3"/>
  <c r="E454" i="3"/>
  <c r="E436" i="3"/>
  <c r="E420" i="3"/>
  <c r="E404" i="3"/>
  <c r="E433" i="3"/>
  <c r="E417" i="3"/>
  <c r="E401" i="3"/>
  <c r="E546" i="3"/>
  <c r="E496" i="3"/>
  <c r="E520" i="3"/>
  <c r="E470" i="3"/>
  <c r="E489" i="3"/>
  <c r="E471" i="3"/>
  <c r="E491" i="3"/>
  <c r="E483" i="3"/>
  <c r="E476" i="3"/>
  <c r="E468" i="3"/>
  <c r="E460" i="3"/>
  <c r="E452" i="3"/>
  <c r="E444" i="3"/>
  <c r="E450" i="3"/>
  <c r="E435" i="3"/>
  <c r="E419" i="3"/>
  <c r="E403" i="3"/>
  <c r="E429" i="3"/>
  <c r="E413" i="3"/>
  <c r="E494" i="3"/>
  <c r="E531" i="3"/>
  <c r="E537" i="3"/>
  <c r="E517" i="3"/>
  <c r="E498" i="3"/>
  <c r="E577" i="3"/>
  <c r="E582" i="3"/>
  <c r="E13" i="3"/>
  <c r="E581" i="3"/>
  <c r="E571" i="3"/>
  <c r="E554" i="3"/>
  <c r="E547" i="3"/>
  <c r="E500" i="3"/>
  <c r="E497" i="3"/>
  <c r="E557" i="3"/>
  <c r="E505" i="3"/>
  <c r="E587" i="3"/>
  <c r="E566" i="3"/>
  <c r="E556" i="3"/>
  <c r="E558" i="3"/>
  <c r="E562" i="3"/>
  <c r="I3" i="6"/>
  <c r="E376" i="3"/>
  <c r="E367" i="3"/>
  <c r="E344" i="3"/>
  <c r="E374" i="3"/>
  <c r="E360" i="3"/>
  <c r="E345" i="3"/>
  <c r="E288" i="3"/>
  <c r="E255" i="3"/>
  <c r="E490" i="3"/>
  <c r="E477" i="3"/>
  <c r="E465" i="3"/>
  <c r="E459" i="3"/>
  <c r="E451" i="3"/>
  <c r="E443" i="3"/>
  <c r="E457" i="3"/>
  <c r="E449" i="3"/>
  <c r="E440" i="3"/>
  <c r="E432" i="3"/>
  <c r="E424" i="3"/>
  <c r="E416" i="3"/>
  <c r="E408" i="3"/>
  <c r="E400" i="3"/>
  <c r="E438" i="3"/>
  <c r="E430" i="3"/>
  <c r="E422" i="3"/>
  <c r="E414" i="3"/>
  <c r="E406" i="3"/>
  <c r="E398" i="3"/>
  <c r="E512" i="3"/>
  <c r="E527" i="3"/>
  <c r="E541" i="3"/>
  <c r="E507" i="3"/>
  <c r="E548" i="3"/>
  <c r="E481" i="3"/>
  <c r="E487" i="3"/>
  <c r="E469" i="3"/>
  <c r="E485" i="3"/>
  <c r="E474" i="3"/>
  <c r="E466" i="3"/>
  <c r="E486" i="3"/>
  <c r="E478" i="3"/>
  <c r="E472" i="3"/>
  <c r="E464" i="3"/>
  <c r="E456" i="3"/>
  <c r="E448" i="3"/>
  <c r="E458" i="3"/>
  <c r="E442" i="3"/>
  <c r="E427" i="3"/>
  <c r="E411" i="3"/>
  <c r="E437" i="3"/>
  <c r="E421" i="3"/>
  <c r="E405" i="3"/>
  <c r="E529" i="3"/>
  <c r="E502" i="3"/>
  <c r="E543" i="3"/>
  <c r="E515" i="3"/>
  <c r="E560" i="3"/>
  <c r="E552" i="3"/>
  <c r="E573" i="3"/>
  <c r="E564" i="3"/>
  <c r="E542" i="3"/>
  <c r="E534" i="3"/>
  <c r="E532" i="3"/>
  <c r="E499" i="3"/>
  <c r="E493" i="3"/>
  <c r="E585" i="3"/>
  <c r="E525" i="3"/>
  <c r="E576" i="3"/>
  <c r="E519" i="3"/>
  <c r="E575" i="3"/>
  <c r="E393" i="3"/>
  <c r="E379" i="3"/>
  <c r="E330" i="3"/>
  <c r="E312" i="3"/>
  <c r="E369" i="3"/>
  <c r="E327" i="3"/>
  <c r="E313" i="3"/>
  <c r="E286" i="3"/>
  <c r="E105" i="3"/>
  <c r="E107" i="3"/>
  <c r="E133" i="3"/>
  <c r="E141" i="3"/>
  <c r="E173" i="3"/>
  <c r="E164" i="3"/>
  <c r="E193" i="3"/>
  <c r="E199" i="3"/>
  <c r="E116" i="3"/>
  <c r="E145" i="3"/>
  <c r="E177" i="3"/>
  <c r="E167" i="3"/>
  <c r="E197" i="3"/>
  <c r="E204" i="3"/>
  <c r="E224" i="3"/>
  <c r="E253" i="3"/>
  <c r="E238" i="3"/>
  <c r="E271" i="3"/>
  <c r="E277" i="3"/>
  <c r="E212" i="3"/>
  <c r="E223" i="3"/>
  <c r="E252" i="3"/>
  <c r="E45" i="3"/>
  <c r="E77" i="3"/>
  <c r="E85" i="3"/>
  <c r="E207" i="3"/>
  <c r="E120" i="3"/>
  <c r="E149" i="3"/>
  <c r="E140" i="3"/>
  <c r="L101" i="43"/>
  <c r="L103" i="43"/>
  <c r="L104" i="43"/>
  <c r="L107" i="43"/>
  <c r="L105" i="43"/>
  <c r="L106" i="43"/>
  <c r="L102" i="43"/>
  <c r="I101" i="43"/>
  <c r="I105" i="43"/>
  <c r="I103" i="43"/>
  <c r="I107" i="43"/>
  <c r="I106" i="43"/>
  <c r="I104" i="43"/>
  <c r="I102" i="43"/>
  <c r="H101" i="43"/>
  <c r="H109" i="43"/>
  <c r="E101" i="43"/>
  <c r="E109" i="43"/>
  <c r="H105" i="43"/>
  <c r="H104" i="43"/>
  <c r="H106" i="43"/>
  <c r="H103" i="43"/>
  <c r="H107" i="43"/>
  <c r="H102" i="43"/>
  <c r="M101" i="43"/>
  <c r="M105" i="43"/>
  <c r="M103" i="43"/>
  <c r="M107" i="43"/>
  <c r="M106" i="43"/>
  <c r="M104" i="43"/>
  <c r="M102" i="43"/>
  <c r="E105" i="43"/>
  <c r="E103" i="43"/>
  <c r="E107" i="43"/>
  <c r="E106" i="43"/>
  <c r="E104" i="43"/>
  <c r="E102" i="43"/>
  <c r="E89" i="3"/>
  <c r="E117" i="3"/>
  <c r="E157" i="3"/>
  <c r="E180" i="3"/>
  <c r="E122" i="3"/>
  <c r="E161" i="3"/>
  <c r="E181" i="3"/>
  <c r="E221" i="3"/>
  <c r="E269" i="3"/>
  <c r="E290" i="3"/>
  <c r="E228" i="3"/>
  <c r="E91" i="3"/>
  <c r="E148" i="3"/>
  <c r="E135" i="3"/>
  <c r="E188" i="3"/>
  <c r="E254" i="3"/>
  <c r="E236" i="3"/>
  <c r="E61" i="3"/>
  <c r="E99" i="3"/>
  <c r="E134" i="3"/>
  <c r="E156" i="3"/>
  <c r="E185" i="3"/>
  <c r="E191" i="3"/>
  <c r="E130" i="3"/>
  <c r="E136" i="3"/>
  <c r="E169" i="3"/>
  <c r="E159" i="3"/>
  <c r="E189" i="3"/>
  <c r="E196" i="3"/>
  <c r="E216" i="3"/>
  <c r="E245" i="3"/>
  <c r="E230" i="3"/>
  <c r="E262" i="3"/>
  <c r="E298" i="3"/>
  <c r="E301" i="3"/>
  <c r="E215" i="3"/>
  <c r="E244" i="3"/>
  <c r="E231" i="3"/>
  <c r="E263" i="3"/>
  <c r="E294" i="3"/>
  <c r="E296" i="3"/>
  <c r="E321" i="3"/>
  <c r="E303" i="3"/>
  <c r="E335" i="3"/>
  <c r="E368" i="3"/>
  <c r="E380" i="3"/>
  <c r="E382" i="3"/>
  <c r="E320" i="3"/>
  <c r="E306" i="3"/>
  <c r="E338" i="3"/>
  <c r="E350" i="3"/>
  <c r="E387" i="3"/>
  <c r="E453" i="3"/>
  <c r="E439" i="3"/>
  <c r="E423" i="3"/>
  <c r="E407" i="3"/>
  <c r="E434" i="3"/>
  <c r="E418" i="3"/>
  <c r="E402" i="3"/>
  <c r="E549" i="3"/>
  <c r="E538" i="3"/>
  <c r="E578" i="3"/>
  <c r="E506" i="3"/>
  <c r="E586" i="3"/>
  <c r="E536" i="3"/>
  <c r="E561" i="3"/>
  <c r="E551" i="3"/>
  <c r="E16" i="3"/>
  <c r="E523" i="3"/>
  <c r="E570" i="3"/>
  <c r="E518" i="3"/>
  <c r="E559" i="3"/>
  <c r="E511" i="3"/>
  <c r="E495" i="3"/>
  <c r="E514" i="3"/>
  <c r="E568" i="3"/>
  <c r="E533" i="3"/>
  <c r="E385" i="3"/>
  <c r="E358" i="3"/>
  <c r="E314" i="3"/>
  <c r="E390" i="3"/>
  <c r="E353" i="3"/>
  <c r="E311" i="3"/>
  <c r="E397" i="3"/>
  <c r="E270" i="3"/>
  <c r="E128" i="3"/>
  <c r="E151" i="3"/>
  <c r="E293" i="3"/>
  <c r="E97" i="3"/>
  <c r="E165" i="3"/>
  <c r="E201" i="3"/>
  <c r="E124" i="3"/>
  <c r="E143" i="3"/>
  <c r="E205" i="3"/>
  <c r="E229" i="3"/>
  <c r="E246" i="3"/>
  <c r="E285" i="3"/>
  <c r="E227" i="3"/>
  <c r="E247" i="3"/>
  <c r="E280" i="3"/>
  <c r="E337" i="3"/>
  <c r="E352" i="3"/>
  <c r="E396" i="3"/>
  <c r="E336" i="3"/>
  <c r="E359" i="3"/>
  <c r="E461" i="3"/>
  <c r="E431" i="3"/>
  <c r="E399" i="3"/>
  <c r="E410" i="3"/>
  <c r="E510" i="3"/>
  <c r="E569" i="3"/>
  <c r="E574" i="3"/>
  <c r="E567" i="3"/>
  <c r="E579" i="3"/>
  <c r="E555" i="3"/>
  <c r="E545" i="3"/>
  <c r="E516" i="3"/>
  <c r="E583" i="3"/>
  <c r="E539" i="3"/>
  <c r="E509" i="3"/>
  <c r="E347" i="3"/>
  <c r="E388" i="3"/>
  <c r="E329" i="3"/>
  <c r="E239" i="3"/>
  <c r="J22" i="43"/>
  <c r="E66" i="39"/>
  <c r="E302" i="3"/>
  <c r="E328" i="3"/>
  <c r="E535" i="3"/>
  <c r="E503" i="3"/>
  <c r="E508" i="3"/>
  <c r="E550" i="3"/>
  <c r="E17" i="3"/>
  <c r="E426" i="3"/>
  <c r="E445" i="3"/>
  <c r="E322" i="3"/>
  <c r="E361" i="3"/>
  <c r="E305" i="3"/>
  <c r="E260" i="3"/>
  <c r="E282" i="3"/>
  <c r="E213" i="3"/>
  <c r="E153" i="3"/>
  <c r="E172" i="3"/>
  <c r="E268" i="3"/>
  <c r="E183" i="3"/>
  <c r="E343" i="3"/>
  <c r="E395" i="3"/>
  <c r="E553" i="3"/>
  <c r="E565" i="3"/>
  <c r="E501" i="3"/>
  <c r="E563" i="3"/>
  <c r="E526" i="3"/>
  <c r="E528" i="3"/>
  <c r="E530" i="3"/>
  <c r="E415" i="3"/>
  <c r="E366" i="3"/>
  <c r="E304" i="3"/>
  <c r="E319" i="3"/>
  <c r="E278" i="3"/>
  <c r="E217" i="3"/>
  <c r="E261" i="3"/>
  <c r="E175" i="3"/>
  <c r="E114" i="3"/>
  <c r="E125" i="3"/>
  <c r="E237" i="3"/>
  <c r="E53" i="3"/>
  <c r="E69" i="3"/>
  <c r="E16" i="6"/>
  <c r="N101" i="43"/>
  <c r="N109" i="43"/>
  <c r="G101" i="43"/>
  <c r="G109" i="43"/>
  <c r="Y11" i="43"/>
  <c r="Y13" i="43"/>
  <c r="AA11" i="43"/>
  <c r="AA13" i="43"/>
  <c r="AC11" i="43"/>
  <c r="AC13" i="43"/>
  <c r="AE11" i="43"/>
  <c r="AE13" i="43"/>
  <c r="AG11" i="43"/>
  <c r="AG13" i="43"/>
  <c r="AI11" i="43"/>
  <c r="AI13" i="43"/>
  <c r="Z7" i="43"/>
  <c r="Z11" i="43"/>
  <c r="Z13" i="43"/>
  <c r="AB11" i="43"/>
  <c r="AB13" i="43"/>
  <c r="AD11" i="43"/>
  <c r="AD13" i="43"/>
  <c r="AF11" i="43"/>
  <c r="AF13" i="43"/>
  <c r="AH11" i="43"/>
  <c r="AH13" i="43"/>
  <c r="AJ11" i="43"/>
  <c r="AJ13" i="43"/>
  <c r="F101" i="43"/>
  <c r="F109" i="43"/>
  <c r="K101" i="43"/>
  <c r="K109" i="43"/>
  <c r="J101" i="43"/>
  <c r="J109" i="43"/>
  <c r="N107" i="43"/>
  <c r="N104" i="43"/>
  <c r="J106" i="43"/>
  <c r="F105" i="43"/>
  <c r="F103" i="43"/>
  <c r="K105" i="43"/>
  <c r="K106" i="43"/>
  <c r="G106" i="43"/>
  <c r="E115" i="43"/>
  <c r="F115" i="43"/>
  <c r="G115" i="43"/>
  <c r="H115" i="43"/>
  <c r="I116" i="43"/>
  <c r="J116" i="43"/>
  <c r="K116" i="43"/>
  <c r="L116" i="43"/>
  <c r="M116" i="43"/>
  <c r="I117" i="43"/>
  <c r="J117" i="43"/>
  <c r="K117" i="43"/>
  <c r="L117" i="43"/>
  <c r="M117" i="43"/>
  <c r="G118" i="43"/>
  <c r="H118" i="43"/>
  <c r="E118" i="43"/>
  <c r="F118" i="43"/>
  <c r="E116" i="43"/>
  <c r="F116" i="43"/>
  <c r="G116" i="43"/>
  <c r="H116" i="43"/>
  <c r="I118" i="43"/>
  <c r="J118" i="43"/>
  <c r="K118" i="43"/>
  <c r="L118" i="43"/>
  <c r="M118" i="43"/>
  <c r="G104" i="43"/>
  <c r="G103" i="43"/>
  <c r="G107" i="43"/>
  <c r="K104" i="43"/>
  <c r="K102" i="43"/>
  <c r="K107" i="43"/>
  <c r="F106" i="43"/>
  <c r="F102" i="43"/>
  <c r="F107" i="43"/>
  <c r="J102" i="43"/>
  <c r="J103" i="43"/>
  <c r="J107" i="43"/>
  <c r="N106" i="43"/>
  <c r="N105" i="43"/>
  <c r="N103" i="43"/>
  <c r="I109" i="43"/>
  <c r="M109" i="43"/>
  <c r="L109" i="43"/>
  <c r="H22" i="43"/>
  <c r="G102" i="43"/>
  <c r="I115" i="43"/>
  <c r="J115" i="43"/>
  <c r="K115" i="43"/>
  <c r="L115" i="43"/>
  <c r="M115" i="43"/>
  <c r="J105" i="43"/>
  <c r="E117" i="43"/>
  <c r="F117" i="43"/>
  <c r="G117" i="43"/>
  <c r="H117" i="43"/>
  <c r="N104" i="46"/>
  <c r="J104" i="43"/>
  <c r="G105" i="43"/>
  <c r="N102" i="43"/>
  <c r="F104" i="43"/>
  <c r="K103" i="43"/>
  <c r="F22" i="43"/>
  <c r="H5" i="3"/>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<sst xmlns="http://schemas.openxmlformats.org/spreadsheetml/2006/main" count="7292" uniqueCount="3082">
  <si>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</si>
  <si>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</si>
  <si>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</si>
  <si>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</si>
  <si>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</si>
  <si>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</si>
  <si>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</si>
  <si>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</si>
  <si>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</si>
  <si>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</si>
  <si>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</si>
  <si>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</si>
  <si>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</si>
  <si>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</si>
  <si>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</si>
  <si>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</si>
  <si>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</si>
  <si>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</si>
  <si>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</si>
  <si>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</si>
  <si>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</si>
  <si>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</si>
  <si>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</si>
  <si>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</si>
  <si>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</si>
  <si>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</si>
  <si>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</si>
  <si>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</si>
  <si>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</si>
  <si>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</si>
  <si>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</si>
  <si>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</si>
  <si>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</si>
  <si>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</si>
  <si>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</si>
  <si>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</si>
  <si>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</si>
  <si>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</si>
  <si>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</si>
  <si>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</si>
  <si>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</si>
  <si>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</si>
  <si>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</si>
  <si>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</si>
  <si>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</si>
  <si>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</si>
  <si>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</si>
  <si>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</si>
  <si>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</si>
  <si>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</si>
  <si>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</si>
  <si>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</si>
  <si>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</si>
  <si>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</si>
  <si>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</si>
  <si>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</si>
  <si>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</si>
  <si>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</si>
  <si>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</si>
  <si>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</si>
  <si>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</si>
  <si>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</si>
  <si>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</si>
  <si>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</si>
  <si>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</si>
  <si>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</si>
  <si>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</si>
  <si>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</si>
  <si>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</si>
  <si>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</si>
  <si>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</si>
  <si>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</si>
  <si>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</si>
  <si>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</si>
  <si>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</si>
  <si>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</si>
  <si>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</si>
  <si>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</si>
  <si>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</si>
  <si>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</si>
  <si>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</si>
  <si>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</si>
  <si>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</si>
  <si>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</si>
  <si>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</si>
  <si>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</si>
  <si>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</si>
  <si>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</si>
  <si>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</si>
  <si>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</si>
  <si>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</si>
  <si>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</si>
  <si>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</si>
  <si>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</si>
  <si>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</si>
  <si>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</si>
  <si>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</si>
  <si>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</si>
  <si>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</si>
  <si>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</si>
  <si>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</si>
  <si>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</si>
  <si>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</si>
  <si>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</si>
  <si>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</si>
  <si>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</si>
  <si>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</si>
  <si>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</si>
  <si>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</si>
  <si>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</si>
  <si>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</si>
  <si>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</si>
  <si>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</si>
  <si>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</si>
  <si>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</si>
  <si>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</si>
  <si>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</si>
  <si>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</si>
  <si>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</si>
  <si>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</si>
  <si>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</si>
  <si>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</si>
  <si>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</si>
  <si>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</si>
  <si>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</si>
  <si>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</si>
  <si>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</si>
  <si>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</si>
  <si>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</si>
  <si>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</si>
  <si>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</si>
  <si>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</si>
  <si>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</si>
  <si>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</si>
  <si>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</si>
  <si>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</si>
  <si>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</si>
  <si>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</si>
  <si>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</si>
  <si>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</si>
  <si>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</si>
  <si>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</si>
  <si>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</si>
  <si>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</si>
  <si>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</si>
  <si>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</si>
  <si>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</si>
  <si>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</si>
  <si>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</si>
  <si>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</si>
  <si>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</si>
  <si>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</si>
  <si>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</si>
  <si>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</si>
  <si>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</si>
  <si>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</si>
  <si>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</si>
  <si>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</si>
  <si>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</si>
  <si>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</si>
  <si>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</si>
  <si>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</si>
  <si>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</si>
  <si>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</si>
  <si>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</si>
  <si>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</si>
  <si>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</si>
  <si>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</si>
  <si>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</si>
  <si>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</si>
  <si>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</si>
  <si>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</si>
  <si>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</si>
  <si>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</si>
  <si>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</si>
  <si>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</si>
  <si>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</si>
  <si>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</si>
  <si>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</si>
  <si>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</si>
  <si>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</si>
  <si>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</si>
  <si>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</si>
  <si>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</si>
  <si>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</si>
  <si>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</si>
  <si>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</si>
  <si>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</si>
  <si>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</si>
  <si>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</si>
  <si>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</si>
  <si>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</si>
  <si>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</si>
  <si>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</si>
  <si>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</si>
  <si>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</si>
  <si>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</si>
  <si>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</si>
  <si>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</si>
  <si>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</si>
  <si>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</si>
  <si>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</si>
  <si>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</si>
  <si>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</si>
  <si>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</si>
  <si>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</si>
  <si>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</si>
  <si>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</si>
  <si>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</si>
  <si>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</si>
  <si>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</si>
  <si>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</si>
  <si>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</si>
  <si>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</si>
  <si>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</si>
  <si>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</si>
  <si>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</si>
  <si>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</si>
  <si>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</si>
  <si>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</si>
  <si>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</si>
  <si>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</si>
  <si>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</si>
  <si>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</si>
  <si>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</si>
  <si>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</si>
  <si>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</si>
  <si>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</si>
  <si>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</si>
  <si>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</si>
  <si>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</si>
  <si>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</si>
  <si>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</si>
  <si>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</si>
  <si>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</si>
  <si>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</si>
  <si>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</si>
  <si>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</si>
  <si>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</si>
  <si>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</si>
  <si>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</si>
  <si>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</si>
  <si>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</si>
  <si>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</si>
  <si>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</si>
  <si>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</si>
  <si>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</si>
  <si>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</si>
  <si>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</si>
  <si>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</si>
  <si>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</si>
  <si>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</si>
  <si>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</si>
  <si>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</si>
  <si>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</si>
  <si>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</si>
  <si>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</si>
  <si>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</si>
  <si>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</si>
  <si>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</si>
  <si>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</si>
  <si>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</si>
  <si>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</si>
  <si>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</si>
  <si>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</si>
  <si>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</si>
  <si>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</si>
  <si>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</si>
  <si>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</si>
  <si>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</si>
  <si>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</si>
  <si>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</si>
  <si>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</si>
  <si>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</si>
  <si>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</si>
  <si>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</si>
  <si>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</si>
  <si>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</si>
  <si>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</si>
  <si>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</si>
  <si>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</si>
  <si>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</si>
  <si>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</si>
  <si>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</si>
  <si>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</si>
  <si>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</si>
  <si>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</si>
  <si>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</si>
  <si>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</si>
  <si>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</si>
  <si>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</si>
  <si>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</si>
  <si>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</si>
  <si>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</si>
  <si>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</si>
  <si>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</si>
  <si>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</si>
  <si>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</si>
  <si>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</si>
  <si>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</si>
  <si>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</si>
  <si>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</si>
  <si>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</si>
  <si>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</si>
  <si>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</si>
  <si>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</si>
  <si>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</si>
  <si>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</si>
  <si>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</si>
  <si>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</si>
  <si>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</si>
  <si>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</si>
  <si>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</si>
  <si>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</si>
  <si>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</si>
  <si>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</si>
  <si>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</si>
  <si>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</si>
  <si>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</si>
  <si>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</si>
  <si>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</si>
  <si>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</si>
  <si>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</si>
  <si>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</si>
  <si>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</si>
  <si>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</si>
  <si>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</si>
  <si>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</si>
  <si>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</si>
  <si>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</si>
  <si>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</si>
  <si>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</si>
  <si>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</si>
  <si>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</si>
  <si>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</si>
  <si>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</si>
  <si>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</si>
  <si>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</si>
  <si>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</si>
  <si>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</si>
  <si>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</si>
  <si>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</si>
  <si>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</si>
  <si>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</si>
  <si>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</si>
  <si>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</si>
  <si>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</si>
  <si>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</si>
  <si>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</si>
  <si>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</si>
  <si>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</si>
  <si>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</si>
  <si>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</si>
  <si>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</si>
  <si>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</si>
  <si>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</si>
  <si>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</si>
  <si>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</si>
  <si>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</si>
  <si>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</si>
  <si>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</si>
  <si>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</si>
  <si>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</si>
  <si>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</si>
  <si>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</si>
  <si>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</si>
  <si>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</si>
  <si>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</si>
  <si>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</si>
  <si>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</si>
  <si>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</si>
  <si>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</si>
  <si>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</si>
  <si>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</si>
  <si>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</si>
  <si>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</si>
  <si>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</si>
  <si>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</si>
  <si>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</si>
  <si>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</si>
  <si>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</si>
  <si>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</si>
  <si>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</si>
  <si>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</si>
  <si>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</si>
  <si>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</si>
  <si>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</si>
  <si>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</si>
  <si>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</si>
  <si>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</si>
  <si>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</si>
  <si>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</si>
  <si>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</si>
  <si>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</si>
  <si>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</si>
  <si>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</si>
  <si>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</si>
  <si>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</si>
  <si>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</si>
  <si>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</si>
  <si>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</si>
  <si>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</si>
  <si>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</si>
  <si>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</si>
  <si>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</si>
  <si>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</si>
  <si>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</si>
  <si>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</si>
  <si>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</si>
  <si>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</si>
  <si>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</si>
  <si>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</si>
  <si>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</si>
  <si>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</si>
  <si>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</si>
  <si>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</si>
  <si>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</si>
  <si>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</si>
  <si>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</si>
  <si>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</si>
  <si>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</si>
  <si>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</si>
  <si>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</si>
  <si>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</si>
  <si>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</si>
  <si>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</si>
  <si>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</si>
  <si>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</si>
  <si>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</si>
  <si>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</si>
  <si>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</si>
  <si>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</si>
  <si>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</si>
  <si>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</si>
  <si>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</si>
  <si>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</si>
  <si>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</si>
  <si>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</si>
  <si>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</si>
  <si>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</si>
  <si>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</si>
  <si>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</si>
  <si>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</si>
  <si>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</si>
  <si>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</si>
  <si>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</si>
  <si>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</si>
  <si>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</si>
  <si>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</si>
  <si>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</si>
  <si>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</si>
  <si>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</si>
  <si>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</si>
  <si>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</si>
  <si>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</si>
  <si>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</si>
  <si>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</si>
  <si>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</si>
  <si>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</si>
  <si>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</si>
  <si>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</si>
  <si>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</si>
  <si>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</si>
  <si>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</si>
  <si>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</si>
  <si>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</si>
  <si>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</si>
  <si>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</si>
  <si>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</si>
  <si>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</si>
  <si>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</si>
  <si>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</si>
  <si>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</si>
  <si>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</si>
  <si>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</si>
  <si>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</si>
  <si>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</si>
  <si>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</si>
  <si>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</si>
  <si>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</si>
  <si>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</si>
  <si>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</si>
  <si>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</si>
  <si>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</si>
  <si>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</si>
  <si>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</si>
  <si>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</si>
  <si>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</si>
  <si>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</si>
  <si>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</si>
  <si>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</si>
  <si>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</si>
  <si>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</si>
  <si>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</si>
  <si>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</si>
  <si>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</si>
  <si>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</si>
  <si>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</si>
  <si>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</si>
  <si>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</si>
  <si>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</si>
  <si>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</si>
  <si>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</si>
  <si>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</si>
  <si>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</si>
  <si>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</si>
  <si>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</si>
  <si>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</si>
  <si>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</si>
  <si>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</si>
  <si>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</si>
  <si>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</si>
  <si>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</si>
  <si>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</si>
  <si>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</si>
  <si>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</si>
  <si>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</si>
  <si>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</si>
  <si>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</si>
  <si>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</si>
  <si>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</si>
  <si>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</si>
  <si>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</si>
  <si>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</si>
  <si>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</si>
  <si>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</si>
  <si>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</si>
  <si>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</si>
  <si>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</si>
  <si>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</si>
  <si>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</si>
  <si>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</si>
  <si>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</si>
  <si>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</si>
  <si>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</si>
  <si>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</si>
  <si>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</si>
  <si>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</si>
  <si>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</si>
  <si>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</si>
  <si>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</si>
  <si>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</si>
  <si>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</si>
  <si>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</si>
  <si>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</si>
  <si>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</si>
  <si>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</si>
  <si>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</si>
  <si>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</si>
  <si>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</si>
  <si>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</si>
  <si>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</si>
  <si>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</si>
  <si>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</si>
  <si>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</si>
  <si>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</si>
  <si>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</si>
  <si>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</si>
  <si>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</si>
  <si>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</si>
  <si>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</si>
  <si>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</si>
  <si>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</si>
  <si>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</si>
  <si>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</si>
  <si>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</si>
  <si>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</si>
  <si>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</si>
  <si>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</si>
  <si>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</si>
  <si>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</si>
  <si>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</si>
  <si>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</si>
  <si>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</si>
  <si>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</si>
  <si>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</si>
  <si>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</si>
  <si>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</si>
  <si>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</si>
  <si>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</si>
  <si>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</si>
  <si>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</si>
  <si>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</si>
  <si>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</si>
  <si>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</si>
  <si>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</si>
  <si>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</si>
  <si>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</si>
  <si>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</si>
  <si>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</si>
  <si>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</si>
  <si>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</si>
  <si>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</si>
  <si>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</si>
  <si>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</si>
  <si>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</si>
  <si>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</si>
  <si>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</si>
  <si>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</si>
  <si>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</si>
  <si>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</si>
  <si>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</si>
  <si>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</si>
  <si>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</si>
  <si>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</si>
  <si>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</si>
  <si>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</si>
  <si>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</si>
  <si>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</si>
  <si>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</si>
  <si>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</si>
  <si>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</si>
  <si>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</si>
  <si>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</si>
  <si>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</si>
  <si>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</si>
  <si>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</si>
  <si>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</si>
  <si>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</si>
  <si>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</si>
  <si>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</si>
  <si>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</si>
  <si>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</si>
  <si>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</si>
  <si>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</si>
  <si>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</si>
  <si>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</si>
  <si>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</si>
  <si>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</si>
  <si>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</si>
  <si>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</si>
  <si>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</si>
  <si>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</si>
  <si>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</si>
  <si>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</si>
  <si>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</si>
  <si>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</si>
  <si>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</si>
  <si>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</si>
  <si>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</si>
  <si>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</si>
  <si>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</si>
  <si>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</si>
  <si>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</si>
  <si>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</si>
  <si>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</si>
  <si>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</si>
  <si>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</si>
  <si>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</si>
  <si>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</si>
  <si>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</si>
  <si>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</si>
  <si>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</si>
  <si>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</si>
  <si>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</si>
  <si>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</si>
  <si>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</si>
  <si>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</si>
  <si>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</si>
  <si>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</si>
  <si>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</si>
  <si>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</si>
  <si>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</si>
  <si>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</si>
  <si>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</si>
  <si>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</si>
  <si>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</si>
  <si>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</si>
  <si>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</si>
  <si>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</si>
  <si>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</si>
  <si>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</si>
  <si>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</si>
  <si>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</si>
  <si>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</si>
  <si>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</si>
  <si>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</si>
  <si>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</si>
  <si>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</si>
  <si>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</si>
  <si>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</si>
  <si>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</si>
  <si>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</si>
  <si>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</si>
  <si>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</si>
  <si>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</si>
  <si>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</si>
  <si>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</si>
  <si>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</si>
  <si>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</si>
  <si>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</si>
  <si>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</si>
  <si>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</si>
  <si>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</si>
  <si>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</si>
  <si>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</si>
  <si>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</si>
  <si>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</si>
  <si>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</si>
  <si>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</si>
  <si>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</si>
  <si>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</si>
  <si>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</si>
  <si>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</si>
  <si>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</si>
  <si>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</si>
  <si>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</si>
  <si>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</si>
  <si>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</si>
  <si>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</si>
  <si>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</si>
  <si>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</si>
  <si>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</si>
  <si>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</si>
  <si>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</si>
  <si>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</si>
  <si>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</si>
  <si>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</si>
  <si>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</si>
  <si>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</si>
  <si>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</si>
  <si>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</si>
  <si>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</si>
  <si>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</si>
  <si>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</si>
  <si>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</si>
  <si>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</si>
  <si>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</si>
  <si>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</si>
  <si>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</si>
  <si>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</si>
  <si>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</si>
  <si>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</si>
  <si>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</si>
  <si>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</si>
  <si>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</si>
  <si>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</si>
  <si>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</si>
  <si>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</si>
  <si>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</si>
  <si>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</si>
  <si>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</si>
  <si>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</si>
  <si>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</si>
  <si>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</si>
  <si>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</si>
  <si>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</si>
  <si>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</si>
  <si>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</si>
  <si>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</si>
  <si>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</si>
  <si>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</si>
  <si>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</si>
  <si>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</si>
  <si>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</si>
  <si>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</si>
  <si>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</si>
  <si>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</si>
  <si>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</si>
  <si>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</si>
  <si>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</si>
  <si>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</si>
  <si>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</si>
  <si>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</si>
  <si>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</si>
  <si>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</si>
  <si>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</si>
  <si>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</si>
  <si>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</si>
  <si>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</si>
  <si>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</si>
  <si>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</si>
  <si>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</si>
  <si>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</si>
  <si>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</si>
  <si>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</si>
  <si>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</si>
  <si>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</si>
  <si>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</si>
  <si>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</si>
  <si>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</si>
  <si>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</si>
  <si>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</si>
  <si>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</si>
  <si>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</si>
  <si>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</si>
  <si>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</si>
  <si>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</si>
  <si>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</si>
  <si>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</si>
  <si>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</si>
  <si>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</si>
  <si>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</si>
  <si>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</si>
  <si>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</si>
  <si>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</si>
  <si>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</si>
  <si>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</si>
  <si>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</si>
  <si>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</si>
  <si>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</si>
  <si>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</si>
  <si>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</si>
  <si>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</si>
  <si>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</si>
  <si>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</si>
  <si>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</si>
  <si>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</si>
  <si>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</si>
  <si>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</si>
  <si>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</si>
  <si>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</si>
  <si>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</si>
  <si>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</si>
  <si>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</si>
  <si>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</si>
  <si>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</si>
  <si>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</si>
  <si>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</si>
  <si>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</si>
  <si>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</si>
  <si>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</si>
  <si>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</si>
  <si>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</si>
  <si>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</si>
  <si>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</si>
  <si>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</si>
  <si>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</si>
  <si>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</si>
  <si>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</si>
  <si>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</si>
  <si>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</si>
  <si>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</si>
  <si>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</si>
  <si>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</si>
  <si>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</si>
  <si>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</si>
  <si>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</si>
  <si>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</si>
  <si>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</si>
  <si>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</si>
  <si>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</si>
  <si>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</si>
  <si>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</si>
  <si>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</si>
  <si>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</si>
  <si>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</si>
  <si>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</si>
  <si>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</si>
  <si>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</si>
  <si>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</si>
  <si>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</si>
  <si>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</si>
  <si>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</si>
  <si>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</si>
  <si>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</si>
  <si>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</si>
  <si>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</si>
  <si>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</si>
  <si>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</si>
  <si>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</si>
  <si>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</si>
  <si>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</si>
  <si>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</si>
  <si>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</si>
  <si>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</si>
  <si>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</si>
  <si>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</si>
  <si>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</si>
  <si>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</si>
  <si>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</si>
  <si>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</si>
  <si>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</si>
  <si>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</si>
  <si>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</si>
  <si>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</si>
  <si>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</si>
  <si>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</si>
  <si>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</si>
  <si>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</si>
  <si>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</si>
  <si>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</si>
  <si>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</si>
  <si>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</si>
  <si>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</si>
  <si>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</si>
  <si>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</si>
  <si>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</si>
  <si>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</si>
  <si>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</si>
  <si>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</si>
  <si>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</si>
  <si>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</si>
  <si>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</si>
  <si>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</si>
  <si>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</si>
  <si>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</si>
  <si>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</si>
  <si>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</si>
  <si>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</si>
  <si>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</si>
  <si>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</si>
  <si>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</si>
  <si>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</si>
  <si>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</si>
  <si>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</si>
  <si>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</si>
  <si>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</si>
  <si>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</si>
  <si>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</si>
  <si>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</si>
  <si>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</si>
  <si>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</si>
  <si>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</si>
  <si>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</si>
  <si>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</si>
  <si>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</si>
  <si>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</si>
  <si>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</si>
  <si>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</si>
  <si>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</si>
  <si>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</si>
  <si>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</si>
  <si>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</si>
  <si>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</si>
  <si>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</si>
  <si>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</si>
  <si>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</si>
  <si>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</si>
  <si>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</si>
  <si>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</si>
  <si>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</si>
  <si>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</si>
  <si>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</si>
  <si>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</si>
  <si>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</si>
  <si>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</si>
  <si>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</si>
  <si>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</si>
  <si>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</si>
  <si>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</si>
  <si>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</si>
  <si>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</si>
  <si>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</si>
  <si>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</si>
  <si>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</si>
  <si>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</si>
  <si>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</si>
  <si>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</si>
  <si>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</si>
  <si>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</si>
  <si>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</si>
  <si>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</si>
  <si>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</si>
  <si>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</si>
  <si>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</si>
  <si>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</si>
  <si>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</si>
  <si>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</si>
  <si>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</si>
  <si>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</si>
  <si>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</si>
  <si>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</si>
  <si>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</si>
  <si>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</si>
  <si>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</si>
  <si>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</si>
  <si>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</si>
  <si>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</si>
  <si>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</si>
  <si>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</si>
  <si>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</si>
  <si>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</si>
  <si>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</si>
  <si>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</si>
  <si>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</si>
  <si>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</si>
  <si>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</si>
  <si>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</si>
  <si>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</si>
  <si>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</si>
  <si>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</si>
  <si>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</si>
  <si>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</si>
  <si>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</si>
  <si>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</si>
  <si>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</si>
  <si>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</si>
  <si>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</si>
  <si>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</si>
  <si>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</si>
  <si>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</si>
  <si>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</si>
  <si>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</si>
  <si>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</si>
  <si>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</si>
  <si>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</si>
  <si>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</si>
  <si>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</si>
  <si>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</si>
  <si>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</si>
  <si>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</si>
  <si>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</si>
  <si>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</si>
  <si>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</si>
  <si>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</si>
  <si>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</si>
  <si>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</si>
  <si>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</si>
  <si>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</si>
  <si>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</si>
  <si>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</si>
  <si>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</si>
  <si>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</si>
  <si>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</si>
  <si>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</si>
  <si>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</si>
  <si>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</si>
  <si>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</si>
  <si>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</si>
  <si>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</si>
  <si>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</si>
  <si>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</si>
  <si>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</si>
  <si>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</si>
  <si>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</si>
  <si>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</si>
  <si>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</si>
  <si>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</si>
  <si>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</si>
  <si>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</si>
  <si>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</si>
  <si>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</si>
  <si>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</si>
  <si>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</si>
  <si>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</si>
  <si>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</si>
  <si>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</si>
  <si>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</si>
  <si>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</si>
  <si>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</si>
  <si>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</si>
  <si>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</si>
  <si>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</si>
  <si>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</si>
  <si>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</si>
  <si>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</si>
  <si>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</si>
  <si>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</si>
  <si>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</si>
  <si>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</si>
  <si>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</si>
  <si>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</si>
  <si>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</si>
  <si>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</si>
  <si>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</si>
  <si>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</si>
  <si>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</si>
  <si>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</si>
  <si>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</si>
  <si>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</si>
  <si>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</si>
  <si>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</si>
  <si>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</si>
  <si>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</si>
  <si>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</si>
  <si>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</si>
  <si>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</si>
  <si>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</si>
  <si>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</si>
  <si>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</si>
  <si>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</si>
  <si>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</si>
  <si>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</si>
  <si>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</si>
  <si>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</si>
  <si>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</si>
  <si>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</si>
  <si>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</si>
  <si>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</si>
  <si>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</si>
  <si>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</si>
  <si>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</si>
  <si>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</si>
  <si>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</si>
  <si>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</si>
  <si>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</si>
  <si>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</si>
  <si>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</si>
  <si>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</si>
  <si>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</si>
  <si>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</si>
  <si>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</si>
  <si>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</si>
  <si>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</si>
  <si>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</si>
  <si>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</si>
  <si>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</si>
  <si>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</si>
  <si>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</si>
  <si>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</si>
  <si>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</si>
  <si>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</si>
  <si>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</si>
  <si>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</si>
  <si>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</si>
  <si>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</si>
  <si>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</si>
  <si>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</si>
  <si>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</si>
  <si>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</si>
  <si>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</si>
  <si>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</si>
  <si>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</si>
  <si>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</si>
  <si>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</si>
  <si>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</si>
  <si>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</si>
  <si>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</si>
  <si>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</si>
  <si>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</si>
  <si>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</si>
  <si>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</si>
  <si>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</si>
  <si>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</si>
  <si>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</si>
  <si>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</si>
  <si>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</si>
  <si>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</si>
  <si>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</si>
  <si>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</si>
  <si>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</si>
  <si>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</si>
  <si>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</si>
  <si>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</si>
  <si>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</si>
  <si>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</si>
  <si>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</si>
  <si>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</si>
  <si>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</si>
  <si>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</si>
  <si>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</si>
  <si>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</si>
  <si>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</si>
  <si>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</si>
  <si>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</si>
  <si>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</si>
  <si>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</si>
  <si>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</si>
  <si>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</si>
  <si>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</si>
  <si>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</si>
  <si>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</si>
  <si>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</si>
  <si>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</si>
  <si>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</si>
  <si>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</si>
  <si>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</si>
  <si>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</si>
  <si>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</si>
  <si>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</si>
  <si>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</si>
  <si>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</si>
  <si>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</si>
  <si>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</si>
  <si>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</si>
  <si>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</si>
  <si>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</si>
  <si>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</si>
  <si>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</si>
  <si>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</si>
  <si>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</si>
  <si>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</si>
  <si>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</si>
  <si>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</si>
  <si>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</si>
  <si>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</si>
  <si>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</si>
  <si>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</si>
  <si>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</si>
  <si>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</si>
  <si>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</si>
  <si>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</si>
  <si>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</si>
  <si>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</si>
  <si>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</si>
  <si>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</si>
  <si>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</si>
  <si>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</si>
  <si>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</si>
  <si>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</si>
  <si>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</si>
  <si>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</si>
  <si>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</si>
  <si>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</si>
  <si>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</si>
  <si>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</si>
  <si>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</si>
  <si>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</si>
  <si>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</si>
  <si>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</si>
  <si>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</si>
  <si>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</si>
  <si>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</si>
  <si>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</si>
  <si>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</si>
  <si>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</si>
  <si>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</si>
  <si>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</si>
  <si>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</si>
  <si>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</si>
  <si>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</si>
  <si>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</si>
  <si>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</si>
  <si>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</si>
  <si>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</si>
  <si>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</si>
  <si>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</si>
  <si>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</si>
  <si>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</si>
  <si>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</si>
  <si>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</si>
  <si>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</si>
  <si>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</si>
  <si>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</si>
  <si>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</si>
  <si>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</si>
  <si>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</si>
  <si>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</si>
  <si>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</si>
  <si>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</si>
  <si>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</si>
  <si>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</si>
  <si>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</si>
  <si>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</si>
  <si>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</si>
  <si>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</si>
  <si>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</si>
  <si>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</si>
  <si>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</si>
  <si>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</si>
  <si>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</si>
  <si>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</si>
  <si>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</si>
  <si>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</si>
  <si>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</si>
  <si>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</si>
  <si>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</si>
  <si>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</si>
  <si>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</si>
  <si>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</si>
  <si>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</si>
  <si>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</si>
  <si>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</si>
  <si>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</si>
  <si>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</si>
  <si>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</si>
  <si>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</si>
  <si>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</si>
  <si>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</si>
  <si>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</si>
  <si>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</si>
  <si>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</si>
  <si>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</si>
  <si>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</si>
  <si>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</si>
  <si>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</si>
  <si>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</si>
  <si>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</si>
  <si>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</si>
  <si>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</si>
  <si>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</si>
  <si>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</si>
  <si>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</si>
  <si>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</si>
  <si>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</si>
  <si>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</si>
  <si>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</si>
  <si>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</si>
  <si>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</si>
  <si>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</si>
  <si>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</si>
  <si>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</si>
  <si>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</si>
  <si>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</si>
  <si>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</si>
  <si>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</si>
  <si>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</si>
  <si>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</si>
  <si>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</si>
  <si>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</si>
  <si>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</si>
  <si>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</si>
  <si>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</si>
  <si>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</si>
  <si>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</si>
  <si>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</si>
  <si>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</si>
  <si>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</si>
  <si>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</si>
  <si>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</si>
  <si>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</si>
  <si>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</si>
  <si>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</si>
  <si>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</si>
  <si>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</si>
  <si>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</si>
  <si>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</si>
  <si>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</si>
  <si>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</si>
  <si>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</si>
  <si>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</si>
  <si>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</si>
  <si>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</si>
  <si>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</si>
  <si>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</si>
  <si>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</si>
  <si>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</si>
  <si>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</si>
  <si>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</si>
  <si>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</si>
  <si>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</si>
  <si>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</si>
  <si>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</si>
  <si>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</si>
  <si>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</si>
  <si>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</si>
  <si>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</si>
  <si>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</si>
  <si>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</si>
  <si>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</si>
  <si>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</si>
  <si>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</si>
  <si>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</si>
  <si>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</si>
  <si>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</si>
  <si>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</si>
  <si>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</si>
  <si>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</si>
  <si>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</si>
  <si>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</si>
  <si>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</si>
  <si>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</si>
  <si>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</si>
  <si>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</si>
  <si>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</si>
  <si>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</si>
  <si>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</si>
  <si>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</si>
  <si>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</si>
  <si>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</si>
  <si>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</si>
  <si>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</si>
  <si>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</si>
  <si>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</si>
  <si>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</si>
  <si>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</si>
  <si>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</si>
  <si>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</si>
  <si>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</si>
  <si>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</si>
  <si>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</si>
  <si>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</si>
  <si>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</si>
  <si>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</si>
  <si>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</si>
  <si>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</si>
  <si>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</si>
  <si>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</si>
  <si>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</si>
  <si>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</si>
  <si>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</si>
  <si>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</si>
  <si>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</si>
  <si>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</si>
  <si>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</si>
  <si>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</si>
  <si>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</si>
  <si>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</si>
  <si>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</si>
  <si>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</si>
  <si>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</si>
  <si>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</si>
  <si>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</si>
  <si>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</si>
  <si>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</si>
  <si>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</si>
  <si>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</si>
  <si>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</si>
  <si>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</si>
  <si>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</si>
  <si>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</si>
  <si>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</si>
  <si>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</si>
  <si>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</si>
  <si>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</si>
  <si>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</si>
  <si>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</si>
  <si>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</si>
  <si>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</si>
  <si>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</si>
  <si>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</si>
  <si>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</si>
  <si>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</si>
  <si>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</si>
  <si>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</si>
  <si>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</si>
  <si>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</si>
  <si>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</si>
  <si>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</si>
  <si>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</si>
  <si>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</si>
  <si>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</si>
  <si>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</si>
  <si>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</si>
  <si>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</si>
  <si>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</si>
  <si>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</si>
  <si>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</si>
  <si>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</si>
  <si>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</si>
  <si>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</si>
  <si>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</si>
  <si>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</si>
  <si>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</si>
  <si>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</si>
  <si>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</si>
  <si>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</si>
  <si>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</si>
  <si>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</si>
  <si>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</si>
  <si>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</si>
  <si>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</si>
  <si>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</si>
  <si>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</si>
  <si>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</si>
  <si>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</si>
  <si>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</si>
  <si>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</si>
  <si>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</si>
  <si>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</si>
  <si>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</si>
  <si>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</si>
  <si>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</si>
  <si>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</si>
  <si>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</si>
  <si>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</si>
  <si>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</si>
  <si>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</si>
  <si>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</si>
  <si>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</si>
  <si>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</si>
  <si>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</si>
  <si>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</si>
  <si>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</si>
  <si>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</si>
  <si>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</si>
  <si>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</si>
  <si>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</si>
  <si>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</si>
  <si>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</si>
  <si>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</si>
  <si>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</si>
  <si>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</si>
  <si>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</si>
  <si>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</si>
  <si>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</si>
  <si>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</si>
  <si>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</si>
  <si>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</si>
  <si>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</si>
  <si>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</si>
  <si>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</si>
  <si>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</si>
  <si>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</si>
  <si>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</si>
  <si>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</si>
  <si>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</si>
  <si>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</si>
  <si>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</si>
  <si>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</si>
  <si>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</si>
  <si>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</si>
  <si>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</si>
  <si>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</si>
  <si>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</si>
  <si>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</si>
  <si>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</si>
  <si>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</si>
  <si>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</si>
  <si>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</si>
  <si>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</si>
  <si>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</si>
  <si>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</si>
  <si>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</si>
  <si>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</si>
  <si>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</si>
  <si>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</si>
  <si>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</si>
  <si>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</si>
  <si>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</si>
  <si>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</si>
  <si>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</si>
  <si>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</si>
  <si>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</si>
  <si>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</si>
  <si>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</si>
  <si>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</si>
  <si>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</si>
  <si>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</si>
  <si>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</si>
  <si>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</si>
  <si>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</si>
  <si>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</si>
  <si>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</si>
  <si>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</si>
  <si>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</si>
  <si>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</si>
  <si>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</si>
  <si>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</si>
  <si>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</si>
  <si>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</si>
  <si>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</si>
  <si>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</si>
  <si>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</si>
  <si>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</si>
  <si>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</si>
  <si>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</si>
  <si>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</si>
  <si>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</si>
  <si>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</si>
  <si>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</si>
  <si>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</si>
  <si>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</si>
  <si>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</si>
  <si>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</si>
  <si>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</si>
  <si>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</si>
  <si>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</si>
  <si>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</si>
  <si>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</si>
  <si>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</si>
  <si>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</si>
  <si>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</si>
  <si>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</si>
  <si>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</si>
  <si>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</si>
  <si>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</si>
  <si>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</si>
  <si>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</si>
  <si>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</si>
  <si>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</si>
  <si>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</si>
  <si>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</si>
  <si>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</si>
  <si>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</si>
  <si>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</si>
  <si>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</si>
  <si>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</si>
  <si>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</si>
  <si>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</si>
  <si>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</si>
  <si>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</si>
  <si>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</si>
  <si>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</si>
  <si>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</si>
  <si>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</si>
  <si>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</si>
  <si>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</si>
  <si>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</si>
  <si>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</si>
  <si>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</si>
  <si>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</si>
  <si>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</si>
  <si>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</si>
  <si>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</si>
  <si>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</si>
  <si>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</si>
  <si>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</si>
  <si>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</si>
  <si>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</si>
  <si>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</si>
  <si>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</si>
  <si>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</si>
  <si>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</si>
  <si>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</si>
  <si>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</si>
  <si>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</si>
  <si>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</si>
  <si>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</si>
  <si>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</si>
  <si>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</si>
  <si>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</si>
  <si>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</si>
  <si>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</si>
  <si>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</si>
  <si>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</si>
  <si>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</si>
  <si>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</si>
  <si>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</si>
  <si>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</si>
  <si>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</si>
  <si>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</si>
  <si>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</si>
  <si>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</si>
  <si>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</si>
  <si>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</si>
  <si>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</si>
  <si>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</si>
  <si>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</si>
  <si>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</si>
  <si>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</si>
  <si>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</si>
  <si>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</si>
  <si>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</si>
  <si>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</si>
  <si>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</si>
  <si>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</si>
  <si>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</si>
  <si>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</si>
  <si>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</si>
  <si>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</si>
  <si>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</si>
  <si>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</si>
  <si>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</si>
  <si>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</si>
  <si>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</si>
  <si>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</si>
  <si>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</si>
  <si>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</si>
  <si>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</si>
  <si>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</si>
  <si>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</si>
  <si>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</si>
  <si>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</si>
  <si>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</si>
  <si>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</si>
  <si>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</si>
  <si>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</si>
  <si>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</si>
  <si>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</si>
  <si>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</si>
  <si>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</si>
  <si>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</si>
  <si>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</si>
  <si>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</si>
  <si>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</si>
  <si>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</si>
  <si>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</si>
  <si>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</si>
  <si>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</si>
  <si>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</si>
  <si>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</si>
  <si>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</si>
  <si>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</si>
  <si>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</si>
  <si>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</si>
  <si>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</si>
  <si>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</si>
  <si>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</si>
  <si>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</si>
  <si>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</si>
  <si>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</si>
  <si>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</si>
  <si>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</si>
  <si>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</si>
  <si>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</si>
  <si>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</si>
  <si>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</si>
  <si>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</si>
  <si>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</si>
  <si>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</si>
  <si>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</si>
  <si>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</si>
  <si>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</si>
  <si>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</si>
  <si>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</si>
  <si>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</si>
  <si>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</si>
  <si>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</si>
  <si>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</si>
  <si>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</si>
  <si>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</si>
  <si>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</si>
  <si>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</si>
  <si>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</si>
  <si>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</si>
  <si>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</si>
  <si>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</si>
  <si>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</si>
  <si>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</si>
  <si>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</si>
  <si>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</si>
  <si>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</si>
  <si>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</si>
  <si>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</si>
  <si>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</si>
  <si>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</si>
  <si>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</si>
  <si>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</si>
  <si>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</si>
  <si>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</si>
  <si>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</si>
  <si>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</si>
  <si>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</si>
  <si>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</si>
  <si>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</si>
  <si>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</si>
  <si>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</si>
  <si>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</si>
  <si>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</si>
  <si>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</si>
  <si>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</si>
  <si>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</si>
  <si>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</si>
  <si>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</si>
  <si>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</si>
  <si>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</si>
  <si>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</si>
  <si>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</si>
  <si>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</si>
  <si>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</si>
  <si>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</si>
  <si>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</si>
  <si>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</si>
  <si>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</si>
  <si>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</si>
  <si>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</si>
  <si>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</si>
  <si>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</si>
  <si>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</si>
  <si>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</si>
  <si>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</si>
  <si>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</si>
  <si>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</si>
  <si>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</si>
  <si>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</si>
  <si>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</si>
  <si>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</si>
  <si>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</si>
  <si>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</si>
  <si>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</si>
  <si>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</si>
  <si>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</si>
  <si>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</si>
  <si>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</si>
  <si>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</si>
  <si>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</si>
  <si>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</si>
  <si>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</si>
  <si>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</si>
  <si>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</si>
  <si>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</si>
  <si>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</si>
  <si>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</si>
  <si>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</si>
  <si>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</si>
  <si>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</si>
  <si>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</si>
  <si>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</si>
  <si>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</si>
  <si>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</si>
  <si>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</si>
  <si>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</si>
  <si>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</si>
  <si>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</si>
  <si>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</si>
  <si>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</si>
  <si>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</si>
  <si>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</si>
  <si>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</si>
  <si>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</si>
  <si>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</si>
  <si>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</si>
  <si>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</si>
  <si>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</si>
  <si>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</si>
  <si>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</si>
  <si>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</si>
  <si>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</si>
  <si>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</si>
  <si>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</si>
  <si>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</si>
  <si>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</si>
  <si>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</si>
  <si>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</si>
  <si>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</si>
  <si>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</si>
  <si>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</si>
  <si>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</si>
  <si>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</si>
  <si>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</si>
  <si>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</si>
  <si>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</si>
  <si>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</si>
  <si>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</si>
  <si>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</si>
  <si>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</si>
  <si>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</si>
  <si>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</si>
  <si>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</si>
  <si>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</si>
  <si>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</si>
  <si>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</si>
  <si>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</si>
  <si>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</si>
  <si>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</si>
  <si>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</si>
  <si>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</si>
  <si>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</si>
  <si>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</si>
  <si>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</si>
  <si>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</si>
  <si>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</si>
  <si>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</si>
  <si>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</si>
  <si>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</si>
  <si>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</si>
  <si>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</si>
  <si>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</si>
  <si>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</si>
  <si>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</si>
  <si>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</si>
  <si>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</si>
  <si>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</si>
  <si>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</si>
  <si>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</si>
  <si>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</si>
  <si>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</si>
  <si>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</si>
  <si>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</si>
  <si>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</si>
  <si>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</si>
  <si>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</si>
  <si>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</si>
  <si>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</si>
  <si>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</si>
  <si>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</si>
  <si>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</si>
  <si>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</si>
  <si>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</si>
  <si>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</si>
  <si>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</si>
  <si>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</si>
  <si>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</si>
  <si>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</si>
  <si>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</si>
  <si>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</si>
  <si>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</si>
  <si>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</si>
  <si>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</si>
  <si>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</si>
  <si>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</si>
  <si>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</si>
  <si>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</si>
  <si>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</si>
  <si>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</si>
  <si>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</si>
  <si>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</si>
  <si>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</si>
  <si>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</si>
  <si>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</si>
  <si>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</si>
  <si>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</si>
  <si>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</si>
  <si>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</si>
  <si>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</si>
  <si>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</si>
  <si>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</si>
  <si>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</si>
  <si>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</si>
  <si>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</si>
  <si>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</si>
  <si>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</si>
  <si>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</si>
  <si>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</si>
  <si>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</si>
  <si>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</si>
  <si>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</si>
  <si>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</si>
  <si>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</si>
  <si>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</si>
  <si>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</si>
  <si>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</si>
  <si>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</si>
  <si>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</si>
  <si>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</si>
  <si>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</si>
  <si>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</si>
  <si>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</si>
  <si>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</si>
  <si>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</si>
  <si>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</si>
  <si>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</si>
  <si>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</si>
  <si>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</si>
  <si>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</si>
  <si>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</si>
  <si>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</si>
  <si>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</si>
  <si>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</si>
  <si>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</si>
  <si>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</si>
  <si>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</si>
  <si>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</si>
  <si>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</si>
  <si>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</si>
  <si>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</si>
  <si>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</si>
  <si>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</si>
  <si>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</si>
  <si>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</si>
  <si>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</si>
  <si>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</si>
  <si>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</si>
  <si>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</si>
  <si>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</si>
  <si>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</si>
  <si>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</si>
  <si>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</si>
  <si>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</si>
  <si>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</si>
  <si>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</si>
  <si>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</si>
  <si>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</si>
  <si>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</si>
  <si>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</si>
  <si>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</si>
  <si>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</si>
  <si>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</si>
  <si>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</si>
  <si>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</si>
  <si>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</si>
  <si>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</si>
  <si>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</si>
  <si>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</si>
  <si>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</si>
  <si>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</si>
  <si>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</si>
  <si>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</si>
  <si>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</si>
  <si>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</si>
  <si>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</si>
  <si>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</si>
  <si>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</si>
  <si>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</si>
  <si>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</si>
  <si>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</si>
  <si>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</si>
  <si>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</si>
  <si>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</si>
  <si>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</si>
  <si>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</si>
  <si>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</si>
  <si>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</si>
  <si>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</si>
  <si>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</si>
  <si>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</si>
  <si>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</si>
  <si>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</si>
  <si>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</si>
  <si>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</si>
  <si>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</si>
  <si>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</si>
  <si>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</si>
  <si>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</si>
  <si>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</si>
  <si>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</si>
  <si>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</si>
  <si>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</si>
  <si>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</si>
  <si>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</si>
  <si>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</si>
  <si>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</si>
  <si>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</si>
  <si>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</si>
  <si>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</si>
  <si>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</si>
  <si>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</si>
  <si>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</si>
  <si>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</si>
  <si>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</si>
  <si>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</si>
  <si>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</si>
  <si>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</si>
  <si>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</si>
  <si>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</si>
  <si>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</si>
  <si>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</si>
  <si>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</si>
  <si>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</si>
  <si>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</si>
  <si>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</si>
  <si>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</si>
  <si>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</si>
  <si>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</si>
  <si>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</si>
  <si>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</si>
  <si>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</si>
  <si>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</si>
  <si>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</si>
  <si>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</si>
  <si>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</si>
  <si>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</si>
  <si>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</si>
  <si>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</si>
  <si>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</si>
  <si>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</si>
  <si>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</si>
  <si>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</si>
  <si>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</si>
  <si>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</si>
  <si>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</si>
  <si>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</si>
  <si>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</si>
  <si>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</si>
  <si>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</si>
  <si>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</si>
  <si>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</si>
  <si>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</si>
  <si>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</si>
  <si>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</si>
  <si>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</si>
  <si>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</si>
  <si>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</si>
  <si>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</si>
  <si>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</si>
  <si>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</si>
  <si>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</si>
  <si>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</si>
  <si>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</si>
  <si>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</si>
  <si>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</si>
  <si>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</si>
  <si>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</si>
  <si>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</si>
  <si>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</si>
  <si>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</si>
  <si>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</si>
  <si>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</si>
  <si>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</si>
  <si>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</si>
  <si>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</si>
  <si>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</si>
  <si>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</si>
  <si>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</si>
  <si>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</si>
  <si>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</si>
  <si>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</si>
  <si>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</si>
  <si>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</si>
  <si>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</si>
  <si>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</si>
  <si>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</si>
  <si>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</si>
  <si>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</si>
  <si>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</si>
  <si>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</si>
  <si>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</si>
  <si>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</si>
  <si>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</si>
  <si>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</si>
  <si>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</si>
  <si>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</si>
  <si>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</si>
  <si>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</si>
  <si>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</si>
  <si>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</si>
  <si>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</si>
  <si>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</si>
  <si>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</si>
  <si>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</si>
  <si>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</si>
  <si>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</si>
  <si>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</si>
  <si>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</si>
  <si>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</si>
  <si>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</si>
  <si>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</si>
  <si>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</si>
  <si>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</si>
  <si>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</si>
  <si>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</si>
  <si>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</si>
  <si>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</si>
  <si>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</si>
  <si>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</si>
  <si>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</si>
  <si>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</si>
  <si>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</si>
  <si>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</si>
  <si>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</si>
  <si>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</si>
  <si>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</si>
  <si>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</si>
  <si>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</si>
  <si>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</si>
  <si>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</si>
  <si>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</si>
  <si>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</si>
  <si>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</si>
  <si>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</si>
  <si>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</si>
  <si>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</si>
  <si>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</si>
  <si>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</si>
  <si>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</si>
  <si>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</si>
  <si>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</si>
  <si>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</si>
  <si>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</si>
  <si>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</si>
  <si>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</si>
  <si>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</si>
  <si>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</si>
  <si>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</si>
  <si>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</si>
  <si>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</si>
  <si>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</si>
  <si>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</si>
  <si>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</si>
  <si>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</si>
  <si>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</si>
  <si>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</si>
  <si>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</si>
  <si>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</si>
  <si>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</si>
  <si>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</si>
  <si>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</si>
  <si>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</si>
  <si>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</si>
  <si>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</si>
  <si>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</si>
  <si>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</si>
  <si>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</si>
  <si>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</si>
  <si>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</si>
  <si>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</si>
  <si>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</si>
  <si>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</si>
  <si>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</si>
  <si>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</si>
  <si>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</si>
  <si>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</si>
  <si>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</si>
  <si>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</si>
  <si>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</si>
  <si>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</si>
  <si>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</si>
  <si>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</si>
  <si>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</si>
  <si>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</si>
  <si>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</si>
  <si>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</si>
  <si>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</si>
  <si>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</si>
  <si>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</si>
  <si>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</si>
  <si>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</si>
  <si>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</si>
  <si>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</si>
  <si>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</si>
  <si>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</si>
  <si>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</si>
  <si>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</si>
  <si>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</si>
  <si>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</si>
  <si>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</si>
  <si>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</si>
  <si>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</si>
  <si>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</si>
  <si>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</si>
  <si>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</si>
  <si>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</si>
  <si>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</si>
  <si>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</si>
  <si>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</si>
  <si>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</si>
  <si>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</si>
  <si>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</si>
  <si>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</si>
  <si>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</si>
  <si>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</si>
  <si>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</si>
  <si>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</si>
  <si>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</si>
  <si>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</si>
  <si>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</si>
  <si>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</si>
  <si>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</si>
  <si>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</si>
  <si>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</si>
  <si>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</si>
  <si>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</si>
  <si>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</si>
  <si>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</si>
  <si>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</si>
  <si>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</si>
  <si>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</si>
  <si>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</si>
  <si>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</si>
  <si>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</si>
  <si>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</si>
  <si>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</si>
  <si>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</si>
  <si>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</si>
  <si>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</si>
  <si>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</si>
  <si>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</si>
  <si>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</si>
  <si>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</si>
  <si>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</si>
  <si>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</si>
  <si>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</si>
  <si>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</si>
  <si>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</si>
  <si>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</si>
  <si>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</si>
  <si>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</si>
  <si>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</si>
  <si>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</si>
  <si>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</si>
  <si>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</si>
  <si>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</si>
  <si>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</si>
  <si>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</si>
  <si>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</si>
  <si>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</si>
  <si>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</si>
  <si>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</si>
  <si>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</si>
  <si>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</si>
  <si>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</si>
  <si>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</si>
  <si>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</si>
  <si>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</si>
  <si>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</si>
  <si>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</si>
  <si>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</si>
  <si>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</si>
  <si>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</si>
  <si>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</si>
  <si>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</si>
  <si>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</si>
  <si>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</si>
  <si>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</si>
  <si>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</si>
  <si>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</si>
  <si>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</si>
  <si>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</si>
  <si>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</si>
  <si>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</si>
  <si>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</si>
  <si>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</si>
  <si>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</si>
  <si>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</si>
  <si>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</si>
  <si>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</si>
  <si>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</si>
  <si>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</si>
  <si>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</si>
  <si>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</si>
  <si>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</si>
  <si>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</si>
  <si>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</si>
  <si>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</si>
  <si>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</si>
  <si>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</si>
  <si>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</si>
  <si>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</si>
  <si>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</si>
  <si>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</si>
  <si>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</si>
  <si>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</si>
  <si>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</si>
  <si>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</si>
  <si>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</si>
  <si>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</si>
  <si>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</si>
  <si>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</si>
  <si>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</si>
  <si>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</si>
  <si>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</si>
  <si>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</si>
  <si>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</si>
  <si>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</si>
  <si>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</si>
  <si>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</si>
  <si>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</si>
  <si>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</si>
  <si>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</si>
  <si>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</si>
  <si>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</si>
  <si>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</si>
  <si>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</si>
  <si>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</si>
  <si>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</si>
  <si>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</si>
  <si>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</si>
  <si>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</si>
  <si>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</si>
  <si>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</si>
  <si>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</si>
  <si>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</si>
  <si>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</si>
  <si>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</si>
  <si>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</si>
  <si>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</si>
  <si>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</si>
  <si>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</si>
  <si>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</si>
  <si>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</si>
  <si>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</si>
  <si>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</si>
  <si>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</si>
  <si>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</si>
  <si>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</si>
  <si>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</si>
  <si>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</si>
  <si>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</si>
  <si>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</si>
  <si>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</si>
  <si>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</si>
  <si>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</si>
  <si>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</si>
  <si>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</si>
  <si>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</si>
  <si>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</si>
  <si>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</si>
  <si>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</si>
  <si>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</si>
  <si>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</si>
  <si>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</si>
  <si>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</si>
  <si>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</si>
  <si>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</si>
  <si>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</si>
  <si>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</si>
  <si>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</si>
  <si>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</si>
  <si>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</si>
  <si>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</si>
  <si>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</si>
  <si>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</si>
  <si>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</si>
  <si>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</si>
  <si>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</si>
  <si>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</si>
  <si>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</si>
  <si>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</si>
  <si>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</si>
  <si>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</si>
  <si>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</si>
  <si>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</si>
  <si>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</si>
  <si>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</si>
  <si>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</si>
  <si>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</si>
  <si>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</si>
  <si>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</si>
  <si>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</si>
  <si>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</si>
  <si>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</si>
  <si>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</si>
  <si>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</si>
  <si>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</si>
  <si>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</si>
  <si>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</si>
  <si>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</si>
  <si>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</si>
  <si>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</si>
  <si>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</si>
  <si>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</si>
  <si>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</si>
  <si>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</si>
  <si>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</si>
  <si>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</si>
  <si>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</si>
  <si>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</si>
  <si>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</si>
  <si>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</si>
  <si>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</si>
  <si>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</si>
  <si>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</si>
  <si>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</si>
  <si>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</si>
  <si>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</si>
  <si>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</si>
  <si>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</si>
  <si>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</si>
  <si>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</si>
  <si>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</si>
  <si>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</si>
  <si>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</si>
  <si>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</si>
  <si>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</si>
  <si>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</si>
  <si>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</si>
  <si>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</si>
  <si>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</si>
  <si>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</si>
  <si>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</si>
  <si>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</si>
  <si>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</si>
  <si>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</si>
  <si>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</si>
  <si>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</si>
  <si>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</si>
  <si>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</si>
  <si>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</si>
  <si>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</si>
  <si>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</si>
  <si>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</si>
  <si>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</si>
  <si>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</si>
  <si>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</si>
  <si>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</si>
  <si>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</si>
  <si>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</si>
  <si>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</si>
  <si>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</si>
  <si>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</si>
  <si>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</si>
  <si>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</si>
  <si>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</si>
  <si>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</si>
  <si>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</si>
  <si>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</si>
  <si>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</si>
  <si>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</si>
  <si>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</si>
  <si>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</si>
  <si>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</si>
  <si>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</si>
  <si>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</si>
  <si>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</si>
  <si>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</si>
  <si>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</si>
  <si>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</si>
  <si>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</si>
  <si>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</si>
  <si>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</si>
  <si>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</si>
  <si>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</si>
  <si>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</si>
  <si>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</si>
  <si>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</si>
  <si>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</si>
  <si>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</si>
  <si>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</si>
  <si>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</si>
  <si>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</si>
  <si>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</si>
  <si>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</si>
  <si>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</si>
  <si>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</si>
  <si>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</si>
  <si>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</si>
  <si>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</si>
  <si>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</si>
  <si>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</si>
  <si>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</si>
  <si>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</si>
  <si>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</si>
  <si>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</si>
  <si>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</si>
  <si>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</si>
  <si>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</si>
  <si>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</si>
  <si>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</si>
  <si>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</si>
  <si>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</si>
  <si>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</si>
  <si>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</si>
  <si>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</si>
  <si>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</si>
  <si>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</si>
  <si>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</si>
  <si>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</si>
  <si>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</si>
  <si>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</si>
  <si>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</si>
  <si>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</si>
  <si>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</si>
  <si>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</si>
  <si>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</si>
  <si>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</si>
  <si>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</si>
  <si>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</si>
  <si>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</si>
  <si>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</si>
  <si>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</si>
  <si>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</si>
  <si>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</si>
  <si>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</si>
  <si>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</si>
  <si>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</si>
  <si>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</si>
  <si>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</si>
  <si>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</si>
  <si>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</si>
  <si>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</si>
  <si>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</si>
  <si>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</si>
  <si>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</si>
  <si>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</si>
  <si>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</si>
  <si>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</si>
  <si>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</si>
  <si>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</si>
  <si>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</si>
  <si>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</si>
  <si>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</si>
  <si>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</si>
  <si>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</si>
  <si>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</si>
  <si>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</si>
  <si>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</si>
  <si>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</si>
  <si>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</si>
  <si>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</si>
  <si>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</si>
  <si>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</si>
  <si>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</si>
  <si>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</si>
  <si>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</si>
  <si>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</si>
  <si>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</si>
  <si>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</si>
  <si>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</si>
  <si>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</si>
  <si>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</si>
  <si>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</si>
  <si>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</si>
  <si>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</si>
  <si>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</si>
  <si>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</si>
  <si>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</si>
  <si>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</si>
  <si>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</si>
  <si>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</si>
  <si>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</si>
  <si>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</si>
  <si>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</si>
  <si>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</si>
  <si>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</si>
  <si>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</si>
  <si>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</si>
  <si>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</si>
  <si>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</si>
  <si>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</si>
  <si>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</si>
  <si>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</si>
  <si>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</si>
  <si>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</si>
  <si>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</si>
  <si>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</si>
  <si>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</si>
  <si>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</si>
  <si>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</si>
  <si>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</si>
  <si>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</si>
  <si>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</si>
  <si>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</si>
  <si>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</si>
  <si>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</si>
  <si>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</si>
  <si>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</si>
  <si>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</si>
  <si>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</si>
  <si>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</si>
  <si>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</si>
  <si>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</si>
  <si>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</si>
  <si>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</si>
  <si>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</si>
  <si>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</si>
  <si>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</si>
  <si>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</si>
  <si>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</si>
  <si>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</si>
  <si>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</si>
  <si>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</si>
  <si>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</si>
  <si>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</si>
  <si>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</si>
  <si>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</si>
  <si>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</si>
  <si>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</si>
  <si>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</si>
  <si>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</si>
  <si>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</si>
  <si>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</si>
  <si>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</si>
  <si>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</si>
  <si>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</si>
  <si>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</si>
  <si>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</si>
  <si>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</si>
  <si>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</si>
  <si>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</si>
  <si>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</si>
  <si>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</si>
  <si>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</si>
  <si>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</si>
  <si>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</si>
  <si>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</si>
  <si>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</si>
  <si>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</si>
  <si>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</si>
  <si>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</si>
  <si>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</si>
  <si>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</si>
  <si>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</si>
  <si>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</si>
  <si>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</si>
  <si>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</si>
  <si>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</si>
  <si>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</si>
  <si>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</si>
  <si>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</si>
  <si>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</si>
  <si>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</si>
  <si>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</si>
  <si>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</si>
  <si>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</si>
  <si>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</si>
  <si>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</si>
  <si>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</si>
  <si>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</si>
  <si>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</si>
  <si>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</si>
  <si>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</si>
  <si>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</si>
  <si>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</si>
  <si>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</si>
  <si>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</si>
  <si>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</si>
  <si>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</si>
  <si>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</si>
  <si>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</si>
  <si>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</si>
  <si>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</si>
  <si>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</si>
  <si>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</si>
  <si>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</si>
  <si>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</si>
  <si>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</si>
  <si>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</si>
  <si>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</si>
  <si>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</si>
  <si>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</si>
  <si>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</si>
  <si>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</si>
  <si>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</si>
  <si>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</si>
  <si>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</si>
  <si>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</si>
  <si>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</si>
  <si>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</si>
  <si>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</si>
  <si>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</si>
  <si>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</si>
  <si>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</si>
  <si>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</si>
  <si>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</si>
  <si>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</si>
  <si>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</si>
  <si>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</si>
  <si>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</si>
  <si>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</si>
  <si>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</si>
  <si>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</si>
  <si>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</si>
  <si>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</si>
  <si>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</si>
  <si>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</si>
  <si>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</si>
  <si>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</si>
  <si>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</si>
  <si>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</si>
  <si>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</si>
  <si>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</si>
  <si>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</si>
  <si>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</si>
  <si>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</si>
  <si>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</si>
  <si>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</si>
  <si>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</si>
  <si>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</si>
  <si>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</si>
  <si>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</si>
  <si>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</si>
  <si>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</si>
  <si>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</si>
  <si>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</si>
  <si>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</si>
  <si>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</si>
  <si>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</si>
  <si>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</si>
  <si>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</si>
  <si>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</si>
  <si>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</si>
  <si>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</si>
  <si>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</si>
  <si>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</si>
  <si>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</si>
  <si>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</si>
  <si>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</si>
  <si>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</si>
  <si>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</si>
  <si>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</si>
  <si>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</si>
  <si>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</si>
  <si>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</si>
  <si>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</si>
  <si>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</si>
  <si>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</si>
  <si>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</si>
  <si>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</si>
  <si>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</si>
  <si>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</si>
  <si>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</si>
  <si>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</si>
  <si>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</si>
  <si>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</si>
  <si>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</si>
  <si>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</si>
  <si>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</si>
  <si>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</si>
  <si>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</si>
  <si>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</si>
  <si>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</si>
  <si>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</si>
  <si>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</si>
  <si>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</si>
  <si>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</si>
  <si>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</si>
  <si>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</si>
  <si>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</si>
  <si>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</si>
  <si>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</si>
  <si>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</si>
  <si>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</si>
  <si>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</si>
  <si>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</si>
  <si>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</si>
  <si>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</si>
  <si>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</si>
  <si>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</si>
  <si>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</si>
  <si>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</si>
  <si>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</si>
  <si>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</si>
  <si>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</si>
  <si>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</si>
  <si>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</si>
  <si>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</si>
  <si>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</si>
  <si>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</si>
  <si>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</si>
  <si>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</si>
  <si>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</si>
  <si>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</si>
  <si>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</si>
  <si>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</si>
  <si>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</si>
  <si>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</si>
  <si>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</si>
  <si>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</si>
  <si>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</si>
  <si>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</si>
  <si>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</si>
  <si>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</si>
  <si>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</si>
  <si>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</si>
  <si>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</si>
  <si>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</si>
  <si>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</si>
  <si>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</si>
  <si>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</si>
  <si>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</si>
  <si>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</si>
  <si>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</si>
  <si>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</si>
  <si>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</si>
  <si>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</si>
  <si>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</si>
  <si>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</si>
  <si>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</si>
  <si>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</si>
  <si>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</si>
  <si>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</si>
  <si>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</si>
  <si>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</si>
  <si>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</si>
  <si>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</si>
  <si>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</si>
  <si>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</si>
  <si>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</si>
  <si>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</si>
  <si>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</si>
  <si>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</si>
  <si>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</si>
  <si>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</si>
  <si>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</si>
  <si>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</si>
  <si>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</si>
  <si>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</si>
  <si>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</si>
  <si>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</si>
  <si>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</si>
  <si>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</si>
  <si>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</si>
  <si>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</si>
  <si>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</si>
  <si>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</si>
  <si>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</si>
  <si>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</si>
  <si>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</si>
  <si>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</si>
  <si>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</si>
  <si>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</si>
  <si>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</si>
  <si>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</si>
  <si>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</si>
  <si>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</si>
  <si>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</si>
  <si>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</si>
  <si>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</si>
  <si>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</si>
  <si>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</si>
  <si>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</si>
  <si>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</si>
  <si>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</si>
  <si>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</si>
  <si>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</si>
  <si>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</si>
  <si>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</si>
  <si>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</si>
  <si>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</si>
  <si>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</si>
  <si>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</si>
  <si>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</si>
  <si>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</si>
  <si>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</si>
  <si>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</si>
  <si>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</si>
  <si>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</si>
  <si>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</si>
  <si>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</si>
  <si>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</si>
  <si>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</si>
  <si>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</si>
  <si>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</si>
  <si>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</si>
  <si>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</si>
  <si>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</si>
  <si>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</si>
  <si>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</si>
  <si>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</si>
  <si>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</si>
  <si>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</si>
  <si>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</si>
  <si>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</si>
  <si>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</si>
  <si>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</si>
  <si>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</si>
  <si>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</si>
  <si>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</si>
  <si>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</si>
  <si>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</si>
  <si>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</si>
  <si>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</si>
  <si>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</si>
  <si>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</si>
  <si>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</si>
  <si>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</si>
  <si>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</si>
  <si>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</si>
  <si>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</si>
  <si>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</si>
  <si>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</si>
  <si>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</si>
  <si>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</si>
  <si>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</si>
  <si>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</si>
  <si>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</si>
  <si>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</si>
  <si>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</si>
  <si>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</si>
  <si>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</si>
  <si>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</si>
  <si>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</si>
  <si>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</si>
  <si>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</si>
  <si>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</si>
  <si>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</si>
  <si>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</si>
  <si>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</si>
  <si>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</si>
  <si>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</si>
  <si>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</si>
  <si>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</si>
  <si>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</si>
  <si>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</si>
  <si>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</si>
  <si>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</si>
  <si>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</si>
  <si>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</si>
  <si>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</si>
  <si>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</si>
  <si>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</si>
  <si>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</si>
  <si>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</si>
  <si>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</si>
  <si>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</si>
  <si>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</si>
  <si>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</si>
  <si>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</si>
  <si>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</si>
  <si>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</si>
  <si>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</si>
  <si>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</si>
  <si>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</si>
  <si>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</si>
  <si>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</si>
  <si>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</si>
  <si>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</si>
  <si>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</si>
  <si>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</si>
  <si>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</si>
  <si>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</si>
  <si>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</si>
  <si>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</si>
  <si>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</si>
  <si>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</si>
  <si>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</si>
  <si>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</si>
  <si>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</si>
  <si>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</si>
  <si>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</si>
  <si>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</si>
  <si>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</si>
  <si>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</si>
  <si>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</si>
  <si>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</si>
  <si>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</si>
  <si>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</si>
  <si>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</si>
  <si>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</si>
  <si>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</si>
  <si>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</si>
  <si>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</si>
  <si>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</si>
  <si>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</si>
  <si>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</si>
  <si>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</si>
  <si>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</si>
  <si>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</si>
  <si>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</si>
  <si>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</si>
  <si>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</si>
  <si>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</si>
  <si>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</si>
  <si>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</si>
  <si>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</si>
  <si>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</si>
  <si>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</si>
  <si>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</si>
  <si>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</si>
  <si>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</si>
  <si>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</si>
  <si>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</si>
  <si>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</si>
  <si>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</si>
  <si>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</si>
  <si>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</si>
  <si>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</si>
  <si>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</si>
  <si>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</si>
  <si>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</si>
  <si>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</si>
  <si>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</si>
  <si>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</si>
  <si>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</si>
  <si>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</si>
  <si>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</si>
  <si>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</si>
  <si>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</si>
  <si>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</si>
  <si>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</si>
  <si>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</si>
  <si>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</si>
  <si>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</si>
  <si>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</si>
  <si>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</si>
  <si>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</si>
  <si>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</si>
  <si>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</si>
  <si>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</si>
  <si>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</si>
  <si>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</si>
  <si>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</si>
  <si>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</si>
  <si>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</si>
  <si>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</si>
  <si>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</si>
  <si>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</si>
  <si>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</si>
  <si>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</si>
  <si>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</si>
  <si>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</si>
  <si>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</si>
  <si>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</si>
  <si>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</si>
  <si>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</si>
  <si>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</si>
  <si>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</si>
  <si>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</si>
  <si>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</si>
  <si>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</si>
  <si>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</si>
  <si>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</si>
  <si>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</si>
  <si>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</si>
  <si>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</si>
  <si>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</si>
  <si>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</si>
  <si>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</si>
  <si>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</si>
  <si>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</si>
  <si>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</si>
  <si>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</si>
  <si>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</si>
  <si>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</si>
  <si>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</si>
  <si>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</si>
  <si>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</si>
  <si>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</si>
  <si>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</si>
  <si>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</si>
  <si>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</si>
  <si>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</si>
  <si>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</si>
  <si>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</si>
  <si>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</si>
  <si>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</si>
  <si>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</si>
  <si>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</si>
  <si>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</si>
  <si>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</si>
  <si>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</si>
  <si>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</si>
  <si>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</si>
  <si>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北京市</t>
  </si>
  <si>
    <t>企业</t>
  </si>
  <si>
    <t>出让</t>
  </si>
  <si>
    <t>复印件</t>
  </si>
  <si>
    <t>《不动产权证书》</t>
  </si>
  <si>
    <t>工业项目</t>
  </si>
  <si>
    <t>无</t>
  </si>
  <si>
    <t>否</t>
  </si>
  <si>
    <t>现房</t>
  </si>
  <si>
    <t>通路</t>
  </si>
  <si>
    <t>通电</t>
  </si>
  <si>
    <t>通讯</t>
  </si>
  <si>
    <t>通上水</t>
  </si>
  <si>
    <t>通下水</t>
  </si>
  <si>
    <t>地上</t>
  </si>
  <si>
    <t>地下</t>
  </si>
  <si>
    <t>是</t>
  </si>
  <si>
    <t>工业</t>
    <phoneticPr fontId="7" type="noConversion"/>
  </si>
  <si>
    <t>成新度</t>
  </si>
  <si>
    <t>收益法</t>
  </si>
  <si>
    <t>押一</t>
  </si>
  <si>
    <t>按租金收入计税</t>
  </si>
  <si>
    <t>钢混</t>
  </si>
  <si>
    <t>生产用房</t>
  </si>
  <si>
    <t>正常</t>
  </si>
  <si>
    <t>比较法-工业</t>
  </si>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</sst>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236639</xdr:colOff>
      <xdr:row>48</xdr:row>
      <xdr:rowOff>113258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95239" cy="834285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北京市出让国有建设用地使用权及在建建筑物房地产抵押价值预评估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受贵公司委托，我公司对北京市出让国有建设用地使用权及在建建筑物房地产抵押价值进行了预评估。</v>
      </c>
    </row>
    <row r="7" spans="1:2" s="1593" customFormat="1">
      <c r="A7" s="1591" t="s">
        <v>1260</v>
      </c>
      <c r="B7" s="1592" t="str">
        <f>'预评函-1'!A7</f>
        <v>估价对象为北京市出让国有建设用地使用权及在建建筑物房地产，为所有。根据《国有土地使用证》[]，估价对象（分摊）出让国有建设用地使用权面积为0平方米，建筑面积为1723.11平方米。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出让国有建设用地使用权及在建建筑物房地产,属开发建设的工业项目，该项目尚在开发建设中。根据《国有土地使用证》[]，估价对象（分摊）出让国有建设用地使用权面积为0平方米，规划建筑面积为1723.11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2019年9月20日</v>
      </c>
    </row>
    <row r="13" spans="1:2" s="1593" customFormat="1">
      <c r="A13" s="1591" t="s">
        <v>1223</v>
      </c>
      <c r="B13" s="1592" t="str">
        <f>'预评函-1'!A18</f>
        <v>本次估价的“房地产价值”是指在正常市场情况下，在价值时点2019年9月20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1355</v>
      </c>
    </row>
    <row r="21" spans="1:2" s="1593" customFormat="1">
      <c r="A21" s="1591" t="s">
        <v>1231</v>
      </c>
      <c r="B21" s="1592">
        <f ca="1">'预评函-2'!D7</f>
        <v>7864</v>
      </c>
    </row>
    <row r="22" spans="1:2" s="1593" customFormat="1">
      <c r="A22" s="1591" t="s">
        <v>1232</v>
      </c>
      <c r="B22" s="1592" t="str">
        <f ca="1">'预评函-2'!D6</f>
        <v>壹仟叁佰伍拾伍万元整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1355</v>
      </c>
    </row>
    <row r="31" spans="1:2" s="1593" customFormat="1">
      <c r="A31" s="1591" t="s">
        <v>1270</v>
      </c>
      <c r="B31" s="1592">
        <f ca="1">'预评函-2'!D15</f>
        <v>7864</v>
      </c>
    </row>
    <row r="32" spans="1:2" s="1593" customFormat="1">
      <c r="A32" s="1591" t="s">
        <v>1237</v>
      </c>
      <c r="B32" s="1592" t="str">
        <f ca="1">'预评函-2'!D14</f>
        <v>壹仟叁佰伍拾伍万元整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北京市出让国有建设用地使用权及在建建筑物房地产</v>
      </c>
    </row>
    <row r="42" spans="1:2" s="1593" customFormat="1">
      <c r="A42" s="1591" t="s">
        <v>1284</v>
      </c>
      <c r="B42" s="1592" t="str">
        <f>'预评函-3'!B2</f>
        <v>建筑面积</v>
      </c>
    </row>
    <row r="43" spans="1:2" s="1593" customFormat="1">
      <c r="A43" s="1591" t="s">
        <v>1285</v>
      </c>
      <c r="B43" s="1592">
        <f>'预评函-3'!B4</f>
        <v>1723.11</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0"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0"/>
      <c r="B54" s="2021" t="s">
        <v>861</v>
      </c>
      <c r="C54" s="2018" t="s">
        <v>1277</v>
      </c>
    </row>
    <row r="55" spans="1:4">
      <c r="A55" s="3000"/>
      <c r="B55" s="2021" t="s">
        <v>862</v>
      </c>
      <c r="C55" s="2018" t="s">
        <v>1278</v>
      </c>
    </row>
    <row r="56" spans="1:4">
      <c r="A56" s="3000"/>
      <c r="B56" s="2021" t="s">
        <v>863</v>
      </c>
      <c r="C56" s="2018" t="s">
        <v>1282</v>
      </c>
    </row>
    <row r="57" spans="1:4">
      <c r="A57" s="3000"/>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E37" sqref="E37"/>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09"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10"/>
      <c r="D1" s="3010"/>
      <c r="E1" s="3010"/>
      <c r="F1" s="3010"/>
      <c r="G1" s="3010"/>
      <c r="H1" s="3010"/>
      <c r="I1" s="301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4" t="s">
        <v>1773</v>
      </c>
      <c r="B3" s="2035"/>
      <c r="C3" s="2036" t="s">
        <v>1774</v>
      </c>
      <c r="D3" s="2035">
        <v>43728</v>
      </c>
      <c r="E3" s="2025"/>
      <c r="F3" s="2025"/>
      <c r="G3" s="2025"/>
      <c r="H3" s="2025"/>
      <c r="I3" s="2025"/>
      <c r="J3" s="2025"/>
      <c r="K3" s="2026"/>
      <c r="L3" s="2027"/>
      <c r="M3" s="2027"/>
      <c r="N3" s="2028"/>
      <c r="O3" s="2029"/>
      <c r="P3" s="2028"/>
      <c r="Q3" s="2028"/>
      <c r="R3" s="2028"/>
      <c r="S3" s="2030"/>
    </row>
    <row r="4" spans="1:19" ht="18" customHeight="1" thickBot="1">
      <c r="A4" s="2037" t="s">
        <v>1775</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3053</v>
      </c>
      <c r="C8" s="2055"/>
      <c r="D8" s="3012" t="s">
        <v>1780</v>
      </c>
      <c r="E8" s="2056" t="s">
        <v>3054</v>
      </c>
      <c r="F8" s="2057"/>
      <c r="G8" s="2025"/>
      <c r="H8" s="2025"/>
      <c r="I8" s="2025"/>
      <c r="J8" s="2041"/>
      <c r="K8" s="2042"/>
      <c r="L8" s="2027"/>
      <c r="M8" s="2027"/>
      <c r="N8" s="2028"/>
      <c r="O8" s="2029"/>
      <c r="P8" s="2028"/>
      <c r="Q8" s="2028"/>
      <c r="R8" s="2028"/>
    </row>
    <row r="9" spans="1:19" ht="18" customHeight="1" thickBot="1">
      <c r="A9" s="2039" t="s">
        <v>1781</v>
      </c>
      <c r="B9" s="2058" t="s">
        <v>3054</v>
      </c>
      <c r="C9" s="2059"/>
      <c r="D9" s="3013"/>
      <c r="E9" s="2058"/>
      <c r="F9" s="2060"/>
      <c r="G9" s="2061"/>
      <c r="H9" s="2061"/>
      <c r="I9" s="2061"/>
      <c r="J9" s="2041"/>
      <c r="K9" s="2053"/>
      <c r="L9" s="2027"/>
      <c r="M9" s="2027"/>
      <c r="N9" s="2028"/>
      <c r="O9" s="2029"/>
      <c r="P9" s="2028"/>
      <c r="Q9" s="2028"/>
      <c r="R9" s="2028"/>
    </row>
    <row r="10" spans="1:19" ht="18" customHeight="1" thickTop="1">
      <c r="A10" s="2062" t="s">
        <v>1782</v>
      </c>
      <c r="B10" s="2063" t="s">
        <v>3055</v>
      </c>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t="s">
        <v>3056</v>
      </c>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3057</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c r="F13" s="2079"/>
      <c r="G13" s="2079"/>
      <c r="H13" s="2079"/>
      <c r="I13" s="1047">
        <v>55635</v>
      </c>
      <c r="J13" s="2041"/>
      <c r="K13" s="2053"/>
      <c r="L13" s="2027"/>
      <c r="M13" s="2027"/>
      <c r="N13" s="2028"/>
      <c r="O13" s="2029"/>
      <c r="P13" s="2028"/>
      <c r="Q13" s="2028"/>
      <c r="R13" s="2028"/>
    </row>
    <row r="14" spans="1:19" ht="18" customHeight="1">
      <c r="A14" s="2076"/>
      <c r="B14" s="2077"/>
      <c r="C14" s="2078" t="s">
        <v>1794</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32.619999999999997</v>
      </c>
      <c r="J15" s="2041"/>
      <c r="K15" s="2082"/>
      <c r="L15" s="2083"/>
      <c r="M15" s="2083"/>
      <c r="N15" s="2084"/>
      <c r="O15" s="2083"/>
      <c r="P15" s="2084"/>
      <c r="Q15" s="2028"/>
      <c r="R15" s="2028"/>
    </row>
    <row r="16" spans="1:19" ht="30.75" customHeight="1">
      <c r="A16" s="2065" t="s">
        <v>1796</v>
      </c>
      <c r="B16" s="3019"/>
      <c r="C16" s="3020"/>
      <c r="D16" s="3021"/>
      <c r="E16" s="2085" t="s">
        <v>1797</v>
      </c>
      <c r="F16" s="3022"/>
      <c r="G16" s="3023"/>
      <c r="H16" s="3023"/>
      <c r="I16" s="3024"/>
      <c r="J16" s="2028"/>
      <c r="K16" s="2082"/>
      <c r="L16" s="2083"/>
      <c r="M16" s="2083"/>
      <c r="N16" s="2084"/>
      <c r="O16" s="2083"/>
      <c r="P16" s="2084"/>
      <c r="Q16" s="2028"/>
      <c r="R16" s="2028"/>
    </row>
    <row r="17" spans="1:22" ht="18" customHeight="1">
      <c r="A17" s="2086" t="s">
        <v>1798</v>
      </c>
      <c r="B17" s="2034" t="s">
        <v>1799</v>
      </c>
      <c r="C17" s="1054">
        <f>'数据-汇总表'!E3</f>
        <v>1723.11</v>
      </c>
      <c r="D17" s="2087" t="s">
        <v>1800</v>
      </c>
      <c r="E17" s="3025" t="s">
        <v>1801</v>
      </c>
      <c r="F17" s="3026"/>
      <c r="G17" s="3026"/>
      <c r="H17" s="3026"/>
      <c r="I17" s="3027"/>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4">
        <f>'数据-汇总表'!D3</f>
        <v>0</v>
      </c>
      <c r="D18" s="2090" t="s">
        <v>1800</v>
      </c>
      <c r="E18" s="3028" t="s">
        <v>1804</v>
      </c>
      <c r="F18" s="3029"/>
      <c r="G18" s="3029"/>
      <c r="H18" s="3029"/>
      <c r="I18" s="3030"/>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t="s">
        <v>70</v>
      </c>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015" t="s">
        <v>1809</v>
      </c>
      <c r="C20" s="3016"/>
      <c r="D20" s="3017" t="s">
        <v>1810</v>
      </c>
      <c r="E20" s="3018"/>
      <c r="F20" s="2097" t="s">
        <v>1811</v>
      </c>
      <c r="G20" s="2041"/>
      <c r="H20" s="2041"/>
      <c r="I20" s="2041"/>
      <c r="J20" s="2041"/>
      <c r="K20" s="3014" t="s">
        <v>1812</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7"/>
      <c r="N20" s="2084"/>
      <c r="O20" s="2083"/>
      <c r="P20" s="2084"/>
      <c r="Q20" s="2028"/>
      <c r="R20" s="2028"/>
      <c r="S20" s="2028"/>
      <c r="T20" s="2028"/>
      <c r="U20" s="2028"/>
      <c r="V20" s="2028"/>
    </row>
    <row r="21" spans="1:22" ht="24.75" customHeight="1">
      <c r="A21" s="2096"/>
      <c r="B21" s="2098" t="s">
        <v>3059</v>
      </c>
      <c r="C21" s="2099" t="s">
        <v>3058</v>
      </c>
      <c r="D21" s="2100"/>
      <c r="E21" s="2101"/>
      <c r="F21" s="2102"/>
      <c r="G21" s="2041"/>
      <c r="H21" s="2041"/>
      <c r="I21" s="2041"/>
      <c r="J21" s="2041"/>
      <c r="K21" s="301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c r="C22" s="2099"/>
      <c r="D22" s="2025"/>
      <c r="E22" s="2025"/>
      <c r="F22" s="2104"/>
      <c r="G22" s="2041"/>
      <c r="H22" s="2041"/>
      <c r="I22" s="2041"/>
      <c r="J22" s="2041"/>
      <c r="K22" s="301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1813</v>
      </c>
      <c r="B23" s="183" t="s">
        <v>1814</v>
      </c>
      <c r="C23" s="2106"/>
      <c r="D23" s="2107" t="s">
        <v>1814</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1815</v>
      </c>
      <c r="C24" s="2111"/>
      <c r="D24" s="2105" t="s">
        <v>1815</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1816</v>
      </c>
      <c r="C25" s="2111"/>
      <c r="D25" s="2105" t="s">
        <v>1816</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1817</v>
      </c>
      <c r="C26" s="2115"/>
      <c r="D26" s="2116" t="s">
        <v>1818</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02" t="s">
        <v>1819</v>
      </c>
      <c r="B27" s="2062" t="s">
        <v>1820</v>
      </c>
      <c r="C27" s="2119" t="s">
        <v>3060</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02"/>
      <c r="B28" s="2034" t="s">
        <v>1821</v>
      </c>
      <c r="C28" s="2121" t="s">
        <v>3061</v>
      </c>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02"/>
      <c r="B29" s="2034" t="s">
        <v>1822</v>
      </c>
      <c r="C29" s="2124" t="s">
        <v>3062</v>
      </c>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03"/>
      <c r="B30" s="2034" t="s">
        <v>1823</v>
      </c>
      <c r="C30" s="3004"/>
      <c r="D30" s="3005"/>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06" t="s">
        <v>1824</v>
      </c>
      <c r="B31" s="2126" t="s">
        <v>3063</v>
      </c>
      <c r="C31" s="2127" t="str">
        <f>IF(B31="现房","成新及维护状况正常否",IF(B31="在建","工程状态是否正常",IF(B31="土地","是否闲置","-")))</f>
        <v>成新及维护状况正常否</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07"/>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07"/>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1825</v>
      </c>
      <c r="B34" s="2133" t="s">
        <v>3064</v>
      </c>
      <c r="C34" s="2133" t="s">
        <v>3065</v>
      </c>
      <c r="D34" s="2133" t="s">
        <v>3066</v>
      </c>
      <c r="E34" s="2133" t="s">
        <v>3067</v>
      </c>
      <c r="F34" s="2133" t="s">
        <v>3068</v>
      </c>
      <c r="G34" s="2133"/>
      <c r="H34" s="2133"/>
      <c r="I34" s="2041"/>
      <c r="J34" s="2041"/>
      <c r="K34" s="1795">
        <f>COUNTIF(B34:H34,"——")</f>
        <v>0</v>
      </c>
      <c r="L34" s="2074" t="s">
        <v>1826</v>
      </c>
      <c r="M34" s="2074" t="s">
        <v>1827</v>
      </c>
      <c r="N34" s="2074" t="s">
        <v>1828</v>
      </c>
      <c r="O34" s="2074" t="s">
        <v>1829</v>
      </c>
      <c r="P34" s="2074" t="s">
        <v>1830</v>
      </c>
      <c r="Q34" s="2074" t="s">
        <v>1831</v>
      </c>
      <c r="R34" s="2074" t="s">
        <v>1832</v>
      </c>
      <c r="S34" s="3001" t="s">
        <v>1833</v>
      </c>
      <c r="T34" s="2134" t="str">
        <f>NUMBERSTRING(7-K34,1)&amp;"通"</f>
        <v>七通</v>
      </c>
      <c r="U34" s="2028"/>
      <c r="V34" s="2028"/>
    </row>
    <row r="35" spans="1:22" ht="18" customHeight="1">
      <c r="A35" s="2135"/>
      <c r="B35" s="3008" t="s">
        <v>1834</v>
      </c>
      <c r="C35" s="3008"/>
      <c r="D35" s="3008"/>
      <c r="E35" s="3008"/>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1"/>
      <c r="T35" s="48" t="str">
        <f>IF(T34="一通",L35,IF(T34="二通",M35,IF(T34="三通",N35,IF(T34="四通",O35,IF(T34="五通",P35,IF(T34="六通",Q35,R35))))))</f>
        <v>通路、通电、通讯、通上水、通下水、、</v>
      </c>
      <c r="U35" s="2028"/>
      <c r="V35" s="2028"/>
    </row>
    <row r="36" spans="1:22" ht="18" customHeight="1">
      <c r="A36" s="2137"/>
      <c r="B36" s="2136" t="s">
        <v>1835</v>
      </c>
      <c r="C36" s="2136" t="s">
        <v>1836</v>
      </c>
      <c r="D36" s="2136" t="s">
        <v>1837</v>
      </c>
      <c r="E36" s="2136" t="s">
        <v>1838</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1839</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1840</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1842</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1843</v>
      </c>
      <c r="B42" s="1795" t="s">
        <v>1844</v>
      </c>
      <c r="C42" s="1795" t="s">
        <v>1845</v>
      </c>
      <c r="D42" s="1795" t="s">
        <v>1846</v>
      </c>
      <c r="E42" s="1795" t="s">
        <v>1847</v>
      </c>
      <c r="F42" s="1795" t="s">
        <v>1848</v>
      </c>
      <c r="G42" s="1795" t="s">
        <v>1849</v>
      </c>
      <c r="H42" s="1795" t="s">
        <v>1850</v>
      </c>
      <c r="I42" s="1795" t="s">
        <v>1851</v>
      </c>
      <c r="J42" s="2152" t="s">
        <v>1852</v>
      </c>
      <c r="K42" s="2075" t="s">
        <v>1853</v>
      </c>
      <c r="L42" s="2075" t="s">
        <v>1854</v>
      </c>
      <c r="M42" s="2075" t="s">
        <v>1855</v>
      </c>
      <c r="N42" s="1795" t="s">
        <v>1856</v>
      </c>
      <c r="O42" s="1795" t="s">
        <v>1857</v>
      </c>
      <c r="P42" s="1795" t="s">
        <v>1858</v>
      </c>
      <c r="Q42" s="2074" t="s">
        <v>1859</v>
      </c>
      <c r="R42" s="2074" t="s">
        <v>1860</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1861</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1862</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1863</v>
      </c>
      <c r="B2" s="11" t="s">
        <v>1864</v>
      </c>
      <c r="C2" s="11" t="s">
        <v>1865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1866</v>
      </c>
      <c r="AZ2" s="1270" t="s">
        <v>1867</v>
      </c>
      <c r="BA2" s="11" t="s">
        <v>1868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1723.11</v>
      </c>
      <c r="C3" s="2168" t="s">
        <v>1869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1870</v>
      </c>
      <c r="B5" s="1803"/>
      <c r="C5" s="1803"/>
      <c r="D5" s="1806"/>
      <c r="E5" s="16" t="s">
        <v>1</v>
      </c>
      <c r="F5" s="16">
        <f>SUM(F13:F587)</f>
        <v>0</v>
      </c>
      <c r="G5" s="16">
        <f>SUM(G13:G587)</f>
        <v>1723.11</v>
      </c>
      <c r="H5" s="16">
        <f t="shared" ref="H5:AT5" si="0">SUM(H13:H656)</f>
        <v>1723.11</v>
      </c>
      <c r="I5" s="16">
        <f t="shared" si="0"/>
        <v>1292.3325</v>
      </c>
      <c r="J5" s="16">
        <f t="shared" si="0"/>
        <v>0</v>
      </c>
      <c r="K5" s="16">
        <f t="shared" si="0"/>
        <v>430.77749999999997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1870</v>
      </c>
      <c r="AW5" s="1803"/>
      <c r="AX5" s="1803"/>
      <c r="AY5" s="17" t="s">
        <v>3</v>
      </c>
      <c r="AZ5" s="18">
        <f t="shared" ref="AZ5:BT5" si="1">SUM(AZ13:AZ656)</f>
        <v>1723.11</v>
      </c>
      <c r="BA5" s="18">
        <f t="shared" si="1"/>
        <v>1723.11</v>
      </c>
      <c r="BB5" s="18">
        <f t="shared" si="1"/>
        <v>1292.3325</v>
      </c>
      <c r="BC5" s="18">
        <f t="shared" si="1"/>
        <v>430.77749999999997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1871</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1871</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1872</v>
      </c>
      <c r="B7" s="2109" t="s">
        <v>1873</v>
      </c>
      <c r="C7" s="2109" t="s">
        <v>1874</v>
      </c>
      <c r="D7" s="2109" t="s">
        <v>1875</v>
      </c>
      <c r="E7" s="2109" t="s">
        <v>1876</v>
      </c>
      <c r="F7" s="2109" t="s">
        <v>1877</v>
      </c>
      <c r="G7" s="2178" t="s">
        <v>1878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1879</v>
      </c>
      <c r="AV7" s="23" t="s">
        <v>1880</v>
      </c>
      <c r="AW7" s="2166" t="s">
        <v>1881</v>
      </c>
      <c r="AX7" s="23" t="s">
        <v>1874</v>
      </c>
      <c r="AY7" s="1803" t="s">
        <v>1882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1883</v>
      </c>
      <c r="H8" s="2184" t="s">
        <v>1884</v>
      </c>
      <c r="I8" s="2185"/>
      <c r="J8" s="1818"/>
      <c r="K8" s="1818"/>
      <c r="L8" s="1818"/>
      <c r="M8" s="1818"/>
      <c r="N8" s="1818"/>
      <c r="O8" s="1818"/>
      <c r="P8" s="1818"/>
      <c r="Q8" s="1818"/>
      <c r="R8" s="1818"/>
      <c r="S8" s="1818"/>
      <c r="T8" s="1818"/>
      <c r="U8" s="1818"/>
      <c r="V8" s="2186"/>
      <c r="W8" s="1818"/>
      <c r="X8" s="1818"/>
      <c r="Y8" s="1818"/>
      <c r="Z8" s="1818"/>
      <c r="AA8" s="2186"/>
      <c r="AB8" s="2187"/>
      <c r="AC8" s="981" t="s">
        <v>1885</v>
      </c>
      <c r="AD8" s="2188"/>
      <c r="AE8" s="2180"/>
      <c r="AF8" s="1818"/>
      <c r="AG8" s="1818"/>
      <c r="AH8" s="1818"/>
      <c r="AI8" s="1818"/>
      <c r="AJ8" s="1818"/>
      <c r="AK8" s="1818"/>
      <c r="AL8" s="1818"/>
      <c r="AM8" s="1818"/>
      <c r="AN8" s="1818"/>
      <c r="AO8" s="1818"/>
      <c r="AP8" s="1818"/>
      <c r="AQ8" s="1818"/>
      <c r="AR8" s="1818"/>
      <c r="AS8" s="1818"/>
      <c r="AT8" s="1292" t="s">
        <v>1886</v>
      </c>
      <c r="AU8" s="2182" t="s">
        <v>1887</v>
      </c>
      <c r="AV8" s="1292"/>
      <c r="AW8" s="2165"/>
      <c r="AX8" s="1292"/>
      <c r="AY8" s="2166" t="s">
        <v>1888</v>
      </c>
      <c r="AZ8" s="1817" t="s">
        <v>1889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1890</v>
      </c>
      <c r="I9" s="2191" t="s">
        <v>3069</v>
      </c>
      <c r="J9" s="981"/>
      <c r="K9" s="2191" t="s">
        <v>3070</v>
      </c>
      <c r="L9" s="981"/>
      <c r="M9" s="2191"/>
      <c r="N9" s="981"/>
      <c r="O9" s="2191"/>
      <c r="P9" s="981"/>
      <c r="Q9" s="2191"/>
      <c r="R9" s="981"/>
      <c r="S9" s="2191"/>
      <c r="T9" s="981"/>
      <c r="U9" s="2191"/>
      <c r="V9" s="981"/>
      <c r="W9" s="2191"/>
      <c r="X9" s="2192"/>
      <c r="Y9" s="2191"/>
      <c r="Z9" s="981"/>
      <c r="AA9" s="2191"/>
      <c r="AB9" s="981"/>
      <c r="AC9" s="2183"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93"/>
      <c r="AT9" s="2182"/>
      <c r="AU9" s="2182" t="s">
        <v>1893</v>
      </c>
      <c r="AV9" s="1292"/>
      <c r="AW9" s="2165"/>
      <c r="AX9" s="1292"/>
      <c r="AY9" s="28"/>
      <c r="AZ9" s="28" t="s">
        <v>1883</v>
      </c>
      <c r="BA9" s="2194" t="s">
        <v>1894</v>
      </c>
      <c r="BB9" s="2195"/>
      <c r="BC9" s="1338"/>
      <c r="BD9" s="1338"/>
      <c r="BE9" s="1338"/>
      <c r="BF9" s="1338"/>
      <c r="BG9" s="1338"/>
      <c r="BH9" s="1338"/>
      <c r="BI9" s="1338"/>
      <c r="BJ9" s="1338"/>
      <c r="BK9" s="2196"/>
      <c r="BL9" s="15" t="s">
        <v>1895</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t="s">
        <v>6</v>
      </c>
      <c r="L10" s="981"/>
      <c r="M10" s="2197"/>
      <c r="N10" s="981"/>
      <c r="O10" s="2197"/>
      <c r="P10" s="981"/>
      <c r="Q10" s="2197"/>
      <c r="R10" s="981"/>
      <c r="S10" s="2197"/>
      <c r="T10" s="981"/>
      <c r="U10" s="2197"/>
      <c r="V10" s="981"/>
      <c r="W10" s="2197"/>
      <c r="X10" s="981"/>
      <c r="Y10" s="2197"/>
      <c r="Z10" s="981"/>
      <c r="AA10" s="2197"/>
      <c r="AB10" s="981"/>
      <c r="AC10" s="1292"/>
      <c r="AD10" s="15" t="s">
        <v>1896</v>
      </c>
      <c r="AE10" s="2198"/>
      <c r="AF10" s="15" t="s">
        <v>1896</v>
      </c>
      <c r="AG10" s="2198"/>
      <c r="AH10" s="15" t="s">
        <v>1897</v>
      </c>
      <c r="AI10" s="2198"/>
      <c r="AJ10" s="15" t="s">
        <v>1897</v>
      </c>
      <c r="AK10" s="2198"/>
      <c r="AL10" s="15" t="s">
        <v>1898</v>
      </c>
      <c r="AM10" s="1298"/>
      <c r="AN10" s="15" t="s">
        <v>1898</v>
      </c>
      <c r="AO10" s="1298"/>
      <c r="AP10" s="15" t="s">
        <v>1899</v>
      </c>
      <c r="AQ10" s="1298"/>
      <c r="AR10" s="15" t="s">
        <v>1899</v>
      </c>
      <c r="AS10" s="1298"/>
      <c r="AT10" s="2182"/>
      <c r="AU10" s="2182"/>
      <c r="AV10" s="1292"/>
      <c r="AW10" s="2165"/>
      <c r="AX10" s="1292"/>
      <c r="AY10" s="28"/>
      <c r="AZ10" s="28"/>
      <c r="BA10" s="2199" t="s">
        <v>1890</v>
      </c>
      <c r="BB10" s="2200" t="str">
        <f>I9</f>
        <v>地上</v>
      </c>
      <c r="BC10" s="29" t="str">
        <f>K9</f>
        <v>地下</v>
      </c>
      <c r="BD10" s="29">
        <f>M9</f>
        <v>0</v>
      </c>
      <c r="BE10" s="29">
        <f>O9</f>
        <v>0</v>
      </c>
      <c r="BF10" s="29">
        <f>Q9</f>
        <v>0</v>
      </c>
      <c r="BG10" s="29">
        <f>S9</f>
        <v>0</v>
      </c>
      <c r="BH10" s="29">
        <f>U9</f>
        <v>0</v>
      </c>
      <c r="BI10" s="29">
        <f>W9</f>
        <v>0</v>
      </c>
      <c r="BJ10" s="29">
        <f>Y9</f>
        <v>0</v>
      </c>
      <c r="BK10" s="29">
        <f>AA9</f>
        <v>0</v>
      </c>
      <c r="BL10" s="25" t="s">
        <v>1890</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1900</v>
      </c>
      <c r="AE11" s="1819"/>
      <c r="AF11" s="2204" t="s">
        <v>1900</v>
      </c>
      <c r="AG11" s="1819"/>
      <c r="AH11" s="2204" t="s">
        <v>1901</v>
      </c>
      <c r="AI11" s="2205"/>
      <c r="AJ11" s="2204" t="s">
        <v>1901</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t="str">
        <f>K10</f>
        <v>工业</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2" t="s">
        <v>1903</v>
      </c>
      <c r="W12" s="11" t="s">
        <v>1902</v>
      </c>
      <c r="X12" s="11" t="s">
        <v>1903</v>
      </c>
      <c r="Y12" s="11" t="s">
        <v>1902</v>
      </c>
      <c r="Z12" s="11" t="s">
        <v>1903</v>
      </c>
      <c r="AA12" s="11" t="s">
        <v>1902</v>
      </c>
      <c r="AB12" s="11" t="s">
        <v>1903</v>
      </c>
      <c r="AC12" s="2209"/>
      <c r="AD12" s="1806"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7" t="s">
        <v>1903</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c r="D13" s="2213" t="s">
        <v>3071</v>
      </c>
      <c r="E13" s="16">
        <f>IF($C$3="是",ROUND($A$3*G13/$B$3,2),ROUND($A$3*(G13-AT13)/$B$3,2))</f>
        <v>0</v>
      </c>
      <c r="F13" s="32"/>
      <c r="G13" s="33">
        <f>H13+AC13+AT13</f>
        <v>1723.11</v>
      </c>
      <c r="H13" s="20">
        <f>SUMIF(I$12:AB$12,"总值",I13:AB13)</f>
        <v>1723.11</v>
      </c>
      <c r="I13" s="2214">
        <f>1723.11-K13</f>
        <v>1292.3325</v>
      </c>
      <c r="J13" s="2214"/>
      <c r="K13" s="2214">
        <f>1723.11/4</f>
        <v>430.77749999999997</v>
      </c>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6">
        <f>ROUND($AY$6*AZ13/$AZ$5,2)</f>
        <v>0</v>
      </c>
      <c r="AZ13" s="16">
        <f>BA13+BL13</f>
        <v>1723.11</v>
      </c>
      <c r="BA13" s="16">
        <f>SUM(BB13:BK13)</f>
        <v>1723.11</v>
      </c>
      <c r="BB13" s="16">
        <f>IF($D13="是",I13-J13,0)</f>
        <v>1292.3325</v>
      </c>
      <c r="BC13" s="16">
        <f>IF($D13="是",K13-L13,0)</f>
        <v>430.77749999999997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28.5">
      <c r="A3" s="3031"/>
      <c r="B3" s="3031"/>
      <c r="C3" s="3031"/>
      <c r="D3" s="3032"/>
      <c r="E3" s="30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1929</v>
      </c>
      <c r="B1" s="1392"/>
      <c r="C1" s="1392"/>
      <c r="D1" s="1392"/>
      <c r="E1" s="1392"/>
      <c r="F1" s="1392"/>
      <c r="G1" s="1392"/>
      <c r="H1" s="1392"/>
      <c r="I1" s="1392"/>
      <c r="J1" s="1392"/>
      <c r="K1" s="1392"/>
      <c r="L1" s="1392"/>
      <c r="M1" s="1392"/>
      <c r="N1" s="1392"/>
      <c r="O1" s="1392"/>
      <c r="P1" s="1392"/>
    </row>
    <row r="2" spans="1:16" ht="15">
      <c r="A2" s="3042" t="s">
        <v>1930</v>
      </c>
      <c r="B2" s="3042"/>
      <c r="C2" s="3042"/>
      <c r="D2" s="967" t="s">
        <v>1906</v>
      </c>
      <c r="E2" s="2227" t="s">
        <v>1907</v>
      </c>
      <c r="F2" s="1392"/>
      <c r="G2" s="2228"/>
      <c r="H2" s="2229"/>
      <c r="I2" s="2230" t="s">
        <v>1931</v>
      </c>
      <c r="J2" s="1392"/>
      <c r="K2" s="1392"/>
      <c r="L2" s="1392"/>
      <c r="M2" s="1392"/>
      <c r="N2" s="1427"/>
      <c r="O2" s="1392"/>
      <c r="P2" s="1392"/>
    </row>
    <row r="3" spans="1:16" ht="15.75" thickBot="1">
      <c r="A3" s="3043" t="s">
        <v>1904</v>
      </c>
      <c r="B3" s="3043"/>
      <c r="C3" s="3043"/>
      <c r="D3" s="46">
        <f>'数据-基础表'!AY6</f>
        <v>0</v>
      </c>
      <c r="E3" s="46">
        <f>'数据-基础表'!AZ5</f>
        <v>1723.11</v>
      </c>
      <c r="F3" s="1392"/>
      <c r="G3" s="1399"/>
      <c r="H3" s="1247" t="s">
        <v>1905</v>
      </c>
      <c r="I3" s="55" t="e">
        <f>ROUND('数据-基础表'!B3/'数据-基础表'!A3,2)</f>
        <v>#DIV/0!</v>
      </c>
      <c r="J3" s="1392"/>
      <c r="K3" s="1392"/>
      <c r="L3" s="1392"/>
      <c r="M3" s="1392"/>
      <c r="N3" s="1427"/>
      <c r="O3" s="1392"/>
      <c r="P3" s="1392"/>
    </row>
    <row r="4" spans="1:16" ht="15">
      <c r="A4" s="3044"/>
      <c r="B4" s="3045"/>
      <c r="C4" s="3046"/>
      <c r="D4" s="2231" t="s">
        <v>1906</v>
      </c>
      <c r="E4" s="2232" t="s">
        <v>1907</v>
      </c>
      <c r="F4" s="1392"/>
      <c r="G4" s="2233" t="s">
        <v>1932</v>
      </c>
      <c r="H4" s="1247" t="s">
        <v>1912</v>
      </c>
      <c r="I4" s="55" t="e">
        <f>ROUND(SUMIF('数据-基础表'!I9:AS9,"地上",'数据-基础表'!I5:AS5)/'数据-基础表'!A3,2)</f>
        <v>#DIV/0!</v>
      </c>
      <c r="J4" s="1392"/>
      <c r="K4" s="1392"/>
      <c r="L4" s="1392"/>
      <c r="M4" s="1392"/>
      <c r="N4" s="1427"/>
      <c r="O4" s="1392"/>
      <c r="P4" s="1392"/>
    </row>
    <row r="5" spans="1:16">
      <c r="A5" s="47" t="s">
        <v>1908</v>
      </c>
      <c r="B5" s="3047" t="s">
        <v>1909</v>
      </c>
      <c r="C5" s="3047"/>
      <c r="D5" s="48">
        <f>ROUND($D$3*E5/$E$3,2)</f>
        <v>0</v>
      </c>
      <c r="E5" s="49">
        <f>SUMIF('数据-基础表'!$11:$11,"住宅",'数据-基础表'!$5:$5)</f>
        <v>0</v>
      </c>
      <c r="F5" s="1392"/>
      <c r="G5" s="1399"/>
      <c r="H5" s="1247" t="s">
        <v>1905</v>
      </c>
      <c r="I5" s="55" t="e">
        <f>ROUND(E31/D31,2)</f>
        <v>#DIV/0!</v>
      </c>
      <c r="J5" s="1392"/>
      <c r="K5" s="1392"/>
      <c r="L5" s="1392"/>
      <c r="M5" s="1392"/>
      <c r="N5" s="1392"/>
      <c r="O5" s="1392"/>
      <c r="P5" s="1392"/>
    </row>
    <row r="6" spans="1:16" ht="15" thickBot="1">
      <c r="A6" s="2234"/>
      <c r="B6" s="3047" t="s">
        <v>1910</v>
      </c>
      <c r="C6" s="3047"/>
      <c r="D6" s="48">
        <f>ROUND($D$3*E6/$E$3,2)</f>
        <v>0</v>
      </c>
      <c r="E6" s="49">
        <f>E3-E5</f>
        <v>1723.11</v>
      </c>
      <c r="F6" s="1392"/>
      <c r="G6" s="2235" t="s">
        <v>1911</v>
      </c>
      <c r="H6" s="1399" t="s">
        <v>1912</v>
      </c>
      <c r="I6" s="939" t="e">
        <f>ROUND(F31/D31,2)</f>
        <v>#DIV/0!</v>
      </c>
      <c r="J6" s="1392"/>
      <c r="K6" s="1392"/>
      <c r="L6" s="1392"/>
      <c r="M6" s="1392"/>
      <c r="N6" s="1392"/>
      <c r="O6" s="1392"/>
      <c r="P6" s="1392"/>
    </row>
    <row r="7" spans="1:16" ht="15">
      <c r="A7" s="3039"/>
      <c r="B7" s="3040"/>
      <c r="C7" s="3041"/>
      <c r="D7" s="2231" t="s">
        <v>1906</v>
      </c>
      <c r="E7" s="2236" t="s">
        <v>1913</v>
      </c>
      <c r="F7" s="1392"/>
      <c r="G7" s="2228" t="s">
        <v>1914</v>
      </c>
      <c r="H7" s="64"/>
      <c r="I7" s="420"/>
      <c r="J7" s="1392"/>
      <c r="K7" s="1392"/>
      <c r="L7" s="1392"/>
      <c r="M7" s="1392"/>
      <c r="N7" s="1392"/>
      <c r="O7" s="1392"/>
      <c r="P7" s="1392"/>
    </row>
    <row r="8" spans="1:16">
      <c r="A8" s="47" t="s">
        <v>1915</v>
      </c>
      <c r="B8" s="50" t="s">
        <v>1916</v>
      </c>
      <c r="C8" s="48" t="s">
        <v>1917</v>
      </c>
      <c r="D8" s="48">
        <f t="shared" ref="D8:D15" si="0">ROUND($D$3*E8/$E$3,2)</f>
        <v>0</v>
      </c>
      <c r="E8" s="51">
        <f>SUMIF('数据-基础表'!BB10:BK10,"地上",'数据-基础表'!BB5:BK5)</f>
        <v>1292.3325</v>
      </c>
      <c r="F8" s="1392"/>
      <c r="G8" s="2237"/>
      <c r="H8" s="2237"/>
      <c r="I8" s="1392"/>
      <c r="J8" s="1392"/>
      <c r="K8" s="1392"/>
      <c r="L8" s="1392"/>
      <c r="M8" s="1392"/>
      <c r="N8" s="1392"/>
      <c r="O8" s="1392"/>
      <c r="P8" s="1392"/>
    </row>
    <row r="9" spans="1:16">
      <c r="A9" s="2238"/>
      <c r="B9" s="2239"/>
      <c r="C9" s="48" t="s">
        <v>1918</v>
      </c>
      <c r="D9" s="48">
        <f t="shared" si="0"/>
        <v>0</v>
      </c>
      <c r="E9" s="52">
        <v>0</v>
      </c>
      <c r="F9" s="1392"/>
      <c r="G9" s="2237"/>
      <c r="H9" s="2237"/>
      <c r="I9" s="1392"/>
      <c r="J9" s="1392"/>
      <c r="K9" s="1392"/>
      <c r="L9" s="1392"/>
      <c r="M9" s="1392"/>
      <c r="N9" s="1392"/>
      <c r="O9" s="1392"/>
      <c r="P9" s="1392"/>
    </row>
    <row r="10" spans="1:16">
      <c r="A10" s="2238"/>
      <c r="B10" s="2239"/>
      <c r="C10" s="48" t="s">
        <v>1927</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1919</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1920</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1921</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1933</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1928</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1922</v>
      </c>
      <c r="D16" s="50">
        <f>SUM(D8:D15)</f>
        <v>0</v>
      </c>
      <c r="E16" s="53">
        <f>SUM(E8:E15)</f>
        <v>1292.3325</v>
      </c>
      <c r="F16" s="1392"/>
      <c r="G16" s="2237"/>
      <c r="H16" s="2240" t="s">
        <v>1934</v>
      </c>
      <c r="I16" s="2241"/>
      <c r="J16" s="1392"/>
      <c r="K16" s="3036" t="s">
        <v>1934</v>
      </c>
      <c r="L16" s="3037"/>
      <c r="M16" s="3037"/>
      <c r="N16" s="3037"/>
      <c r="O16" s="3037"/>
      <c r="P16" s="3038"/>
    </row>
    <row r="17" spans="1:19" ht="15">
      <c r="A17" s="2242" t="s">
        <v>1935</v>
      </c>
      <c r="B17" s="2243" t="s">
        <v>1936</v>
      </c>
      <c r="C17" s="2244" t="s">
        <v>1937</v>
      </c>
      <c r="D17" s="2245" t="s">
        <v>1925</v>
      </c>
      <c r="E17" s="2246" t="s">
        <v>1926</v>
      </c>
      <c r="F17" s="2247"/>
      <c r="G17" s="2248"/>
      <c r="H17" s="2249" t="s">
        <v>1938</v>
      </c>
      <c r="I17" s="2250" t="s">
        <v>1923</v>
      </c>
      <c r="J17" s="1392"/>
      <c r="K17" s="3033" t="s">
        <v>1939</v>
      </c>
      <c r="L17" s="3034"/>
      <c r="M17" s="3035"/>
      <c r="N17" s="3033" t="s">
        <v>1940</v>
      </c>
      <c r="O17" s="3034"/>
      <c r="P17" s="3035"/>
      <c r="R17" s="2228" t="s">
        <v>1941</v>
      </c>
      <c r="S17" s="64"/>
    </row>
    <row r="18" spans="1:19" ht="15">
      <c r="A18" s="2238"/>
      <c r="B18" s="2251"/>
      <c r="C18" s="2252"/>
      <c r="D18" s="2253"/>
      <c r="E18" s="2254" t="s">
        <v>1942</v>
      </c>
      <c r="F18" s="2255" t="s">
        <v>1943</v>
      </c>
      <c r="G18" s="2256" t="s">
        <v>1944</v>
      </c>
      <c r="H18" s="1262" t="s">
        <v>1945</v>
      </c>
      <c r="I18" s="2257" t="s">
        <v>1946</v>
      </c>
      <c r="J18" s="1392"/>
      <c r="K18" s="1262" t="s">
        <v>1947</v>
      </c>
      <c r="L18" s="2258" t="s">
        <v>1948</v>
      </c>
      <c r="M18" s="1046" t="s">
        <v>1949</v>
      </c>
      <c r="N18" s="1262" t="s">
        <v>1947</v>
      </c>
      <c r="O18" s="2258" t="s">
        <v>1948</v>
      </c>
      <c r="P18" s="1046" t="s">
        <v>1949</v>
      </c>
      <c r="R18" s="1247" t="s">
        <v>1950</v>
      </c>
      <c r="S18" s="1247" t="s">
        <v>1951</v>
      </c>
    </row>
    <row r="19" spans="1:19">
      <c r="A19" s="2259"/>
      <c r="B19" s="50" t="s">
        <v>1924</v>
      </c>
      <c r="C19" s="2956" t="s">
        <v>3072</v>
      </c>
      <c r="D19" s="48">
        <f>ROUND($D$3*E19/$E$3,2)</f>
        <v>0</v>
      </c>
      <c r="E19" s="56">
        <f t="shared" ref="E19:E26" si="1">SUM(F19:G19)</f>
        <v>1723.11</v>
      </c>
      <c r="F19" s="57">
        <f>'数据-基础表'!I13</f>
        <v>1292.3325</v>
      </c>
      <c r="G19" s="58">
        <f>'数据-基础表'!K13</f>
        <v>430.77749999999997</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1723.11</v>
      </c>
    </row>
    <row r="20" spans="1:19">
      <c r="A20" s="2263"/>
      <c r="B20" s="50" t="s">
        <v>1952</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1952</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1953</v>
      </c>
      <c r="D27" s="1393">
        <f>SUM(D19:D26)</f>
        <v>0</v>
      </c>
      <c r="E27" s="1394">
        <f>IF(SUM(E19:E26)='数据-基础表'!BA5,SUM(E19:E26),IF(F27="地上面积有误","面积有误","地下面积有误"))</f>
        <v>1723.11</v>
      </c>
      <c r="F27" s="1393">
        <f>IF(SUM(F19:F26)=E8,SUM(F19:F26),"地上面积有误")</f>
        <v>1292.3325</v>
      </c>
      <c r="G27" s="1395">
        <f>SUM(G19:G26)</f>
        <v>430.77749999999997</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1723.11</v>
      </c>
    </row>
    <row r="28" spans="1:19">
      <c r="A28" s="2263"/>
      <c r="B28" s="50" t="s">
        <v>1954</v>
      </c>
      <c r="C28" s="1259" t="s">
        <v>1955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1954</v>
      </c>
      <c r="C29" s="2267"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1957</v>
      </c>
      <c r="D31" s="729">
        <f>D27+D30</f>
        <v>0</v>
      </c>
      <c r="E31" s="729">
        <f>E27+E30</f>
        <v>1723.11</v>
      </c>
      <c r="F31" s="730">
        <f>F27+F30</f>
        <v>1292.3325</v>
      </c>
      <c r="G31" s="731">
        <f>G27+G30</f>
        <v>430.77749999999997</v>
      </c>
      <c r="H31" s="1392"/>
      <c r="I31" s="1392"/>
      <c r="J31" s="1392"/>
      <c r="K31" s="1392"/>
      <c r="L31" s="1392"/>
      <c r="M31" s="1392"/>
      <c r="N31" s="1392"/>
      <c r="O31" s="1392"/>
      <c r="P31" s="1392"/>
    </row>
    <row r="32" spans="1:19">
      <c r="A32" s="2233"/>
      <c r="B32" s="2233" t="s">
        <v>1958</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Q30" sqref="Q30"/>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1959</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1960</v>
      </c>
      <c r="B2" s="1266">
        <f>项目基本情况!D3</f>
        <v>43728</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1961</v>
      </c>
      <c r="B4" s="2281"/>
      <c r="C4" s="2282"/>
      <c r="D4" s="2283"/>
      <c r="E4" s="2282" t="s">
        <v>1962</v>
      </c>
      <c r="F4" s="2282"/>
      <c r="G4" s="2282"/>
      <c r="H4" s="2282"/>
      <c r="I4" s="2282"/>
      <c r="J4" s="2284"/>
      <c r="K4" s="2285"/>
      <c r="L4" s="2286"/>
      <c r="M4" s="2282"/>
      <c r="N4" s="2282" t="s">
        <v>1963</v>
      </c>
      <c r="O4" s="2282"/>
      <c r="P4" s="2282"/>
      <c r="Q4" s="2282"/>
      <c r="R4" s="2282"/>
      <c r="S4" s="2284"/>
      <c r="T4" s="2287" t="str">
        <f>'数据-汇总表'!I17</f>
        <v>按面积比例</v>
      </c>
      <c r="U4" s="2281" t="s">
        <v>1964</v>
      </c>
      <c r="V4" s="2282"/>
      <c r="W4" s="2282"/>
      <c r="X4" s="2282"/>
      <c r="Y4" s="2284"/>
      <c r="Z4" s="2244" t="s">
        <v>1965</v>
      </c>
      <c r="AA4" s="2244"/>
      <c r="AB4" s="2244"/>
      <c r="AC4" s="2244"/>
      <c r="AD4" s="2244"/>
      <c r="AE4" s="2242" t="s">
        <v>1966</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1967</v>
      </c>
      <c r="B5" s="2290" t="s">
        <v>1968</v>
      </c>
      <c r="C5" s="2291" t="s">
        <v>1969</v>
      </c>
      <c r="D5" s="2292" t="s">
        <v>1970</v>
      </c>
      <c r="E5" s="1268" t="s">
        <v>1971</v>
      </c>
      <c r="F5" s="2293" t="s">
        <v>1972</v>
      </c>
      <c r="G5" s="1268" t="s">
        <v>1973</v>
      </c>
      <c r="H5" s="1268" t="s">
        <v>1974</v>
      </c>
      <c r="I5" s="1268" t="s">
        <v>1975</v>
      </c>
      <c r="J5" s="2294" t="s">
        <v>1976</v>
      </c>
      <c r="K5" s="2295" t="s">
        <v>1977</v>
      </c>
      <c r="L5" s="2296" t="s">
        <v>1978</v>
      </c>
      <c r="M5" s="2297" t="s">
        <v>1979</v>
      </c>
      <c r="N5" s="2298" t="s">
        <v>3073</v>
      </c>
      <c r="O5" s="2296" t="s">
        <v>1980</v>
      </c>
      <c r="P5" s="2299" t="s">
        <v>1981</v>
      </c>
      <c r="Q5" s="69" t="s">
        <v>1982</v>
      </c>
      <c r="R5" s="2300" t="s">
        <v>1983</v>
      </c>
      <c r="S5" s="2301" t="s">
        <v>1984</v>
      </c>
      <c r="T5" s="2302" t="s">
        <v>1985</v>
      </c>
      <c r="U5" s="1267" t="s">
        <v>1986</v>
      </c>
      <c r="V5" s="1268" t="s">
        <v>1987</v>
      </c>
      <c r="W5" s="1268" t="s">
        <v>1988</v>
      </c>
      <c r="X5" s="71"/>
      <c r="Y5" s="70" t="s">
        <v>1989</v>
      </c>
      <c r="Z5" s="2303" t="s">
        <v>1986</v>
      </c>
      <c r="AA5" s="1268" t="s">
        <v>1987</v>
      </c>
      <c r="AB5" s="1268" t="s">
        <v>1988</v>
      </c>
      <c r="AC5" s="71"/>
      <c r="AD5" s="71" t="s">
        <v>1989</v>
      </c>
      <c r="AE5" s="1267" t="s">
        <v>1990</v>
      </c>
      <c r="AF5" s="1268" t="s">
        <v>1991</v>
      </c>
      <c r="AG5" s="70" t="s">
        <v>1992</v>
      </c>
      <c r="AH5" s="1267" t="s">
        <v>1993</v>
      </c>
      <c r="AI5" s="2303" t="s">
        <v>1994</v>
      </c>
      <c r="AJ5" s="2303" t="s">
        <v>1995</v>
      </c>
      <c r="AK5" s="1268" t="s">
        <v>1996</v>
      </c>
      <c r="AL5" s="1268" t="s">
        <v>1997</v>
      </c>
      <c r="AM5" s="70" t="s">
        <v>1998</v>
      </c>
      <c r="AN5" s="2304" t="s">
        <v>1999</v>
      </c>
      <c r="AO5" s="2074" t="s">
        <v>2000</v>
      </c>
      <c r="AP5" s="1249" t="s">
        <v>2001</v>
      </c>
      <c r="AQ5" s="2305" t="s">
        <v>2002</v>
      </c>
      <c r="AR5" s="2305" t="s">
        <v>2003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工业</v>
      </c>
      <c r="B6" s="2307" t="str">
        <f>IF(A6=0,"","经营性")</f>
        <v>经营性</v>
      </c>
      <c r="C6" s="2308" t="s">
        <v>6</v>
      </c>
      <c r="D6" s="1051">
        <f>SUMIF(项目基本情况!D$12:I$12,C6,项目基本情况!D$14:I$14)</f>
        <v>50</v>
      </c>
      <c r="E6" s="1048">
        <f>IF(B6="","",SUMIF(项目基本情况!D$12:I$12,C6,项目基本情况!D$13:I$13))</f>
        <v>55635</v>
      </c>
      <c r="F6" s="72">
        <f>SUMIF(项目基本情况!D$12:I$12,C6,项目基本情况!D$15:I$15)</f>
        <v>32.619999999999997</v>
      </c>
      <c r="G6" s="73">
        <f>IF(ISERROR(ROUND(POWER(1+H6,D6-F6)*(POWER(1+H6,F6)-1)/(POWER(1+H6,D6)-1),3)),0,ROUND(POWER(1+H6,D6-F6)*(POWER(1+H6,F6)-1)/(POWER(1+H6,D6)-1),3))</f>
        <v>0.85699999999999998</v>
      </c>
      <c r="H6" s="802">
        <v>4.4999999999999998E-2</v>
      </c>
      <c r="I6" s="802">
        <v>0.05</v>
      </c>
      <c r="J6" s="74">
        <v>8.5000000000000006E-2</v>
      </c>
      <c r="K6" s="1251">
        <f>SUMIF('数据-汇总表'!C$19:C$33,A6,'数据-汇总表'!E$19:E$33)</f>
        <v>1723.11</v>
      </c>
      <c r="L6" s="803">
        <v>2500</v>
      </c>
      <c r="M6" s="75">
        <f t="shared" ref="M6:M14" si="0">ROUND(K6*L6/10000,0)</f>
        <v>431</v>
      </c>
      <c r="N6" s="801">
        <f>ROUND(1-(2019-2016)/60,2)</f>
        <v>0.95</v>
      </c>
      <c r="O6" s="75" t="str">
        <f>IF($N$5="成新度","——",ROUND(M6*N6,0))</f>
        <v>——</v>
      </c>
      <c r="P6" s="76" t="str">
        <f>IF($N$5="成新度","——",M6-O6)</f>
        <v>——</v>
      </c>
      <c r="Q6" s="804">
        <v>0.05</v>
      </c>
      <c r="R6" s="77">
        <f ca="1">SUMIF('数据-汇总表'!C$19:C$33,A6,'数据-汇总表'!R$19:R$27)</f>
        <v>0</v>
      </c>
      <c r="S6" s="54">
        <f>IF('数据-汇总表'!$I$17="按面积比例",SUMIF('数据-汇总表'!C$19:C$33,A6,'数据-汇总表'!K$19:K$33),SUMIF('数据-汇总表'!C$19:C$33,A6,'数据-汇总表'!N$19:N$33))</f>
        <v>0</v>
      </c>
      <c r="T6" s="1443">
        <f>ROUND($L$14*S6/10000,0)</f>
        <v>0</v>
      </c>
      <c r="U6" s="78">
        <v>1.6</v>
      </c>
      <c r="V6" s="79">
        <v>2.5000000000000001E-2</v>
      </c>
      <c r="W6" s="79">
        <v>0.1</v>
      </c>
      <c r="X6" s="1261"/>
      <c r="Y6" s="80">
        <f>N6</f>
        <v>0.95</v>
      </c>
      <c r="Z6" s="81"/>
      <c r="AA6" s="74"/>
      <c r="AB6" s="74"/>
      <c r="AC6" s="1261"/>
      <c r="AD6" s="82"/>
      <c r="AE6" s="1262">
        <f ca="1">IF(AN6="",0,SUMIF(INDIRECT("'"&amp;AN6&amp;"'"&amp;"!E:E"),$AE$5,INDIRECT("'"&amp;AN6&amp;"'"&amp;"!F:F")))</f>
        <v>32.619999999999997</v>
      </c>
      <c r="AF6" s="1804"/>
      <c r="AG6" s="147">
        <f>IF(AF6="",0,AE6-AF6)</f>
        <v>0</v>
      </c>
      <c r="AH6" s="83"/>
      <c r="AI6" s="85">
        <v>365</v>
      </c>
      <c r="AJ6" s="86"/>
      <c r="AK6" s="87">
        <v>0.02</v>
      </c>
      <c r="AL6" s="88">
        <v>1.5E-3</v>
      </c>
      <c r="AM6" s="89">
        <v>1.4999999999999999E-2</v>
      </c>
      <c r="AN6" s="2309" t="s">
        <v>3074</v>
      </c>
      <c r="AO6" s="55">
        <f ca="1">SUMIF(INDIRECT("'"&amp;AN6&amp;"'"&amp;"!A:A"),"总价",INDIRECT("'"&amp;AN6&amp;"'"&amp;"!B:B"))</f>
        <v>1372</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2004</v>
      </c>
      <c r="B14" s="2307" t="s">
        <v>2005</v>
      </c>
      <c r="C14" s="2312" t="s">
        <v>2004</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2006</v>
      </c>
      <c r="B15" s="2307" t="s">
        <v>2005</v>
      </c>
      <c r="C15" s="2312" t="s">
        <v>2007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2008</v>
      </c>
      <c r="B16" s="97"/>
      <c r="C16" s="1005"/>
      <c r="D16" s="2314"/>
      <c r="E16" s="97"/>
      <c r="F16" s="97"/>
      <c r="G16" s="98">
        <f>ROUND(SUMPRODUCT(G6:G13,K6:K13)/SUMPRODUCT((G6:G13&gt;0)*(K6:K13)),3)</f>
        <v>0.85699999999999998</v>
      </c>
      <c r="H16" s="99">
        <f>ROUND(SUMPRODUCT(H6:H13,K6:K13)/SUMPRODUCT((H6:H13&gt;0)*(K6:K13)),3)</f>
        <v>4.4999999999999998E-2</v>
      </c>
      <c r="I16" s="100"/>
      <c r="J16" s="100"/>
      <c r="K16" s="101">
        <f>SUM(K6:K15)</f>
        <v>1723.11</v>
      </c>
      <c r="L16" s="102">
        <f>ROUND(M16*10000/SUM(K6:K14),0)</f>
        <v>2501</v>
      </c>
      <c r="M16" s="102">
        <f>SUM(M6:M14)</f>
        <v>431</v>
      </c>
      <c r="N16" s="103">
        <f>ROUND(SUMPRODUCT(M6:M14,N6:N14)/M16,3)</f>
        <v>0.95</v>
      </c>
      <c r="O16" s="102">
        <f>SUM(O6:O14)</f>
        <v>0</v>
      </c>
      <c r="P16" s="102">
        <f>SUM(P6:P14)</f>
        <v>0</v>
      </c>
      <c r="Q16" s="104">
        <f>ROUND(SUMPRODUCT(Q6:Q13,K6:K13)/SUMPRODUCT((Q6:Q13&gt;0)*(K6:K13)),2)</f>
        <v>0.05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2009</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2010</v>
      </c>
      <c r="B19" s="112"/>
      <c r="C19" s="2277" t="s">
        <v>2011</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2012</v>
      </c>
      <c r="B20" s="113">
        <v>1.5</v>
      </c>
      <c r="C20" s="2277" t="s">
        <v>2013</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2014</v>
      </c>
      <c r="B21" s="113">
        <v>1.5</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2015</v>
      </c>
      <c r="B22" s="114">
        <f>B19+B20</f>
        <v>1.5</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2016</v>
      </c>
      <c r="B23" s="114">
        <f>B19+B21</f>
        <v>1.5</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2017</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2018</v>
      </c>
      <c r="B26" s="2320" t="s">
        <v>2019</v>
      </c>
      <c r="C26" s="2321" t="s">
        <v>2020</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2021</v>
      </c>
      <c r="B27" s="116"/>
      <c r="C27" s="1764" t="s">
        <v>2022</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2023</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2024</v>
      </c>
      <c r="B29" s="121">
        <f>ROUND('数据-基础表'!G13*'数据-取费表'!B28/10000,0)</f>
        <v>34</v>
      </c>
      <c r="C29" s="1764" t="s">
        <v>2025</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2026</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2027</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2028</v>
      </c>
      <c r="B32" s="725"/>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2029</v>
      </c>
      <c r="B33" s="726">
        <v>0.03</v>
      </c>
      <c r="C33" s="1763" t="s">
        <v>2030</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2031</v>
      </c>
      <c r="B34" s="122">
        <v>0</v>
      </c>
      <c r="C34" s="1763" t="s">
        <v>2032</v>
      </c>
      <c r="D34" s="2278" t="s">
        <v>2033</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2034</v>
      </c>
      <c r="B35" s="119">
        <v>0</v>
      </c>
      <c r="C35" s="1763" t="s">
        <v>2035</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2036</v>
      </c>
      <c r="B36" s="123">
        <v>1.4999999999999999E-2</v>
      </c>
      <c r="C36" s="1763" t="s">
        <v>2037</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2038</v>
      </c>
      <c r="B37" s="124">
        <v>0.01</v>
      </c>
      <c r="C37" s="1763" t="s">
        <v>2039</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2040</v>
      </c>
      <c r="B38" s="122">
        <v>0.01</v>
      </c>
      <c r="C38" s="1763" t="s">
        <v>2039</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2041</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2042</v>
      </c>
      <c r="B40" s="1300">
        <f ca="1">存贷款利率!G1</f>
        <v>4.7500000000000001E-2</v>
      </c>
      <c r="C40" s="1763" t="s">
        <v>2043</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2044</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2045</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2046</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2047</v>
      </c>
      <c r="B44" s="128">
        <v>0.05</v>
      </c>
      <c r="C44" s="1763" t="s">
        <v>2048</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2049</v>
      </c>
      <c r="B45" s="126">
        <v>0.03</v>
      </c>
      <c r="C45" s="1764" t="s">
        <v>2050</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2051</v>
      </c>
      <c r="B46" s="126">
        <v>0.02</v>
      </c>
      <c r="C46" s="1764" t="s">
        <v>2052</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2053</v>
      </c>
      <c r="B47" s="129"/>
      <c r="C47" s="1764" t="s">
        <v>2054</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2055</v>
      </c>
      <c r="B48" s="130">
        <v>0.03</v>
      </c>
      <c r="C48" s="1771" t="s">
        <v>2056</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2057</v>
      </c>
      <c r="B49" s="126">
        <v>5.0000000000000001E-4</v>
      </c>
      <c r="C49" s="1771" t="s">
        <v>2058</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2059</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2060</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2061</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2062</v>
      </c>
      <c r="B53" s="2336" t="s">
        <v>56</v>
      </c>
      <c r="C53" s="1427" t="s">
        <v>2063</v>
      </c>
      <c r="D53" s="2337" t="s">
        <v>2064</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2065</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2066</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2067</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2068</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2069</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2070</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2071</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2072</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2073</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2074</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48" t="s">
        <v>2075</v>
      </c>
      <c r="B1" s="3049"/>
      <c r="C1" s="3049"/>
      <c r="D1" s="3049"/>
      <c r="E1" s="3049"/>
      <c r="F1" s="3049"/>
      <c r="G1" s="3049"/>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2076</v>
      </c>
      <c r="D2" s="2366"/>
      <c r="E2" s="2367"/>
      <c r="F2" s="2286"/>
      <c r="G2" s="2365" t="s">
        <v>2077</v>
      </c>
      <c r="H2" s="2368"/>
      <c r="I2" s="2368"/>
      <c r="J2" s="2368"/>
      <c r="K2" s="2368"/>
      <c r="L2" s="2368"/>
      <c r="M2" s="2368"/>
      <c r="N2" s="2368"/>
      <c r="O2" s="2368"/>
      <c r="P2" s="2368"/>
      <c r="Q2" s="2368"/>
      <c r="R2" s="2368"/>
    </row>
    <row r="3" spans="1:29" ht="54">
      <c r="A3" s="415" t="s">
        <v>2078</v>
      </c>
      <c r="B3" s="1268" t="s">
        <v>2079</v>
      </c>
      <c r="C3" s="2370" t="s">
        <v>2080</v>
      </c>
      <c r="D3" s="2371"/>
      <c r="E3" s="431" t="s">
        <v>2078</v>
      </c>
      <c r="F3" s="2372" t="s">
        <v>2081</v>
      </c>
      <c r="G3" s="2373" t="s">
        <v>2082</v>
      </c>
      <c r="H3" s="2368"/>
      <c r="I3" s="2368"/>
      <c r="J3" s="2368"/>
      <c r="K3" s="2368"/>
      <c r="L3" s="2368"/>
      <c r="M3" s="2368"/>
      <c r="N3" s="2368"/>
      <c r="O3" s="2368"/>
      <c r="P3" s="2368"/>
      <c r="Q3" s="2368"/>
      <c r="R3" s="2368"/>
    </row>
    <row r="4" spans="1:29" ht="41.25">
      <c r="A4" s="431"/>
      <c r="B4" s="1795" t="s">
        <v>2083</v>
      </c>
      <c r="C4" s="2374" t="s">
        <v>2084</v>
      </c>
      <c r="D4" s="2371"/>
      <c r="E4" s="2375"/>
      <c r="F4" s="42" t="s">
        <v>2085</v>
      </c>
      <c r="G4" s="2376" t="s">
        <v>2086</v>
      </c>
      <c r="H4" s="2368"/>
      <c r="I4" s="2368"/>
      <c r="J4" s="2368"/>
      <c r="K4" s="2368"/>
      <c r="L4" s="2368"/>
      <c r="M4" s="2368"/>
      <c r="N4" s="2368"/>
      <c r="O4" s="2368"/>
      <c r="P4" s="2368"/>
      <c r="Q4" s="2368"/>
      <c r="R4" s="2368"/>
    </row>
    <row r="5" spans="1:29" ht="41.25">
      <c r="A5" s="431"/>
      <c r="B5" s="1795" t="s">
        <v>2087</v>
      </c>
      <c r="C5" s="2374" t="s">
        <v>2088</v>
      </c>
      <c r="D5" s="2371"/>
      <c r="E5" s="2375"/>
      <c r="F5" s="1795" t="s">
        <v>2089</v>
      </c>
      <c r="G5" s="2376" t="s">
        <v>2090</v>
      </c>
      <c r="H5" s="2368"/>
      <c r="I5" s="2368"/>
      <c r="J5" s="2368"/>
      <c r="K5" s="2368"/>
      <c r="L5" s="2368"/>
      <c r="M5" s="2368"/>
      <c r="N5" s="2368"/>
      <c r="O5" s="2368"/>
      <c r="P5" s="2368"/>
      <c r="Q5" s="2368"/>
      <c r="R5" s="2368"/>
    </row>
    <row r="6" spans="1:29" ht="54">
      <c r="A6" s="431"/>
      <c r="B6" s="1795" t="s">
        <v>2091</v>
      </c>
      <c r="C6" s="2376" t="s">
        <v>2086</v>
      </c>
      <c r="D6" s="2371"/>
      <c r="E6" s="2375"/>
      <c r="F6" s="1795" t="s">
        <v>2092</v>
      </c>
      <c r="G6" s="2376" t="s">
        <v>2093</v>
      </c>
      <c r="H6" s="2368"/>
      <c r="I6" s="2368"/>
      <c r="J6" s="2368"/>
      <c r="K6" s="2368"/>
      <c r="L6" s="2368"/>
      <c r="M6" s="2368"/>
      <c r="N6" s="2368"/>
      <c r="O6" s="2368"/>
      <c r="P6" s="2368"/>
      <c r="Q6" s="2368"/>
      <c r="R6" s="2368"/>
    </row>
    <row r="7" spans="1:29" ht="41.25" thickBot="1">
      <c r="A7" s="431"/>
      <c r="B7" s="1795" t="s">
        <v>2089</v>
      </c>
      <c r="C7" s="2376" t="s">
        <v>2090</v>
      </c>
      <c r="D7" s="2377"/>
      <c r="E7" s="2378"/>
      <c r="F7" s="2379" t="s">
        <v>2094</v>
      </c>
      <c r="G7" s="2380" t="s">
        <v>2095</v>
      </c>
      <c r="H7" s="2368"/>
      <c r="I7" s="2368"/>
      <c r="J7" s="2368"/>
      <c r="K7" s="2368"/>
      <c r="L7" s="2368"/>
      <c r="M7" s="2368"/>
      <c r="N7" s="2368"/>
      <c r="O7" s="2368"/>
      <c r="P7" s="2368"/>
      <c r="Q7" s="2368"/>
      <c r="R7" s="2368"/>
    </row>
    <row r="8" spans="1:29" ht="27">
      <c r="A8" s="431"/>
      <c r="B8" s="1795" t="s">
        <v>2092</v>
      </c>
      <c r="C8" s="2376" t="s">
        <v>2093</v>
      </c>
      <c r="D8" s="2377"/>
      <c r="E8" s="2377"/>
      <c r="F8" s="1133"/>
      <c r="G8" s="1133"/>
      <c r="H8" s="2368"/>
      <c r="I8" s="2368"/>
      <c r="J8" s="2368"/>
      <c r="K8" s="2368"/>
      <c r="L8" s="2368"/>
      <c r="M8" s="2368"/>
      <c r="N8" s="2368"/>
      <c r="O8" s="2368"/>
      <c r="P8" s="2368"/>
      <c r="Q8" s="2368"/>
      <c r="R8" s="2368"/>
    </row>
    <row r="9" spans="1:29" ht="27">
      <c r="A9" s="431"/>
      <c r="B9" s="1795" t="s">
        <v>2096</v>
      </c>
      <c r="C9" s="2374" t="s">
        <v>2097</v>
      </c>
      <c r="D9" s="2371"/>
      <c r="E9" s="2377"/>
      <c r="F9" s="1133"/>
      <c r="G9" s="1133"/>
      <c r="H9" s="2368"/>
      <c r="I9" s="2368"/>
      <c r="J9" s="2368"/>
      <c r="K9" s="2368"/>
      <c r="L9" s="2368"/>
      <c r="M9" s="2368"/>
      <c r="N9" s="2368"/>
      <c r="O9" s="2368"/>
      <c r="P9" s="2368"/>
      <c r="Q9" s="2368"/>
      <c r="R9" s="2368"/>
    </row>
    <row r="10" spans="1:29" s="117" customFormat="1" ht="15.75" thickBot="1">
      <c r="A10" s="2381"/>
      <c r="B10" s="2382" t="s">
        <v>2098</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2099</v>
      </c>
      <c r="B13" s="2388"/>
      <c r="C13" s="2388"/>
      <c r="D13" s="2395"/>
      <c r="E13" s="2388"/>
      <c r="F13" s="2388"/>
      <c r="G13" s="2388"/>
    </row>
    <row r="14" spans="1:29" ht="15.75" thickBot="1">
      <c r="A14" s="2399"/>
      <c r="B14" s="2400"/>
      <c r="C14" s="2401" t="s">
        <v>2100</v>
      </c>
      <c r="D14" s="2371"/>
      <c r="E14" s="2402"/>
      <c r="F14" s="2402"/>
      <c r="G14" s="2365" t="s">
        <v>2101</v>
      </c>
    </row>
    <row r="15" spans="1:29" ht="57">
      <c r="A15" s="68" t="s">
        <v>2102</v>
      </c>
      <c r="B15" s="1267" t="s">
        <v>2079</v>
      </c>
      <c r="C15" s="2403" t="str">
        <f>C3</f>
        <v>估价对象周边居住用地比例、居住小区规模和社区发展完善程度，综合评价居住社区成熟度一般</v>
      </c>
      <c r="D15" s="2371"/>
      <c r="E15" s="2404" t="s">
        <v>2103</v>
      </c>
      <c r="F15" s="1267" t="s">
        <v>2104</v>
      </c>
      <c r="G15" s="135" t="str">
        <f>G3</f>
        <v>估价对象位于XX开发区，园区建设成熟度XX，产业集聚程度XX</v>
      </c>
    </row>
    <row r="16" spans="1:29" ht="42.75">
      <c r="A16" s="645"/>
      <c r="B16" s="2405" t="s">
        <v>2083</v>
      </c>
      <c r="C16" s="2406" t="str">
        <f>C4</f>
        <v>估价对象位于XX商圈，周边商业氛围成熟，人流量大，商业繁华度好</v>
      </c>
      <c r="D16" s="2371"/>
      <c r="E16" s="2407"/>
      <c r="F16" s="2408" t="s">
        <v>2085</v>
      </c>
      <c r="G16" s="136" t="str">
        <f>G4</f>
        <v>估价对象周边道路状况、公共交通通达情况、停车便捷程度，综合评价交通便捷度较好</v>
      </c>
    </row>
    <row r="17" spans="1:18" ht="42.75">
      <c r="A17" s="645"/>
      <c r="B17" s="2405" t="s">
        <v>2087</v>
      </c>
      <c r="C17" s="2406" t="str">
        <f>C5</f>
        <v>估价对象位于XX商圈，周边办公楼项目较多，入驻率高，办公集聚程度较好</v>
      </c>
      <c r="D17" s="2377"/>
      <c r="E17" s="2407"/>
      <c r="F17" s="2408" t="s">
        <v>2105</v>
      </c>
      <c r="G17" s="1569"/>
    </row>
    <row r="18" spans="1:18" ht="57">
      <c r="A18" s="645"/>
      <c r="B18" s="2408" t="s">
        <v>2091</v>
      </c>
      <c r="C18" s="136" t="str">
        <f>C6</f>
        <v>估价对象周边道路状况、公共交通通达情况、停车便捷程度，综合评价交通便捷度较好</v>
      </c>
      <c r="D18" s="2377"/>
      <c r="E18" s="2407"/>
      <c r="F18" s="2408" t="s">
        <v>2094</v>
      </c>
      <c r="G18" s="136" t="str">
        <f>G7</f>
        <v>该园区内是否有污染型企业，绿化情况，卫生条件，整体环境状况判断</v>
      </c>
    </row>
    <row r="19" spans="1:18" ht="28.5">
      <c r="A19" s="645"/>
      <c r="B19" s="2408" t="s">
        <v>2106</v>
      </c>
      <c r="C19" s="1569"/>
      <c r="D19" s="2371"/>
      <c r="E19" s="2407"/>
      <c r="F19" s="1795" t="s">
        <v>2089</v>
      </c>
      <c r="G19" s="136" t="str">
        <f>G5</f>
        <v>估价对象所在区域公共配套设施齐备情况</v>
      </c>
    </row>
    <row r="20" spans="1:18" ht="28.5">
      <c r="A20" s="645"/>
      <c r="B20" s="2408" t="s">
        <v>2107</v>
      </c>
      <c r="C20" s="2406" t="str">
        <f>C9</f>
        <v>区域自然环境：；人文环境；综合评价环境状况一般</v>
      </c>
      <c r="D20" s="2377"/>
      <c r="E20" s="2407"/>
      <c r="F20" s="1795" t="s">
        <v>2108</v>
      </c>
      <c r="G20" s="136" t="str">
        <f>G6</f>
        <v>估价对象所在区域基础设施水平</v>
      </c>
    </row>
    <row r="21" spans="1:18" ht="28.5">
      <c r="A21" s="645"/>
      <c r="B21" s="1795" t="s">
        <v>2089</v>
      </c>
      <c r="C21" s="136" t="str">
        <f>C7</f>
        <v>估价对象所在区域公共配套设施齐备情况</v>
      </c>
      <c r="D21" s="2371"/>
      <c r="E21" s="2407"/>
      <c r="F21" s="2408" t="s">
        <v>2109</v>
      </c>
      <c r="G21" s="2409"/>
    </row>
    <row r="22" spans="1:18" ht="13.5" customHeight="1">
      <c r="A22" s="645"/>
      <c r="B22" s="1795" t="s">
        <v>2092</v>
      </c>
      <c r="C22" s="136" t="str">
        <f>C8</f>
        <v>估价对象所在区域基础设施水平</v>
      </c>
      <c r="D22" s="2371"/>
      <c r="E22" s="2407"/>
      <c r="F22" s="2408" t="s">
        <v>2098</v>
      </c>
      <c r="G22" s="1569"/>
    </row>
    <row r="23" spans="1:18" s="2368" customFormat="1" ht="15.75" thickBot="1">
      <c r="A23" s="645"/>
      <c r="B23" s="2408" t="s">
        <v>2109</v>
      </c>
      <c r="C23" s="2409"/>
      <c r="D23" s="2396"/>
      <c r="E23" s="2410"/>
      <c r="F23" s="2411" t="s">
        <v>2110</v>
      </c>
      <c r="G23" s="2412"/>
      <c r="H23" s="2396"/>
      <c r="I23" s="2397"/>
      <c r="J23" s="2396"/>
      <c r="K23" s="2396"/>
      <c r="L23" s="2397"/>
      <c r="M23" s="2396"/>
      <c r="N23" s="2396"/>
      <c r="O23" s="2397"/>
      <c r="P23" s="2396"/>
      <c r="Q23" s="2396"/>
      <c r="R23" s="2398"/>
    </row>
    <row r="24" spans="1:18" s="2368" customFormat="1" ht="15.75" thickBot="1">
      <c r="A24" s="2413"/>
      <c r="B24" s="2411" t="s">
        <v>2111</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1723.11</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43728</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1355</v>
      </c>
      <c r="C5" s="1743">
        <f ca="1">ROUND(B5*10000/$B$1,0)</f>
        <v>7864</v>
      </c>
      <c r="D5" s="1743" t="e">
        <f ca="1">ROUND(B5*10000/$B$2,0)</f>
        <v>#DIV/0!</v>
      </c>
      <c r="E5" s="1742"/>
      <c r="F5" s="1740"/>
      <c r="G5" s="1740"/>
    </row>
    <row r="6" spans="1:10" ht="16.5">
      <c r="A6" s="1743" t="s">
        <v>1352</v>
      </c>
      <c r="B6" s="1743">
        <f ca="1">SUM(G14:G23)</f>
        <v>1355</v>
      </c>
      <c r="C6" s="1743">
        <f ca="1">ROUND(B6*10000/$B$1,0)</f>
        <v>7864</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1723.11</v>
      </c>
      <c r="C14" s="1741">
        <f>结果表!C118</f>
        <v>0</v>
      </c>
      <c r="D14" s="1741">
        <f ca="1">结果表!H118</f>
        <v>1355</v>
      </c>
      <c r="E14" s="1741">
        <f ca="1">ROUND(D14*10000/B14,0)</f>
        <v>7864</v>
      </c>
      <c r="F14" s="1741" t="e">
        <f ca="1">ROUND(D14*10000/C14,0)</f>
        <v>#DIV/0!</v>
      </c>
      <c r="G14" s="1741">
        <f ca="1">结果表!D122</f>
        <v>1355</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35" sqref="H35"/>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2112</v>
      </c>
      <c r="B1" s="2419"/>
      <c r="C1" s="2420"/>
      <c r="D1" s="2419"/>
      <c r="E1" s="2419"/>
      <c r="F1" s="2421" t="s">
        <v>2113</v>
      </c>
      <c r="G1" s="2070" t="s">
        <v>2114</v>
      </c>
      <c r="H1" s="2422" t="str">
        <f>IF(G1="现房","——","估价对象范围")</f>
        <v>估价对象范围</v>
      </c>
      <c r="I1" s="2423"/>
    </row>
    <row r="2" spans="1:12" ht="21.75" customHeight="1" thickBot="1">
      <c r="A2" s="3083" t="str">
        <f>项目基本情况!S2</f>
        <v>北京市出让国有建设用地使用权及在建建筑物房地产</v>
      </c>
      <c r="B2" s="3084"/>
      <c r="C2" s="3084"/>
      <c r="D2" s="3084"/>
      <c r="E2" s="3084"/>
      <c r="F2" s="3084"/>
      <c r="G2" s="3084"/>
      <c r="H2" s="3084"/>
      <c r="I2" s="3085"/>
    </row>
    <row r="3" spans="1:12" ht="12.75">
      <c r="A3" s="3087" t="s">
        <v>2115</v>
      </c>
      <c r="B3" s="3088"/>
      <c r="C3" s="3088"/>
      <c r="D3" s="3088"/>
      <c r="E3" s="3088"/>
      <c r="F3" s="3088"/>
      <c r="G3" s="3088"/>
      <c r="H3" s="3088"/>
      <c r="I3" s="3088"/>
    </row>
    <row r="4" spans="1:12" ht="14.25">
      <c r="A4" s="2426" t="s">
        <v>2116</v>
      </c>
      <c r="B4" s="2427" t="s">
        <v>2117</v>
      </c>
      <c r="C4" s="2428" t="s">
        <v>3080</v>
      </c>
      <c r="D4" s="2428" t="s">
        <v>3074</v>
      </c>
      <c r="E4" s="3080" t="s">
        <v>2118</v>
      </c>
      <c r="F4" s="3081"/>
      <c r="G4" s="3081"/>
      <c r="H4" s="3081"/>
      <c r="I4" s="3089"/>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63" t="s">
        <v>2119</v>
      </c>
      <c r="B5" s="3001">
        <v>25</v>
      </c>
      <c r="C5" s="3066"/>
      <c r="D5" s="3086"/>
      <c r="E5" s="140" t="s">
        <v>2120</v>
      </c>
      <c r="F5" s="2430"/>
      <c r="G5" s="2430"/>
      <c r="H5" s="2430"/>
      <c r="I5" s="1831"/>
    </row>
    <row r="6" spans="1:12" ht="12.75">
      <c r="A6" s="3063"/>
      <c r="B6" s="3001"/>
      <c r="C6" s="3067"/>
      <c r="D6" s="3086"/>
      <c r="E6" s="140" t="s">
        <v>2121</v>
      </c>
      <c r="F6" s="2430"/>
      <c r="G6" s="2430"/>
      <c r="H6" s="2430"/>
      <c r="I6" s="1831"/>
    </row>
    <row r="7" spans="1:12" ht="12.75">
      <c r="A7" s="3063"/>
      <c r="B7" s="3001"/>
      <c r="C7" s="3068"/>
      <c r="D7" s="3086"/>
      <c r="E7" s="140" t="s">
        <v>2122</v>
      </c>
      <c r="F7" s="2430"/>
      <c r="G7" s="2430"/>
      <c r="H7" s="2430"/>
      <c r="I7" s="1831"/>
    </row>
    <row r="8" spans="1:12" ht="12.75">
      <c r="A8" s="3063" t="s">
        <v>2123</v>
      </c>
      <c r="B8" s="3001">
        <v>15</v>
      </c>
      <c r="C8" s="3066"/>
      <c r="D8" s="3086"/>
      <c r="E8" s="140" t="s">
        <v>2124</v>
      </c>
      <c r="F8" s="2430"/>
      <c r="G8" s="2430"/>
      <c r="H8" s="2430"/>
      <c r="I8" s="1831"/>
    </row>
    <row r="9" spans="1:12" ht="12.75">
      <c r="A9" s="3063"/>
      <c r="B9" s="3001"/>
      <c r="C9" s="3068"/>
      <c r="D9" s="3086"/>
      <c r="E9" s="140" t="s">
        <v>2125</v>
      </c>
      <c r="F9" s="2430"/>
      <c r="G9" s="2430"/>
      <c r="H9" s="2430"/>
      <c r="I9" s="1831"/>
    </row>
    <row r="10" spans="1:12" ht="12.75">
      <c r="A10" s="3063" t="s">
        <v>2126</v>
      </c>
      <c r="B10" s="3001">
        <v>15</v>
      </c>
      <c r="C10" s="3066"/>
      <c r="D10" s="3086"/>
      <c r="E10" s="140" t="s">
        <v>2127</v>
      </c>
      <c r="F10" s="2430"/>
      <c r="G10" s="2430"/>
      <c r="H10" s="2430"/>
      <c r="I10" s="1831"/>
    </row>
    <row r="11" spans="1:12" ht="12.75">
      <c r="A11" s="3063"/>
      <c r="B11" s="3001"/>
      <c r="C11" s="3068"/>
      <c r="D11" s="3086"/>
      <c r="E11" s="140" t="s">
        <v>2128</v>
      </c>
      <c r="F11" s="2430"/>
      <c r="G11" s="2430"/>
      <c r="H11" s="2430"/>
      <c r="I11" s="1831"/>
    </row>
    <row r="12" spans="1:12" ht="12.75">
      <c r="A12" s="3063" t="s">
        <v>2129</v>
      </c>
      <c r="B12" s="3001">
        <v>15</v>
      </c>
      <c r="C12" s="3066"/>
      <c r="D12" s="3086"/>
      <c r="E12" s="140" t="s">
        <v>2130</v>
      </c>
      <c r="F12" s="2430"/>
      <c r="G12" s="2430"/>
      <c r="H12" s="2430"/>
      <c r="I12" s="1831"/>
    </row>
    <row r="13" spans="1:12" ht="12.75">
      <c r="A13" s="3063"/>
      <c r="B13" s="3001"/>
      <c r="C13" s="3068"/>
      <c r="D13" s="3086"/>
      <c r="E13" s="140" t="s">
        <v>2131</v>
      </c>
      <c r="F13" s="2430"/>
      <c r="G13" s="2430"/>
      <c r="H13" s="2430"/>
      <c r="I13" s="1831"/>
    </row>
    <row r="14" spans="1:12" ht="12.75">
      <c r="A14" s="3063" t="s">
        <v>2132</v>
      </c>
      <c r="B14" s="3001">
        <v>30</v>
      </c>
      <c r="C14" s="3066">
        <v>6</v>
      </c>
      <c r="D14" s="3086">
        <v>4</v>
      </c>
      <c r="E14" s="140" t="s">
        <v>2133</v>
      </c>
      <c r="F14" s="2430"/>
      <c r="G14" s="2430"/>
      <c r="H14" s="2430"/>
      <c r="I14" s="1831"/>
    </row>
    <row r="15" spans="1:12" ht="12.75">
      <c r="A15" s="3063"/>
      <c r="B15" s="3001"/>
      <c r="C15" s="3067"/>
      <c r="D15" s="3086"/>
      <c r="E15" s="140" t="s">
        <v>2134</v>
      </c>
      <c r="F15" s="2430"/>
      <c r="G15" s="2430"/>
      <c r="H15" s="2430"/>
      <c r="I15" s="1831"/>
    </row>
    <row r="16" spans="1:12" ht="12.75">
      <c r="A16" s="3063"/>
      <c r="B16" s="3001"/>
      <c r="C16" s="3068"/>
      <c r="D16" s="3086"/>
      <c r="E16" s="140" t="s">
        <v>2135</v>
      </c>
      <c r="F16" s="2430"/>
      <c r="G16" s="2430"/>
      <c r="H16" s="2430"/>
      <c r="I16" s="1831"/>
    </row>
    <row r="17" spans="1:35" ht="15">
      <c r="A17" s="2431" t="s">
        <v>2136</v>
      </c>
      <c r="B17" s="64"/>
      <c r="C17" s="141">
        <f>SUM(C5:C16)</f>
        <v>6</v>
      </c>
      <c r="D17" s="141">
        <f>SUM(D5:D16)</f>
        <v>4</v>
      </c>
      <c r="E17" s="138"/>
      <c r="F17" s="138"/>
      <c r="G17" s="138"/>
      <c r="H17" s="138"/>
      <c r="I17" s="138"/>
      <c r="K17" s="2429"/>
      <c r="L17" s="2432" t="s">
        <v>2137</v>
      </c>
      <c r="M17" s="2432" t="s">
        <v>2138</v>
      </c>
    </row>
    <row r="18" spans="1:35" ht="15.75" thickBot="1">
      <c r="A18" s="2433" t="s">
        <v>2139</v>
      </c>
      <c r="B18" s="2434"/>
      <c r="C18" s="142">
        <f>ROUND(C17/SUM(C17:D17),2)</f>
        <v>0.6</v>
      </c>
      <c r="D18" s="142">
        <f>1-C18</f>
        <v>0.4</v>
      </c>
      <c r="E18" s="138"/>
      <c r="F18" s="138"/>
      <c r="G18" s="138"/>
      <c r="H18" s="138"/>
      <c r="I18" s="138"/>
      <c r="K18" s="2429" t="s">
        <v>2140</v>
      </c>
      <c r="L18" s="2429">
        <f>IF(C1="",'数据-汇总表'!E3,SUMIF(项目类型,C1,'数据-汇总表'!E17:E26)+SUMIF(项目类型,C1,'数据-汇总表'!I17:I26))</f>
        <v>1723.11</v>
      </c>
      <c r="M18" s="2429">
        <f>IF(C1="",'数据-汇总表'!E3,SUMIF(项目类型,C1,'数据-汇总表'!E17:E26))</f>
        <v>1723.11</v>
      </c>
    </row>
    <row r="19" spans="1:35" ht="15">
      <c r="A19" s="2435" t="s">
        <v>2141</v>
      </c>
      <c r="B19" s="2436" t="s">
        <v>2142</v>
      </c>
      <c r="C19" s="143">
        <f ca="1">SUMIF(INDIRECT("'"&amp;C4&amp;"'"&amp;"!A:A"),结果表!B19,INDIRECT("'"&amp;C4&amp;"'"&amp;"!B:B"))</f>
        <v>1343</v>
      </c>
      <c r="D19" s="144">
        <f ca="1">SUMIF(INDIRECT("'"&amp;D4&amp;"'"&amp;"!A:A"),结果表!B19,INDIRECT("'"&amp;D4&amp;"'"&amp;"!B:B"))</f>
        <v>1372</v>
      </c>
      <c r="E19" s="2435" t="s">
        <v>2143</v>
      </c>
      <c r="F19" s="2436" t="s">
        <v>2142</v>
      </c>
      <c r="G19" s="145">
        <f ca="1">ROUND(C19*$C$18+D19*$D$18,0)</f>
        <v>1355</v>
      </c>
      <c r="H19" s="2437" t="s">
        <v>2144</v>
      </c>
      <c r="I19" s="138"/>
      <c r="K19" s="2429" t="s">
        <v>2145</v>
      </c>
      <c r="L19" s="2429">
        <f>IF(C1="",'数据-汇总表'!D3,SUMIF(项目类型,C1,'数据-汇总表'!D17:D26)+SUMIF(项目类型,C1,'数据-汇总表'!H17:H27))</f>
        <v>0</v>
      </c>
      <c r="M19" s="2429">
        <f>IF(C1="",'数据-汇总表'!D3,SUMIF(项目类型,C1,'数据-汇总表'!D17:D26))</f>
        <v>0</v>
      </c>
    </row>
    <row r="20" spans="1:35" ht="15">
      <c r="A20" s="2438"/>
      <c r="B20" s="1247" t="s">
        <v>2146</v>
      </c>
      <c r="C20" s="146">
        <f ca="1">SUMIF(INDIRECT("'"&amp;C4&amp;"'"&amp;"!A:A"),结果表!B20,INDIRECT("'"&amp;C4&amp;"'"&amp;"!B:B"))</f>
        <v>7792</v>
      </c>
      <c r="D20" s="147">
        <f ca="1">SUMIF(INDIRECT("'"&amp;D4&amp;"'"&amp;"!A:A"),结果表!B20,INDIRECT("'"&amp;D4&amp;"'"&amp;"!B:B"))</f>
        <v>7962</v>
      </c>
      <c r="E20" s="2438"/>
      <c r="F20" s="1247" t="s">
        <v>2146</v>
      </c>
      <c r="G20" s="148">
        <f ca="1">ROUND(C20*$C$18+D20*$D$18,0)</f>
        <v>7860</v>
      </c>
      <c r="H20" s="980" t="s">
        <v>2147</v>
      </c>
      <c r="I20" s="138"/>
    </row>
    <row r="21" spans="1:35" ht="15" customHeight="1" thickBot="1">
      <c r="A21" s="1000"/>
      <c r="B21" s="2439" t="s">
        <v>2148</v>
      </c>
      <c r="C21" s="789" t="e">
        <f ca="1">ROUND(C19*10000/L19,0)</f>
        <v>#DIV/0!</v>
      </c>
      <c r="D21" s="790" t="e">
        <f ca="1">ROUND(D19*10000/L19,0)</f>
        <v>#DIV/0!</v>
      </c>
      <c r="E21" s="1000"/>
      <c r="F21" s="2439" t="s">
        <v>2148</v>
      </c>
      <c r="G21" s="149" t="e">
        <f ca="1">ROUND(G19*10000/L19,0)</f>
        <v>#DIV/0!</v>
      </c>
      <c r="H21" s="2440" t="s">
        <v>2147</v>
      </c>
      <c r="I21" s="138"/>
    </row>
    <row r="22" spans="1:35" ht="15" thickBot="1">
      <c r="A22" s="2281" t="s">
        <v>2149</v>
      </c>
      <c r="B22" s="2441"/>
      <c r="C22" s="2442"/>
      <c r="D22" s="791">
        <f ca="1">IF(C19&lt;D19,D19/C19-1,C19/D19-1)</f>
        <v>2.1593447505584562E-2</v>
      </c>
      <c r="E22" s="138"/>
      <c r="F22" s="138"/>
      <c r="G22" s="138"/>
      <c r="H22" s="138"/>
      <c r="I22" s="138"/>
    </row>
    <row r="23" spans="1:35" ht="13.5" thickBot="1">
      <c r="A23" s="2419"/>
      <c r="B23" s="2419"/>
      <c r="C23" s="2419"/>
      <c r="D23" s="2419"/>
      <c r="E23" s="138"/>
      <c r="F23" s="138"/>
      <c r="G23" s="138"/>
      <c r="H23" s="138"/>
      <c r="I23" s="138"/>
    </row>
    <row r="24" spans="1:35" ht="14.25">
      <c r="A24" s="3057" t="s">
        <v>2150</v>
      </c>
      <c r="B24" s="2436" t="s">
        <v>2142</v>
      </c>
      <c r="C24" s="145">
        <f>IF(B30=0,0,D30)</f>
        <v>0</v>
      </c>
      <c r="D24" s="2443"/>
      <c r="E24" s="138"/>
      <c r="F24" s="138"/>
      <c r="G24" s="138"/>
      <c r="H24" s="138"/>
      <c r="I24" s="138"/>
    </row>
    <row r="25" spans="1:35" ht="14.25">
      <c r="A25" s="3058"/>
      <c r="B25" s="1247" t="s">
        <v>2146</v>
      </c>
      <c r="C25" s="150">
        <f>IF(B30=0,0,C30)</f>
        <v>0</v>
      </c>
      <c r="D25" s="2444"/>
      <c r="E25" s="138"/>
      <c r="F25" s="138"/>
      <c r="G25" s="138"/>
      <c r="H25" s="138"/>
      <c r="I25" s="138"/>
    </row>
    <row r="26" spans="1:35" ht="13.5" customHeight="1">
      <c r="A26" s="2445" t="s">
        <v>2151</v>
      </c>
      <c r="B26" s="151" t="s">
        <v>2152</v>
      </c>
      <c r="C26" s="151" t="s">
        <v>2153</v>
      </c>
      <c r="D26" s="152" t="s">
        <v>2154</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2155</v>
      </c>
      <c r="B30" s="151"/>
      <c r="C30" s="151"/>
      <c r="D30" s="151"/>
      <c r="E30" s="2918" t="s">
        <v>3032</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2156</v>
      </c>
      <c r="B32" s="2449"/>
      <c r="C32" s="153">
        <f ca="1">IF(D32="总价",G19-C24,G20-C25)</f>
        <v>1355</v>
      </c>
      <c r="D32" s="2450" t="s">
        <v>2157</v>
      </c>
      <c r="E32" s="138"/>
      <c r="F32" s="138"/>
      <c r="G32" s="138"/>
      <c r="H32" s="138"/>
      <c r="I32" s="138"/>
    </row>
    <row r="33" spans="1:15" ht="15">
      <c r="A33" s="957" t="s">
        <v>2158</v>
      </c>
      <c r="B33" s="2451"/>
      <c r="C33" s="2452"/>
      <c r="D33" s="2453"/>
      <c r="E33" s="2454" t="s">
        <v>2159</v>
      </c>
      <c r="F33" s="2455" t="str">
        <f>IF(D32="楼面单价","取值（单价）","取值（总价）")</f>
        <v>取值（总价）</v>
      </c>
      <c r="G33" s="138"/>
      <c r="H33" s="138"/>
      <c r="I33" s="138"/>
    </row>
    <row r="34" spans="1:15" ht="15">
      <c r="A34" s="2456"/>
      <c r="B34" s="2457" t="s">
        <v>2160</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2161</v>
      </c>
      <c r="F34" s="1736"/>
      <c r="G34" s="138"/>
      <c r="H34" s="138"/>
      <c r="I34" s="138"/>
    </row>
    <row r="35" spans="1:15" ht="15.75" thickBot="1">
      <c r="A35" s="2459"/>
      <c r="B35" s="2460" t="s">
        <v>2162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2163</v>
      </c>
      <c r="F35" s="163"/>
      <c r="G35" s="138"/>
      <c r="H35" s="138"/>
      <c r="I35" s="138"/>
    </row>
    <row r="36" spans="1:15" ht="15.75" thickBot="1">
      <c r="A36" s="3075" t="s">
        <v>2164</v>
      </c>
      <c r="B36" s="2462" t="s">
        <v>2165</v>
      </c>
      <c r="C36" s="154"/>
      <c r="D36" s="2463"/>
      <c r="E36" s="2464"/>
      <c r="F36" s="2465"/>
      <c r="G36" s="138"/>
      <c r="H36" s="138"/>
      <c r="I36" s="138"/>
    </row>
    <row r="37" spans="1:15" ht="15.75" thickBot="1">
      <c r="A37" s="3076"/>
      <c r="B37" s="2267" t="s">
        <v>2166</v>
      </c>
      <c r="C37" s="156"/>
      <c r="D37" s="1392"/>
      <c r="E37" s="1392"/>
      <c r="F37" s="2465"/>
      <c r="G37" s="138"/>
      <c r="H37" s="138"/>
      <c r="I37" s="138"/>
    </row>
    <row r="38" spans="1:15" ht="15.75" thickBot="1">
      <c r="A38" s="3077"/>
      <c r="B38" s="2466" t="s">
        <v>2167</v>
      </c>
      <c r="C38" s="727"/>
      <c r="D38" s="2467" t="s">
        <v>2168</v>
      </c>
      <c r="E38" s="1392"/>
      <c r="F38" s="2465"/>
      <c r="G38" s="138"/>
      <c r="H38" s="138"/>
      <c r="I38" s="138"/>
    </row>
    <row r="39" spans="1:15" ht="15">
      <c r="A39" s="2438" t="s">
        <v>2169</v>
      </c>
      <c r="B39" s="2468" t="s">
        <v>2170</v>
      </c>
      <c r="C39" s="2469" t="s">
        <v>2171</v>
      </c>
      <c r="D39" s="2469" t="s">
        <v>2172</v>
      </c>
      <c r="E39" s="2470" t="s">
        <v>2173</v>
      </c>
      <c r="F39" s="2465"/>
      <c r="G39" s="138"/>
      <c r="H39" s="138"/>
      <c r="I39" s="138"/>
    </row>
    <row r="40" spans="1:15" ht="14.25">
      <c r="A40" s="2471" t="s">
        <v>2174</v>
      </c>
      <c r="B40" s="158"/>
      <c r="C40" s="159"/>
      <c r="D40" s="159"/>
      <c r="E40" s="160"/>
      <c r="F40" s="2465"/>
      <c r="G40" s="138"/>
      <c r="H40" s="138"/>
      <c r="I40" s="138"/>
    </row>
    <row r="41" spans="1:15" ht="14.25">
      <c r="A41" s="2471" t="s">
        <v>2175</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2176</v>
      </c>
      <c r="B44" s="2476"/>
      <c r="C44" s="2476"/>
      <c r="D44" s="2477"/>
      <c r="E44" s="2477"/>
      <c r="F44" s="2478"/>
      <c r="G44" s="2478"/>
      <c r="H44" s="2478"/>
      <c r="I44" s="2478"/>
      <c r="J44" s="2479" t="s">
        <v>2177</v>
      </c>
      <c r="K44" s="2480"/>
      <c r="L44" s="2480"/>
      <c r="M44" s="2480"/>
      <c r="N44" s="2480"/>
      <c r="O44" s="2480"/>
    </row>
    <row r="45" spans="1:15" ht="14.25" customHeight="1" thickBot="1">
      <c r="A45" s="3054" t="s">
        <v>2178</v>
      </c>
      <c r="B45" s="3055"/>
      <c r="C45" s="3056"/>
      <c r="D45" s="164">
        <f ca="1">ROUND(H101*F45,0)</f>
        <v>1355</v>
      </c>
      <c r="E45" s="165" t="s">
        <v>2179</v>
      </c>
      <c r="F45" s="166">
        <v>1</v>
      </c>
      <c r="G45" s="167" t="s">
        <v>2180</v>
      </c>
      <c r="H45" s="138"/>
      <c r="I45" s="138"/>
      <c r="J45" s="3114" t="s">
        <v>2181</v>
      </c>
      <c r="K45" s="3114"/>
      <c r="L45" s="3114"/>
      <c r="M45" s="3114"/>
      <c r="N45" s="3114"/>
      <c r="O45" s="3114"/>
    </row>
    <row r="46" spans="1:15" ht="14.25" customHeight="1">
      <c r="A46" s="3051" t="s">
        <v>2182</v>
      </c>
      <c r="B46" s="3052"/>
      <c r="C46" s="3052"/>
      <c r="D46" s="3052"/>
      <c r="E46" s="3052"/>
      <c r="F46" s="3052"/>
      <c r="G46" s="3053"/>
      <c r="H46" s="2481"/>
      <c r="I46" s="168"/>
      <c r="J46" s="1809">
        <v>1</v>
      </c>
      <c r="K46" s="3114" t="s">
        <v>2183</v>
      </c>
      <c r="L46" s="3114"/>
      <c r="M46" s="3134"/>
      <c r="N46" s="3134"/>
      <c r="O46" s="3134"/>
    </row>
    <row r="47" spans="1:15" ht="12" customHeight="1">
      <c r="A47" s="169" t="s">
        <v>2184</v>
      </c>
      <c r="B47" s="170"/>
      <c r="C47" s="171"/>
      <c r="D47" s="172" t="s">
        <v>2185</v>
      </c>
      <c r="E47" s="24" t="s">
        <v>2186</v>
      </c>
      <c r="F47" s="173" t="s">
        <v>2187</v>
      </c>
      <c r="G47" s="174" t="s">
        <v>2188</v>
      </c>
      <c r="H47" s="2481"/>
      <c r="I47" s="168"/>
      <c r="J47" s="1809">
        <v>2</v>
      </c>
      <c r="K47" s="3114" t="s">
        <v>2189</v>
      </c>
      <c r="L47" s="3114"/>
      <c r="M47" s="3135">
        <f>'数据-取费表'!B2</f>
        <v>43728</v>
      </c>
      <c r="N47" s="3135"/>
      <c r="O47" s="3135"/>
    </row>
    <row r="48" spans="1:15" ht="25.5">
      <c r="A48" s="3082" t="s">
        <v>2190</v>
      </c>
      <c r="B48" s="3065"/>
      <c r="C48" s="3065"/>
      <c r="D48" s="140">
        <f>IF(H48="情况1",0,IF(H48="情况2",D52,IF(H48="情况3",D53,IF(H48="情况4",D54))))</f>
        <v>0</v>
      </c>
      <c r="E48" s="1798" t="str">
        <f>IF(H48="情况4","(销售额-原购置价)×税（费）率","销售额×税（费）率")</f>
        <v>销售额×税（费）率</v>
      </c>
      <c r="F48" s="175" t="str">
        <f>IF(H48="情况1","免征",'数据-取费表'!B41)</f>
        <v>免征</v>
      </c>
      <c r="G48" s="2482" t="s">
        <v>2191</v>
      </c>
      <c r="H48" s="2483" t="s">
        <v>2192</v>
      </c>
      <c r="I48" s="2481"/>
      <c r="J48" s="1809">
        <v>3</v>
      </c>
      <c r="K48" s="3114" t="s">
        <v>2193</v>
      </c>
      <c r="L48" s="3114"/>
      <c r="M48" s="3136">
        <f ca="1">H101</f>
        <v>1355</v>
      </c>
      <c r="N48" s="3136"/>
      <c r="O48" s="3136"/>
    </row>
    <row r="49" spans="1:35" ht="25.5" customHeight="1">
      <c r="A49" s="176" t="s">
        <v>2194</v>
      </c>
      <c r="B49" s="3050" t="s">
        <v>2195</v>
      </c>
      <c r="C49" s="3050"/>
      <c r="D49" s="177">
        <v>0</v>
      </c>
      <c r="E49" s="23" t="s">
        <v>2196</v>
      </c>
      <c r="F49" s="28" t="s">
        <v>34</v>
      </c>
      <c r="G49" s="3120"/>
      <c r="H49" s="138"/>
      <c r="I49" s="2484"/>
      <c r="J49" s="1809">
        <v>4</v>
      </c>
      <c r="K49" s="3114" t="str">
        <f>IF(项目基本情况!E8="房地产抵押价值","房地产抵押价值","抵押担保权已注销时的房地产抵押价值")</f>
        <v>房地产抵押价值</v>
      </c>
      <c r="L49" s="3114"/>
      <c r="M49" s="3136">
        <f ca="1">IF(项目基本情况!E8="房地产抵押价值",H107,H109)</f>
        <v>1355</v>
      </c>
      <c r="N49" s="3136"/>
      <c r="O49" s="3136"/>
    </row>
    <row r="50" spans="1:35" ht="25.5" customHeight="1">
      <c r="A50" s="178"/>
      <c r="B50" s="3050" t="s">
        <v>2197</v>
      </c>
      <c r="C50" s="3050"/>
      <c r="D50" s="179"/>
      <c r="E50" s="31"/>
      <c r="F50" s="180"/>
      <c r="G50" s="3121"/>
      <c r="H50" s="138"/>
      <c r="I50" s="2484"/>
      <c r="J50" s="3114" t="s">
        <v>2198</v>
      </c>
      <c r="K50" s="3114"/>
      <c r="L50" s="3114"/>
      <c r="M50" s="3114"/>
      <c r="N50" s="3114"/>
      <c r="O50" s="3114"/>
    </row>
    <row r="51" spans="1:35" ht="12" customHeight="1">
      <c r="A51" s="181"/>
      <c r="B51" s="3050" t="s">
        <v>2199</v>
      </c>
      <c r="C51" s="3050"/>
      <c r="D51" s="182"/>
      <c r="E51" s="30"/>
      <c r="F51" s="180"/>
      <c r="G51" s="3122"/>
      <c r="H51" s="138"/>
      <c r="I51" s="2484"/>
      <c r="J51" s="2485" t="s">
        <v>2200</v>
      </c>
      <c r="K51" s="3114" t="s">
        <v>2201</v>
      </c>
      <c r="L51" s="3114"/>
      <c r="M51" s="2485" t="s">
        <v>2202</v>
      </c>
      <c r="N51" s="2485" t="s">
        <v>2203</v>
      </c>
      <c r="O51" s="2485" t="s">
        <v>2204</v>
      </c>
    </row>
    <row r="52" spans="1:35" ht="24" customHeight="1">
      <c r="A52" s="183" t="s">
        <v>2205</v>
      </c>
      <c r="B52" s="3050" t="s">
        <v>2206</v>
      </c>
      <c r="C52" s="3050"/>
      <c r="D52" s="182">
        <f ca="1">ROUND(D45*'数据-取费表'!B41/(1+'数据-取费表'!C42),0)</f>
        <v>71</v>
      </c>
      <c r="E52" s="11" t="s">
        <v>2207</v>
      </c>
      <c r="F52" s="184">
        <f>'数据-取费表'!B41</f>
        <v>5.5000000000000007E-2</v>
      </c>
      <c r="G52" s="2486"/>
      <c r="H52" s="138"/>
      <c r="I52" s="2484"/>
      <c r="J52" s="1809">
        <v>1</v>
      </c>
      <c r="K52" s="3115" t="s">
        <v>2208</v>
      </c>
      <c r="L52" s="3115"/>
      <c r="M52" s="1751">
        <f>D48</f>
        <v>0</v>
      </c>
      <c r="N52" s="1809" t="str">
        <f>E48</f>
        <v>销售额×税（费）率</v>
      </c>
      <c r="O52" s="1752" t="str">
        <f>F48</f>
        <v>免征</v>
      </c>
    </row>
    <row r="53" spans="1:35" ht="12" customHeight="1">
      <c r="A53" s="183" t="s">
        <v>2209</v>
      </c>
      <c r="B53" s="3073" t="s">
        <v>2210</v>
      </c>
      <c r="C53" s="3074"/>
      <c r="D53" s="182">
        <f ca="1">ROUND(D45*'数据-取费表'!B41/(1+'数据-取费表'!C42),0)</f>
        <v>71</v>
      </c>
      <c r="E53" s="11" t="s">
        <v>2207</v>
      </c>
      <c r="F53" s="184">
        <f>'数据-取费表'!B41</f>
        <v>5.5000000000000007E-2</v>
      </c>
      <c r="G53" s="2486"/>
      <c r="H53" s="138"/>
      <c r="I53" s="2484"/>
      <c r="J53" s="1809">
        <v>2</v>
      </c>
      <c r="K53" s="3115" t="s">
        <v>2211</v>
      </c>
      <c r="L53" s="3115"/>
      <c r="M53" s="1751">
        <f t="shared" ref="M53:O54" ca="1" si="0">D55</f>
        <v>1</v>
      </c>
      <c r="N53" s="1809" t="str">
        <f t="shared" si="0"/>
        <v>销售额×税（费）率</v>
      </c>
      <c r="O53" s="1752">
        <f t="shared" si="0"/>
        <v>5.0000000000000001E-4</v>
      </c>
    </row>
    <row r="54" spans="1:35" ht="12" customHeight="1">
      <c r="A54" s="183" t="s">
        <v>2212</v>
      </c>
      <c r="B54" s="3073" t="s">
        <v>2213</v>
      </c>
      <c r="C54" s="3074"/>
      <c r="D54" s="182">
        <f ca="1">C68</f>
        <v>71</v>
      </c>
      <c r="E54" s="30" t="s">
        <v>2214</v>
      </c>
      <c r="F54" s="184">
        <f>'数据-取费表'!B41</f>
        <v>5.5000000000000007E-2</v>
      </c>
      <c r="G54" s="2486"/>
      <c r="H54" s="2487"/>
      <c r="I54" s="2484"/>
      <c r="J54" s="1809">
        <v>3</v>
      </c>
      <c r="K54" s="3115" t="s">
        <v>2215</v>
      </c>
      <c r="L54" s="3115"/>
      <c r="M54" s="1751">
        <f t="shared" ca="1" si="0"/>
        <v>768</v>
      </c>
      <c r="N54" s="1809" t="str">
        <f t="shared" si="0"/>
        <v>增值额×税（费）率</v>
      </c>
      <c r="O54" s="1753" t="str">
        <f t="shared" si="0"/>
        <v>——</v>
      </c>
    </row>
    <row r="55" spans="1:35" ht="24" customHeight="1">
      <c r="A55" s="3064" t="s">
        <v>2216</v>
      </c>
      <c r="B55" s="3065"/>
      <c r="C55" s="3065"/>
      <c r="D55" s="185">
        <f ca="1">IF(H55="个人住宅",0,ROUND(D45*I55,0))</f>
        <v>1</v>
      </c>
      <c r="E55" s="11" t="s">
        <v>2217</v>
      </c>
      <c r="F55" s="184">
        <f>IF(H55="正常",I55,"免征")</f>
        <v>5.0000000000000001E-4</v>
      </c>
      <c r="G55" s="2486"/>
      <c r="H55" s="2483" t="s">
        <v>2218</v>
      </c>
      <c r="I55" s="186">
        <f>'数据-取费表'!B49</f>
        <v>5.0000000000000001E-4</v>
      </c>
      <c r="J55" s="1809" t="str">
        <f>IF(H59="非个人房产","",4)</f>
        <v/>
      </c>
      <c r="K55" s="3115" t="str">
        <f>IF(H59="非个人房产","——","个人所得税")</f>
        <v>——</v>
      </c>
      <c r="L55" s="3115"/>
      <c r="M55" s="1754" t="str">
        <f>D59</f>
        <v>——</v>
      </c>
      <c r="N55" s="1807" t="str">
        <f>E59</f>
        <v>——</v>
      </c>
      <c r="O55" s="1755" t="str">
        <f>F59</f>
        <v>——</v>
      </c>
    </row>
    <row r="56" spans="1:35" ht="24.75">
      <c r="A56" s="3064" t="s">
        <v>2219</v>
      </c>
      <c r="B56" s="3065"/>
      <c r="C56" s="3065"/>
      <c r="D56" s="185">
        <f ca="1">IF(H56="个人住宅",D57,D58)</f>
        <v>768</v>
      </c>
      <c r="E56" s="11" t="s">
        <v>2220</v>
      </c>
      <c r="F56" s="184" t="str">
        <f>IF(H56="正常",F58,"免征")</f>
        <v>——</v>
      </c>
      <c r="G56" s="2488" t="s">
        <v>2221</v>
      </c>
      <c r="H56" s="2489" t="s">
        <v>2218</v>
      </c>
      <c r="I56" s="2490"/>
      <c r="J56" s="1809" t="str">
        <f>IF(项目基本情况!K6="上海银行",IF(J55="",4,J55+1),"")</f>
        <v/>
      </c>
      <c r="K56" s="3138" t="str">
        <f>IF(项目基本情况!K6="上海银行","其他处置费用","")</f>
        <v/>
      </c>
      <c r="L56" s="3139"/>
      <c r="M56" s="1751" t="str">
        <f>IF(项目基本情况!K6="上海银行",M69,"")</f>
        <v/>
      </c>
      <c r="N56" s="3141" t="str">
        <f>IF(项目基本情况!K6="上海银行","包含处置中涉及的律师、诉讼、拍卖、评估等费用","")</f>
        <v/>
      </c>
      <c r="O56" s="3142"/>
    </row>
    <row r="57" spans="1:35" ht="12.75">
      <c r="A57" s="183" t="s">
        <v>2194</v>
      </c>
      <c r="B57" s="3080" t="s">
        <v>2222</v>
      </c>
      <c r="C57" s="3089"/>
      <c r="D57" s="187">
        <v>0</v>
      </c>
      <c r="E57" s="23" t="s">
        <v>2196</v>
      </c>
      <c r="F57" s="155"/>
      <c r="G57" s="2486"/>
      <c r="H57" s="2490"/>
      <c r="I57" s="2490"/>
      <c r="J57" s="3115">
        <f>IF(AND(J55="",J56=""),4,IF(项目基本情况!K6="上海银行",结果表!J56+1,结果表!J55+1))</f>
        <v>4</v>
      </c>
      <c r="K57" s="3115" t="s">
        <v>2223</v>
      </c>
      <c r="L57" s="2491" t="s">
        <v>2224</v>
      </c>
      <c r="M57" s="1756"/>
      <c r="N57" s="1757">
        <f ca="1">SUMIF(M52:M56,"&lt;9e307")</f>
        <v>769</v>
      </c>
      <c r="O57" s="2492"/>
      <c r="P57" s="1750">
        <f ca="1">N57/M49</f>
        <v>0.56752767527675274</v>
      </c>
    </row>
    <row r="58" spans="1:35" ht="24.75">
      <c r="A58" s="183" t="s">
        <v>2205</v>
      </c>
      <c r="B58" s="3080" t="s">
        <v>2225</v>
      </c>
      <c r="C58" s="3081"/>
      <c r="D58" s="185">
        <f ca="1">IF(H58="转让取得",C81,C97)</f>
        <v>768</v>
      </c>
      <c r="E58" s="11" t="s">
        <v>2220</v>
      </c>
      <c r="F58" s="24" t="s">
        <v>34</v>
      </c>
      <c r="G58" s="2486"/>
      <c r="H58" s="2489" t="s">
        <v>2226</v>
      </c>
      <c r="I58" s="2490"/>
      <c r="J58" s="3115"/>
      <c r="K58" s="3115"/>
      <c r="L58" s="2491" t="s">
        <v>2227</v>
      </c>
      <c r="M58" s="1758"/>
      <c r="N58" s="2493" t="str">
        <f ca="1">NUMBERSTRING(INT(N57*10000),2)&amp;"元整"</f>
        <v>柒佰陆拾玖万元整</v>
      </c>
      <c r="O58" s="2494"/>
    </row>
    <row r="59" spans="1:35" ht="24.75" thickBot="1">
      <c r="A59" s="3118" t="s">
        <v>2228</v>
      </c>
      <c r="B59" s="3119"/>
      <c r="C59" s="3119"/>
      <c r="D59" s="188" t="str">
        <f>IF(H59="非个人房产","——",IF(H59="个人住宅",0,ROUND(D45*I59,0)))</f>
        <v>——</v>
      </c>
      <c r="E59" s="189" t="str">
        <f>IF(H59="非个人房产","——","销售额×税（费）率")</f>
        <v>——</v>
      </c>
      <c r="F59" s="190" t="str">
        <f>IF(H59="非个人房产","——",IF(H59="个人住宅","免征",I59))</f>
        <v>——</v>
      </c>
      <c r="G59" s="2495" t="s">
        <v>2221</v>
      </c>
      <c r="H59" s="2489" t="s">
        <v>2229</v>
      </c>
      <c r="I59" s="191">
        <v>0.01</v>
      </c>
      <c r="J59" s="3116">
        <f>J57+1</f>
        <v>5</v>
      </c>
      <c r="K59" s="3115" t="s">
        <v>2230</v>
      </c>
      <c r="L59" s="1809" t="s">
        <v>2224</v>
      </c>
      <c r="M59" s="1759"/>
      <c r="N59" s="1760">
        <f ca="1">M49-N57</f>
        <v>586</v>
      </c>
      <c r="O59" s="2496"/>
    </row>
    <row r="60" spans="1:35" ht="12" customHeight="1">
      <c r="A60" s="2497"/>
      <c r="B60" s="2419"/>
      <c r="C60" s="2419"/>
      <c r="D60" s="2419"/>
      <c r="E60" s="2166"/>
      <c r="F60" s="2490"/>
      <c r="G60" s="2490"/>
      <c r="H60" s="2498"/>
      <c r="I60" s="138"/>
      <c r="J60" s="3117"/>
      <c r="K60" s="3115"/>
      <c r="L60" s="2491" t="s">
        <v>2227</v>
      </c>
      <c r="M60" s="1758"/>
      <c r="N60" s="2493" t="str">
        <f ca="1">NUMBERSTRING(INT(N59*10000),2)&amp;"元整"</f>
        <v>伍佰捌拾陆万元整</v>
      </c>
      <c r="O60" s="2494"/>
    </row>
    <row r="61" spans="1:35" ht="13.5" thickBot="1">
      <c r="A61" s="3062" t="s">
        <v>2231</v>
      </c>
      <c r="B61" s="3062"/>
      <c r="C61" s="3062"/>
      <c r="D61" s="3062"/>
      <c r="E61" s="3062"/>
      <c r="F61" s="2490"/>
      <c r="G61" s="2490"/>
      <c r="H61" s="2498"/>
      <c r="I61" s="138"/>
      <c r="J61" s="1809">
        <f>J59+1</f>
        <v>6</v>
      </c>
      <c r="K61" s="3115" t="s">
        <v>2232</v>
      </c>
      <c r="L61" s="3115"/>
      <c r="M61" s="1761"/>
      <c r="N61" s="1762">
        <f ca="1">ROUND(N59*10000/'数据-汇总表'!E3,0)</f>
        <v>3401</v>
      </c>
      <c r="O61" s="2499"/>
    </row>
    <row r="62" spans="1:35" ht="12.75">
      <c r="A62" s="3078" t="s">
        <v>2233</v>
      </c>
      <c r="B62" s="3079"/>
      <c r="C62" s="1801"/>
      <c r="D62" s="1801" t="s">
        <v>2234</v>
      </c>
      <c r="E62" s="192" t="s">
        <v>2235</v>
      </c>
      <c r="F62" s="2490"/>
      <c r="G62" s="2490"/>
      <c r="H62" s="2498"/>
      <c r="I62" s="138"/>
    </row>
    <row r="63" spans="1:35" ht="12.75">
      <c r="A63" s="203" t="s">
        <v>775</v>
      </c>
      <c r="B63" s="193" t="s">
        <v>2236</v>
      </c>
      <c r="C63" s="194">
        <f ca="1">ROUND((C64+C65)/(1+'数据-取费表'!C42),0)</f>
        <v>1290</v>
      </c>
      <c r="D63" s="195"/>
      <c r="E63" s="196"/>
      <c r="F63" s="2490"/>
      <c r="G63" s="2490"/>
      <c r="H63" s="2498"/>
      <c r="I63" s="138"/>
      <c r="J63" s="3140" t="s">
        <v>2237</v>
      </c>
      <c r="K63" s="2500" t="s">
        <v>2238</v>
      </c>
      <c r="L63" s="1749">
        <f ca="1">IF(M49&gt;10000,M49*0.5%,IF(AND(M49&gt;1000,M49&lt;=10000),M49*1%,IF(AND(M49&gt;100,M49&lt;=1000),M49*3%,IF(AND(M49&gt;10,M49&lt;=100),M49*5%,M49*8%))))</f>
        <v>13.55</v>
      </c>
      <c r="M63" s="24">
        <f ca="1">ROUND(L63,1)</f>
        <v>13.6</v>
      </c>
      <c r="Z63" s="2424"/>
      <c r="AI63" s="2425"/>
    </row>
    <row r="64" spans="1:35" ht="14.25" customHeight="1">
      <c r="A64" s="197" t="s">
        <v>770</v>
      </c>
      <c r="B64" s="198" t="s">
        <v>2239</v>
      </c>
      <c r="C64" s="199">
        <f ca="1">D45</f>
        <v>1355</v>
      </c>
      <c r="D64" s="200" t="s">
        <v>32</v>
      </c>
      <c r="E64" s="201"/>
      <c r="F64" s="2490"/>
      <c r="G64" s="2490"/>
      <c r="H64" s="2498"/>
      <c r="I64" s="138"/>
      <c r="J64" s="3140"/>
      <c r="K64" s="2500" t="s">
        <v>2240</v>
      </c>
      <c r="L64" s="1749">
        <f ca="1">IF(M49&gt;2000,M49*0.5%,IF(AND(M49&gt;1000,M49&lt;=2000),M49*0.6%,IF(AND(M49&gt;500,M49&lt;=1000),M49*0.7%,IF(AND(M49&gt;200,M49&lt;=500),M49*0.8%,IF(AND(M49&gt;100,M49&lt;=200),M49*0.9%,IF(AND(M49&gt;50,M49&lt;=100),M49*1%,IF(AND(M49&gt;20,M49&lt;=50),M49*1.5%,IF(AND(M49&gt;10,M49&lt;=20),M49*2%,IF(AND(M49&gt;1,M49&lt;=10),M49*2.5%)))))))))</f>
        <v>8.1300000000000008</v>
      </c>
      <c r="M64" s="24">
        <f t="shared" ref="M64:M65" ca="1" si="1">ROUND(L64,1)</f>
        <v>8.1</v>
      </c>
      <c r="N64" s="138" t="s">
        <v>2241</v>
      </c>
      <c r="Z64" s="2424"/>
      <c r="AI64" s="2425"/>
    </row>
    <row r="65" spans="1:35" ht="14.25" customHeight="1">
      <c r="A65" s="197" t="s">
        <v>771</v>
      </c>
      <c r="B65" s="198" t="s">
        <v>2242</v>
      </c>
      <c r="C65" s="202"/>
      <c r="D65" s="200"/>
      <c r="E65" s="201"/>
      <c r="F65" s="2490"/>
      <c r="G65" s="2490"/>
      <c r="H65" s="2498"/>
      <c r="I65" s="138"/>
      <c r="J65" s="3140"/>
      <c r="K65" s="2500" t="s">
        <v>2243</v>
      </c>
      <c r="L65" s="1749">
        <f ca="1">IF(M49&gt;1000,M49*0.1%,IF(AND(M49&gt;500,M49&lt;=1000),M49*0.5%,IF(AND(M49&gt;50,M49&lt;=500),M49*1%,IF(AND(M49&gt;1,M49&lt;=50),M49*1.5%))))</f>
        <v>1.355</v>
      </c>
      <c r="M65" s="24">
        <f t="shared" ca="1" si="1"/>
        <v>1.4</v>
      </c>
      <c r="N65" s="138" t="s">
        <v>2241</v>
      </c>
      <c r="Z65" s="2424"/>
      <c r="AI65" s="2425"/>
    </row>
    <row r="66" spans="1:35" ht="14.25" customHeight="1">
      <c r="A66" s="203" t="s">
        <v>772</v>
      </c>
      <c r="B66" s="204" t="s">
        <v>2244</v>
      </c>
      <c r="C66" s="205"/>
      <c r="D66" s="206" t="s">
        <v>32</v>
      </c>
      <c r="E66" s="1773" t="s">
        <v>1367</v>
      </c>
      <c r="F66" s="2490"/>
      <c r="G66" s="2490"/>
      <c r="H66" s="2498"/>
      <c r="I66" s="138"/>
      <c r="J66" s="3140"/>
      <c r="K66" s="2500" t="s">
        <v>2245</v>
      </c>
      <c r="L66" s="1749">
        <f ca="1">M49*0.5%</f>
        <v>6.7750000000000004</v>
      </c>
      <c r="M66" s="24">
        <f ca="1">IF(L66&gt;0.5,0.5,ROUND(L66,0))</f>
        <v>0.5</v>
      </c>
      <c r="N66" s="138" t="s">
        <v>2246</v>
      </c>
      <c r="Z66" s="2424"/>
      <c r="AI66" s="2425"/>
    </row>
    <row r="67" spans="1:35" ht="14.25" customHeight="1">
      <c r="A67" s="203" t="s">
        <v>773</v>
      </c>
      <c r="B67" s="204" t="s">
        <v>2247</v>
      </c>
      <c r="C67" s="207">
        <f ca="1">C63-C66</f>
        <v>1290</v>
      </c>
      <c r="D67" s="200" t="s">
        <v>32</v>
      </c>
      <c r="E67" s="201"/>
      <c r="F67" s="2490"/>
      <c r="G67" s="2490"/>
      <c r="H67" s="2498"/>
      <c r="I67" s="138"/>
      <c r="J67" s="3140"/>
      <c r="K67" s="2500" t="s">
        <v>2248</v>
      </c>
      <c r="L67" s="1749">
        <f ca="1">IF(M49&gt;=10000,(8.25+(M49-10000)*0.01%),IF(AND(M49&gt;=8000,M49&lt;10000),(7.85+(M49-8000)*0.02%),IF(AND(M49&gt;=5000,M49&lt;8000),(6.65+(M49-5000)*0.04%),IF(AND(M49&gt;=2000,M49&lt;5000),(4.25+(PM49-2000)*0.08%),IF(AND(M49&gt;=1000,M49&lt;2000),(2.75+(M49-1000)*0.15%),IF(AND(M49&gt;=100,M49&lt;1000),(0.5+(M49-100)*0.25%),IF(AND(M49&gt;0,M49&lt;100),M49*0.5%)))))))</f>
        <v>3.2824999999999998</v>
      </c>
      <c r="M67" s="24">
        <f ca="1">ROUND(L67*0.9,1)</f>
        <v>3</v>
      </c>
      <c r="Z67" s="2424"/>
      <c r="AI67" s="2425"/>
    </row>
    <row r="68" spans="1:35" ht="14.25" customHeight="1" thickBot="1">
      <c r="A68" s="208" t="s">
        <v>774</v>
      </c>
      <c r="B68" s="209" t="s">
        <v>2249</v>
      </c>
      <c r="C68" s="210">
        <f ca="1">IF(C67&lt;=0,0,ROUND(C67*D68,0))</f>
        <v>71</v>
      </c>
      <c r="D68" s="211">
        <f>'数据-取费表'!B41</f>
        <v>5.5000000000000007E-2</v>
      </c>
      <c r="E68" s="212"/>
      <c r="F68" s="2490"/>
      <c r="G68" s="2490"/>
      <c r="H68" s="2498"/>
      <c r="I68" s="138"/>
      <c r="J68" s="3140"/>
      <c r="K68" s="2500" t="s">
        <v>2250</v>
      </c>
      <c r="L68" s="1749">
        <f ca="1">IF(M49&gt;10000,M49*0.5%,IF(AND(M49&gt;5000,M49&lt;=10000),M49*1%,IF(AND(M49&gt;1000,M49&lt;=5000),M49*2%,IF(AND(M49&gt;200,M49&lt;=1000),M49*3%,M49*5%))))</f>
        <v>27.1</v>
      </c>
      <c r="M68" s="24">
        <f ca="1">ROUND(L68,1)</f>
        <v>27.1</v>
      </c>
      <c r="Z68" s="2424"/>
      <c r="AI68" s="2425"/>
    </row>
    <row r="69" spans="1:35" s="2447" customFormat="1" ht="16.5" customHeight="1">
      <c r="A69" s="2501"/>
      <c r="B69" s="2502"/>
      <c r="C69" s="2503"/>
      <c r="D69" s="2504"/>
      <c r="E69" s="2505"/>
      <c r="F69" s="2166"/>
      <c r="G69" s="2166"/>
      <c r="H69" s="2165"/>
      <c r="I69" s="2419"/>
      <c r="J69" s="3140"/>
      <c r="K69" s="2500" t="s">
        <v>2251</v>
      </c>
      <c r="L69" s="2506"/>
      <c r="M69" s="24">
        <f ca="1">ROUND(SUM(M63:M68),0)</f>
        <v>54</v>
      </c>
      <c r="N69" s="1750">
        <f ca="1">M69/M49</f>
        <v>3.9852398523985241E-2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099" t="s">
        <v>2252</v>
      </c>
      <c r="B70" s="3100"/>
      <c r="C70" s="3100"/>
      <c r="D70" s="3100"/>
      <c r="E70" s="3100"/>
      <c r="F70" s="3100"/>
      <c r="G70" s="3100"/>
      <c r="H70" s="3100"/>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78" t="s">
        <v>2233</v>
      </c>
      <c r="B71" s="3079"/>
      <c r="C71" s="1801"/>
      <c r="D71" s="1801" t="s">
        <v>2234</v>
      </c>
      <c r="E71" s="213" t="s">
        <v>2235</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2253</v>
      </c>
      <c r="C72" s="207">
        <f ca="1">ROUND(D45/(1+'数据-取费表'!C42),0)</f>
        <v>1290</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2254</v>
      </c>
      <c r="C73" s="207">
        <f ca="1">C74+C78</f>
        <v>6</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2255</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2256</v>
      </c>
      <c r="C75" s="218"/>
      <c r="D75" s="200" t="s">
        <v>32</v>
      </c>
      <c r="E75" s="219" t="s">
        <v>2257</v>
      </c>
      <c r="F75" s="2512" t="s">
        <v>2258</v>
      </c>
      <c r="G75" s="219" t="s">
        <v>2259</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2260</v>
      </c>
      <c r="C76" s="200">
        <f>IF(F75="购房发票",ROUND(C75*H75*D76,0),0)</f>
        <v>0</v>
      </c>
      <c r="D76" s="222">
        <v>0.05</v>
      </c>
      <c r="E76" s="3073" t="s">
        <v>2261</v>
      </c>
      <c r="F76" s="3050"/>
      <c r="G76" s="3050"/>
      <c r="H76" s="3098"/>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4" t="s">
        <v>2264</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2265</v>
      </c>
      <c r="C78" s="225">
        <f ca="1">ROUND(D45*D78/(1+'数据-取费表'!C42),0)</f>
        <v>6</v>
      </c>
      <c r="D78" s="226">
        <f>'数据-取费表'!B43</f>
        <v>5.000000000000001E-3</v>
      </c>
      <c r="E78" s="3059" t="s">
        <v>2266</v>
      </c>
      <c r="F78" s="3060"/>
      <c r="G78" s="3060"/>
      <c r="H78" s="3069"/>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2267</v>
      </c>
      <c r="C79" s="207">
        <f ca="1">C72-C73</f>
        <v>1284</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2268</v>
      </c>
      <c r="C80" s="227">
        <f ca="1">IF(C79&lt;=0,0,C79/C73)</f>
        <v>214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2269</v>
      </c>
      <c r="C81" s="228">
        <f ca="1">ROUND(IF(C79&lt;=0,0,IF(C80&gt;=200%,C79*60%-C73*35%,IF(C80&gt;=100%,C79*50%-C73*15%,IF(C80&gt;=50%,C79*40%-C73*5%,IF(C80&lt;50%,C79*30%,0))))),0)</f>
        <v>768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099" t="s">
        <v>2270</v>
      </c>
      <c r="B83" s="3100"/>
      <c r="C83" s="3100"/>
      <c r="D83" s="3100"/>
      <c r="E83" s="3100"/>
      <c r="F83" s="3100"/>
      <c r="G83" s="3100"/>
      <c r="H83" s="3100"/>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78" t="s">
        <v>2233</v>
      </c>
      <c r="B84" s="3079"/>
      <c r="C84" s="1801"/>
      <c r="D84" s="1801" t="s">
        <v>2234</v>
      </c>
      <c r="E84" s="213" t="s">
        <v>2235</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2253</v>
      </c>
      <c r="C85" s="207">
        <f ca="1">ROUND(D45/(1+'数据-取费表'!C42),0)</f>
        <v>1290</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2254</v>
      </c>
      <c r="C86" s="207">
        <f ca="1">IF(H88="仅含出让金",C87+C90+C91+C92+C93+C94,C87+C91+C92+C93+C94)</f>
        <v>6</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2271</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2272</v>
      </c>
      <c r="C88" s="236"/>
      <c r="D88" s="226"/>
      <c r="E88" s="237" t="s">
        <v>2273</v>
      </c>
      <c r="F88" s="1797"/>
      <c r="G88" s="238" t="s">
        <v>2274</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2262</v>
      </c>
      <c r="C89" s="225">
        <f>ROUND(C88*D89,0)</f>
        <v>0</v>
      </c>
      <c r="D89" s="226">
        <f>'数据-取费表'!B48+'数据-取费表'!B49</f>
        <v>3.0499999999999999E-2</v>
      </c>
      <c r="E89" s="237" t="s">
        <v>2275</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2276</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2277</v>
      </c>
      <c r="B91" s="198" t="s">
        <v>2278</v>
      </c>
      <c r="C91" s="225">
        <f>IF(H91="——",成本法!C33,I91)</f>
        <v>0</v>
      </c>
      <c r="D91" s="226"/>
      <c r="E91" s="3059" t="s">
        <v>2279</v>
      </c>
      <c r="F91" s="3060"/>
      <c r="G91" s="3060"/>
      <c r="H91" s="2519" t="s">
        <v>2280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2281</v>
      </c>
      <c r="B92" s="198" t="s">
        <v>2282</v>
      </c>
      <c r="C92" s="225">
        <f>ROUND((C87+C90+C91)*D92,0)</f>
        <v>0</v>
      </c>
      <c r="D92" s="226">
        <v>0.1</v>
      </c>
      <c r="E92" s="3059" t="s">
        <v>2283</v>
      </c>
      <c r="F92" s="3060"/>
      <c r="G92" s="3060"/>
      <c r="H92" s="3069"/>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2284</v>
      </c>
      <c r="B93" s="198" t="s">
        <v>2265</v>
      </c>
      <c r="C93" s="225">
        <f ca="1">ROUND(D45*D93/(1+'数据-取费表'!C42),0)</f>
        <v>6</v>
      </c>
      <c r="D93" s="226">
        <f>'数据-取费表'!B43</f>
        <v>5.000000000000001E-3</v>
      </c>
      <c r="E93" s="3059" t="s">
        <v>2266</v>
      </c>
      <c r="F93" s="3060"/>
      <c r="G93" s="3060"/>
      <c r="H93" s="3069"/>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2285</v>
      </c>
      <c r="B94" s="198" t="s">
        <v>2286</v>
      </c>
      <c r="C94" s="236">
        <f>ROUND((C87+C90+C91)*D94,0)</f>
        <v>0</v>
      </c>
      <c r="D94" s="226">
        <v>0.2</v>
      </c>
      <c r="E94" s="3070" t="s">
        <v>2287</v>
      </c>
      <c r="F94" s="3071"/>
      <c r="G94" s="3071"/>
      <c r="H94" s="3072"/>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2267</v>
      </c>
      <c r="C95" s="207">
        <f ca="1">ROUND(C85-C86,0)</f>
        <v>1284</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2268</v>
      </c>
      <c r="C96" s="227">
        <f ca="1">IF(C95&lt;=0,0,C95/C86)</f>
        <v>214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2269</v>
      </c>
      <c r="C97" s="228">
        <f ca="1">ROUND(IF(C95&lt;=0,0,IF(C96&gt;=200%,C95*60%-C86*35%,IF(C96&gt;=100%,C95*50%-C86*15%,IF(C96&gt;=50%,C95*40%-C86*5%,IF(C96&lt;50%,C95*30%,0))))),0)</f>
        <v>768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2288</v>
      </c>
      <c r="B99" s="2419"/>
      <c r="C99" s="2419"/>
      <c r="D99" s="2419"/>
      <c r="E99" s="2166"/>
      <c r="F99" s="2166"/>
      <c r="G99" s="2166"/>
      <c r="H99" s="2165"/>
      <c r="I99" s="138"/>
    </row>
    <row r="100" spans="1:35" ht="18.75" customHeight="1">
      <c r="A100" s="3044" t="s">
        <v>2289</v>
      </c>
      <c r="B100" s="3045"/>
      <c r="C100" s="3045"/>
      <c r="D100" s="3061"/>
      <c r="E100" s="3045" t="s">
        <v>2290</v>
      </c>
      <c r="F100" s="3045"/>
      <c r="G100" s="3045"/>
      <c r="H100" s="3061"/>
      <c r="I100" s="138"/>
    </row>
    <row r="101" spans="1:35" ht="18.75" customHeight="1">
      <c r="A101" s="3123" t="s">
        <v>2291</v>
      </c>
      <c r="B101" s="3124"/>
      <c r="C101" s="736" t="str">
        <f>C4</f>
        <v>比较法-工业</v>
      </c>
      <c r="D101" s="737" t="str">
        <f>D4</f>
        <v>收益法</v>
      </c>
      <c r="E101" s="3137" t="s">
        <v>2292</v>
      </c>
      <c r="F101" s="3091"/>
      <c r="G101" s="2521" t="s">
        <v>2293</v>
      </c>
      <c r="H101" s="1045">
        <f ca="1">H118</f>
        <v>1355</v>
      </c>
      <c r="I101" s="138"/>
    </row>
    <row r="102" spans="1:35" ht="18.75" customHeight="1">
      <c r="A102" s="3093" t="s">
        <v>2294</v>
      </c>
      <c r="B102" s="2521" t="s">
        <v>2293</v>
      </c>
      <c r="C102" s="736">
        <f ca="1">C19</f>
        <v>1343</v>
      </c>
      <c r="D102" s="737">
        <f ca="1">D19</f>
        <v>1372</v>
      </c>
      <c r="E102" s="3137"/>
      <c r="F102" s="3091"/>
      <c r="G102" s="2521" t="s">
        <v>2295</v>
      </c>
      <c r="H102" s="371">
        <f ca="1">I118</f>
        <v>7864</v>
      </c>
      <c r="I102" s="138"/>
    </row>
    <row r="103" spans="1:35" ht="42.75" customHeight="1">
      <c r="A103" s="3093"/>
      <c r="B103" s="2521" t="s">
        <v>2295</v>
      </c>
      <c r="C103" s="738">
        <f ca="1">C20</f>
        <v>7792</v>
      </c>
      <c r="D103" s="739">
        <f ca="1">D20</f>
        <v>7962</v>
      </c>
      <c r="E103" s="3132" t="s">
        <v>2296</v>
      </c>
      <c r="F103" s="3133"/>
      <c r="G103" s="2522" t="s">
        <v>2297</v>
      </c>
      <c r="H103" s="1045">
        <f>IF(D36="正常操作",H104+H105+H106,H105+H106)</f>
        <v>0</v>
      </c>
      <c r="I103" s="138"/>
    </row>
    <row r="104" spans="1:35" ht="18.75" customHeight="1">
      <c r="A104" s="3093" t="s">
        <v>2298</v>
      </c>
      <c r="B104" s="2523" t="s">
        <v>2293</v>
      </c>
      <c r="C104" s="740">
        <f ca="1">H118</f>
        <v>1355</v>
      </c>
      <c r="D104" s="741"/>
      <c r="E104" s="2267" t="s">
        <v>2299</v>
      </c>
      <c r="F104" s="2258"/>
      <c r="G104" s="2522" t="s">
        <v>2297</v>
      </c>
      <c r="H104" s="1046">
        <f>IF(D36="同一抵押权人同一抵押物续贷",C36&amp;"（未扣减，详见特别提示）",C36)</f>
        <v>0</v>
      </c>
      <c r="I104" s="138"/>
    </row>
    <row r="105" spans="1:35" ht="18.75" customHeight="1" thickBot="1">
      <c r="A105" s="3094"/>
      <c r="B105" s="2524" t="s">
        <v>2295</v>
      </c>
      <c r="C105" s="742">
        <f ca="1">I118</f>
        <v>7864</v>
      </c>
      <c r="D105" s="743"/>
      <c r="E105" s="2267" t="s">
        <v>2300</v>
      </c>
      <c r="F105" s="2258"/>
      <c r="G105" s="2522" t="s">
        <v>2297</v>
      </c>
      <c r="H105" s="1046">
        <f>C37</f>
        <v>0</v>
      </c>
      <c r="I105" s="138"/>
    </row>
    <row r="106" spans="1:35" ht="18.75" customHeight="1">
      <c r="A106" s="2419" t="s">
        <v>2301</v>
      </c>
      <c r="B106" s="2419"/>
      <c r="C106" s="2419"/>
      <c r="D106" s="2419"/>
      <c r="E106" s="2525" t="s">
        <v>2302</v>
      </c>
      <c r="F106" s="2258"/>
      <c r="G106" s="2522" t="s">
        <v>2297</v>
      </c>
      <c r="H106" s="1046">
        <f>C38</f>
        <v>0</v>
      </c>
      <c r="I106" s="138"/>
    </row>
    <row r="107" spans="1:35" ht="18.75" customHeight="1">
      <c r="A107" s="138"/>
      <c r="B107" s="138"/>
      <c r="C107" s="138"/>
      <c r="D107" s="138"/>
      <c r="E107" s="3090" t="str">
        <f>IF(项目基本情况!E8="已注销","——","3.房地产抵押价值")</f>
        <v>3.房地产抵押价值</v>
      </c>
      <c r="F107" s="3091"/>
      <c r="G107" s="2521" t="s">
        <v>2293</v>
      </c>
      <c r="H107" s="1045">
        <f ca="1">IF(E107="——","——",H101-H103)</f>
        <v>1355</v>
      </c>
      <c r="I107" s="138"/>
    </row>
    <row r="108" spans="1:35" ht="18.75" customHeight="1">
      <c r="A108" s="138"/>
      <c r="B108" s="138"/>
      <c r="C108" s="138"/>
      <c r="D108" s="138"/>
      <c r="E108" s="3090"/>
      <c r="F108" s="3091"/>
      <c r="G108" s="2521" t="s">
        <v>2295</v>
      </c>
      <c r="H108" s="371">
        <f ca="1">ROUND(H107*10000/'数据-汇总表'!E3,0)</f>
        <v>7864</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91"/>
      <c r="G109" s="2521" t="s">
        <v>2293</v>
      </c>
      <c r="H109" s="348" t="str">
        <f>IF(E109="——","——",H101-H105-H106)</f>
        <v>——</v>
      </c>
      <c r="I109" s="138"/>
    </row>
    <row r="110" spans="1:35" ht="18.75" customHeight="1">
      <c r="A110" s="138"/>
      <c r="B110" s="138"/>
      <c r="C110" s="138"/>
      <c r="D110" s="138"/>
      <c r="E110" s="3090"/>
      <c r="F110" s="3091"/>
      <c r="G110" s="2521" t="s">
        <v>2295</v>
      </c>
      <c r="H110" s="371" t="str">
        <f>IF(H109="——","——",ROUND(H109*10000/'数据-汇总表'!E3,0))</f>
        <v>——</v>
      </c>
      <c r="I110" s="138"/>
    </row>
    <row r="111" spans="1:35" ht="18.75" customHeight="1">
      <c r="A111" s="138"/>
      <c r="B111" s="138"/>
      <c r="C111" s="138"/>
      <c r="D111" s="138"/>
      <c r="E111" s="3125" t="str">
        <f>IF(项目基本情况!E9="抵押净值",IF(OR(项目基本情况!E8="已注销",项目基本情况!E8="房地产抵押价值"),"4.抵押净值","5.抵押净值"),"——")</f>
        <v>——</v>
      </c>
      <c r="F111" s="3126"/>
      <c r="G111" s="2521" t="s">
        <v>2293</v>
      </c>
      <c r="H111" s="1045" t="str">
        <f>IF(E111="——","——",N59)</f>
        <v>——</v>
      </c>
      <c r="I111" s="138"/>
    </row>
    <row r="112" spans="1:35" ht="18.75" customHeight="1" thickBot="1">
      <c r="A112" s="138"/>
      <c r="B112" s="138"/>
      <c r="C112" s="138"/>
      <c r="D112" s="138"/>
      <c r="E112" s="3127"/>
      <c r="F112" s="3128"/>
      <c r="G112" s="2526" t="s">
        <v>2295</v>
      </c>
      <c r="H112" s="790" t="str">
        <f>IF(E111="——","——",N61)</f>
        <v>——</v>
      </c>
      <c r="I112" s="138"/>
    </row>
    <row r="113" spans="1:11" ht="18.75" customHeight="1">
      <c r="A113" s="138"/>
      <c r="B113" s="138"/>
      <c r="C113" s="138"/>
      <c r="D113" s="138"/>
      <c r="E113" s="3095" t="s">
        <v>2301</v>
      </c>
      <c r="F113" s="3095"/>
      <c r="G113" s="3095"/>
      <c r="H113" s="3095"/>
      <c r="I113" s="138"/>
    </row>
    <row r="114" spans="1:11" ht="3.75" customHeight="1">
      <c r="A114" s="2419"/>
      <c r="B114" s="2419"/>
      <c r="C114" s="2419"/>
      <c r="D114" s="2419"/>
      <c r="E114" s="2497"/>
      <c r="F114" s="2497"/>
      <c r="G114" s="2497"/>
      <c r="H114" s="2497"/>
      <c r="I114" s="2419"/>
    </row>
    <row r="115" spans="1:11" ht="18.75" customHeight="1">
      <c r="A115" s="3108" t="s">
        <v>2303</v>
      </c>
      <c r="B115" s="3109"/>
      <c r="C115" s="3109"/>
      <c r="D115" s="3109"/>
      <c r="E115" s="3109"/>
      <c r="F115" s="3109"/>
      <c r="G115" s="3109"/>
      <c r="H115" s="3109"/>
      <c r="I115" s="3110"/>
    </row>
    <row r="116" spans="1:11" ht="27" customHeight="1">
      <c r="A116" s="3001" t="s">
        <v>2304</v>
      </c>
      <c r="B116" s="3096" t="s">
        <v>2305</v>
      </c>
      <c r="C116" s="3096" t="s">
        <v>2306</v>
      </c>
      <c r="D116" s="3112" t="s">
        <v>2307</v>
      </c>
      <c r="E116" s="3113"/>
      <c r="F116" s="3104" t="s">
        <v>2308</v>
      </c>
      <c r="G116" s="3104"/>
      <c r="H116" s="3001" t="s">
        <v>2309</v>
      </c>
      <c r="I116" s="3001"/>
    </row>
    <row r="117" spans="1:11" ht="18.75" customHeight="1">
      <c r="A117" s="3001"/>
      <c r="B117" s="3097"/>
      <c r="C117" s="3097"/>
      <c r="D117" s="1795" t="s">
        <v>2310</v>
      </c>
      <c r="E117" s="1795" t="s">
        <v>2311</v>
      </c>
      <c r="F117" s="1795" t="s">
        <v>2310</v>
      </c>
      <c r="G117" s="1795" t="s">
        <v>2312</v>
      </c>
      <c r="H117" s="1795" t="s">
        <v>2310</v>
      </c>
      <c r="I117" s="1795" t="s">
        <v>2312</v>
      </c>
    </row>
    <row r="118" spans="1:11" ht="24.75" customHeight="1">
      <c r="A118" s="2527" t="str">
        <f>项目基本情况!S2</f>
        <v>北京市出让国有建设用地使用权及在建建筑物房地产</v>
      </c>
      <c r="B118" s="1795">
        <f>M18</f>
        <v>1723.11</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1355</v>
      </c>
      <c r="I118" s="1795">
        <f ca="1">ROUND(IF(D32="楼面单价",C32,H118*10000/B118),0)</f>
        <v>7864</v>
      </c>
    </row>
    <row r="119" spans="1:11" ht="18.75" customHeight="1">
      <c r="A119" s="3001" t="s">
        <v>2313</v>
      </c>
      <c r="B119" s="3001"/>
      <c r="C119" s="3001"/>
      <c r="D119" s="3101" t="e">
        <f ca="1">NUMBERSTRING(INT(D118*10000),2)&amp;"元整"</f>
        <v>#REF!</v>
      </c>
      <c r="E119" s="3103"/>
      <c r="F119" s="3101" t="e">
        <f ca="1">NUMBERSTRING(INT(F118*10000),2)&amp;"元整"</f>
        <v>#REF!</v>
      </c>
      <c r="G119" s="3103"/>
      <c r="H119" s="3101" t="str">
        <f ca="1">NUMBERSTRING(INT(H118*10000),2)&amp;"元整"</f>
        <v>壹仟叁佰伍拾伍万元整</v>
      </c>
      <c r="I119" s="3103"/>
    </row>
    <row r="120" spans="1:11" ht="18.75" customHeight="1">
      <c r="A120" s="3129" t="str">
        <f>IF(项目基本情况!B9="房地产市场价值","",MID(E103,3,LEN(E103)-2))</f>
        <v>估价师知悉的法定优先受偿款</v>
      </c>
      <c r="B120" s="3130"/>
      <c r="C120" s="3131"/>
      <c r="D120" s="3129">
        <f>H103</f>
        <v>0</v>
      </c>
      <c r="E120" s="3130"/>
      <c r="F120" s="3130"/>
      <c r="G120" s="3130"/>
      <c r="H120" s="3130"/>
      <c r="I120" s="3131"/>
      <c r="K120" s="2424" t="str">
        <f>IF(D120=0,"故，本次评估不存在"&amp;A120,"故，本次评估"&amp;A120&amp;"为人民币"&amp;D120&amp;"万元整。")</f>
        <v>故，本次评估不存在估价师知悉的法定优先受偿款</v>
      </c>
    </row>
    <row r="121" spans="1:11" ht="18.75" customHeight="1">
      <c r="A121" s="3105" t="s">
        <v>2313</v>
      </c>
      <c r="B121" s="3106"/>
      <c r="C121" s="3107"/>
      <c r="D121" s="3101" t="str">
        <f>IF(D120=0,"零元整",NUMBERSTRING(INT(D120*10000),2)&amp;"元整")</f>
        <v>零元整</v>
      </c>
      <c r="E121" s="3102"/>
      <c r="F121" s="3102"/>
      <c r="G121" s="3102"/>
      <c r="H121" s="3102"/>
      <c r="I121" s="3103"/>
    </row>
    <row r="122" spans="1:11" ht="18.75" customHeight="1">
      <c r="A122" s="3092" t="str">
        <f>IF(项目基本情况!B9="房地产市场价值","",MID(E107,3,LEN(E107)-2))</f>
        <v>房地产抵押价值</v>
      </c>
      <c r="B122" s="3092"/>
      <c r="C122" s="3092"/>
      <c r="D122" s="3129">
        <f ca="1">H107</f>
        <v>1355</v>
      </c>
      <c r="E122" s="3130"/>
      <c r="F122" s="3130"/>
      <c r="G122" s="3130"/>
      <c r="H122" s="3130"/>
      <c r="I122" s="3131"/>
    </row>
    <row r="123" spans="1:11" ht="18.75" customHeight="1">
      <c r="A123" s="3001" t="s">
        <v>2313</v>
      </c>
      <c r="B123" s="3001"/>
      <c r="C123" s="3001"/>
      <c r="D123" s="3101" t="str">
        <f ca="1">NUMBERSTRING(INT(D122*10000),2)&amp;"元整"</f>
        <v>壹仟叁佰伍拾伍万元整</v>
      </c>
      <c r="E123" s="3102"/>
      <c r="F123" s="3102"/>
      <c r="G123" s="3102"/>
      <c r="H123" s="3102"/>
      <c r="I123" s="3103"/>
    </row>
    <row r="124" spans="1:11" ht="18.75" customHeight="1">
      <c r="A124" s="3092" t="str">
        <f>IF(项目基本情况!B9="房地产市场价值","",MID(E109,3,LEN(E109)-2))</f>
        <v/>
      </c>
      <c r="B124" s="3092"/>
      <c r="C124" s="3092"/>
      <c r="D124" s="3129" t="str">
        <f>H109</f>
        <v>——</v>
      </c>
      <c r="E124" s="3130"/>
      <c r="F124" s="3130"/>
      <c r="G124" s="3130"/>
      <c r="H124" s="3130"/>
      <c r="I124" s="3131"/>
    </row>
    <row r="125" spans="1:11" ht="18.75" customHeight="1">
      <c r="A125" s="3001" t="s">
        <v>2313</v>
      </c>
      <c r="B125" s="3001"/>
      <c r="C125" s="3001"/>
      <c r="D125" s="3101" t="e">
        <f>NUMBERSTRING(INT(D124*10000),2)&amp;"元整"</f>
        <v>#VALUE!</v>
      </c>
      <c r="E125" s="3102"/>
      <c r="F125" s="3102"/>
      <c r="G125" s="3102"/>
      <c r="H125" s="3102"/>
      <c r="I125" s="3103"/>
    </row>
    <row r="126" spans="1:11" ht="18.75" customHeight="1">
      <c r="A126" s="3092" t="str">
        <f>IF(项目基本情况!B9="房地产市场价值","",MID(E111,3,LEN(E111)-2))</f>
        <v/>
      </c>
      <c r="B126" s="3092"/>
      <c r="C126" s="3092"/>
      <c r="D126" s="3129" t="str">
        <f>H111</f>
        <v>——</v>
      </c>
      <c r="E126" s="3130"/>
      <c r="F126" s="3130"/>
      <c r="G126" s="3130"/>
      <c r="H126" s="3130"/>
      <c r="I126" s="3131"/>
    </row>
    <row r="127" spans="1:11" ht="18.75" customHeight="1">
      <c r="A127" s="3001" t="s">
        <v>2313</v>
      </c>
      <c r="B127" s="3001"/>
      <c r="C127" s="3001"/>
      <c r="D127" s="3101" t="e">
        <f>NUMBERSTRING(INT(D126*10000),2)&amp;"元整"</f>
        <v>#VALUE!</v>
      </c>
      <c r="E127" s="3102"/>
      <c r="F127" s="3102"/>
      <c r="G127" s="3102"/>
      <c r="H127" s="3102"/>
      <c r="I127" s="3103"/>
    </row>
    <row r="128" spans="1:11" ht="21.75" customHeight="1">
      <c r="A128" s="3111" t="s">
        <v>2314</v>
      </c>
      <c r="B128" s="3111"/>
      <c r="C128" s="3111"/>
      <c r="D128" s="3111"/>
      <c r="E128" s="3111"/>
      <c r="F128" s="3111"/>
      <c r="G128" s="3111"/>
      <c r="H128" s="3111"/>
      <c r="I128" s="3111"/>
    </row>
    <row r="129" spans="1:35" ht="21.75" customHeight="1">
      <c r="A129" s="2528" t="s">
        <v>2315</v>
      </c>
      <c r="B129" s="2529"/>
      <c r="C129" s="2530" t="s">
        <v>2316</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2317</v>
      </c>
      <c r="G135" s="2545"/>
      <c r="H135" s="2545"/>
      <c r="I135" s="2546" t="s">
        <v>2318</v>
      </c>
    </row>
    <row r="136" spans="1:35" ht="21.75" customHeight="1">
      <c r="A136" s="795"/>
      <c r="B136" s="2547"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2320</v>
      </c>
    </row>
    <row r="139" spans="1:35" ht="21.75" customHeight="1">
      <c r="A139" s="795"/>
      <c r="B139" s="2547" t="s">
        <v>2321</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2320</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6"/>
      <c r="C1" s="242"/>
      <c r="D1" s="242"/>
      <c r="E1" s="242"/>
      <c r="F1" s="242"/>
      <c r="G1" s="1379">
        <f>MATCH(B1,'数据-取费表'!A6:A16,0)+5</f>
        <v>7</v>
      </c>
    </row>
    <row r="2" spans="1:9" s="244" customFormat="1" ht="18" customHeight="1">
      <c r="A2" s="245" t="s">
        <v>2323</v>
      </c>
      <c r="B2" s="246">
        <f ca="1">IF(D2="——",C52,C52-E2)</f>
        <v>582</v>
      </c>
      <c r="C2" s="243" t="s">
        <v>2324</v>
      </c>
      <c r="D2" s="2550" t="s">
        <v>70</v>
      </c>
      <c r="E2" s="1440" t="e">
        <f ca="1">SUMIF(INDIRECT("'"&amp;G2&amp;"'"&amp;"!A:A"),"承租人权益价值",INDIRECT("'"&amp;G2&amp;"'"&amp;"!c:c"))</f>
        <v>#REF!</v>
      </c>
      <c r="F2" s="2551" t="s">
        <v>2324</v>
      </c>
      <c r="G2" s="2552"/>
    </row>
    <row r="3" spans="1:9" s="244" customFormat="1" ht="18" customHeight="1" thickBot="1">
      <c r="A3" s="247" t="s">
        <v>2325</v>
      </c>
      <c r="B3" s="248">
        <f ca="1">ROUND(B2*10000/(IF(B1="",'数据-汇总表'!E3,INDIRECT("'数据-取费表'!k"&amp;$G$1))),0)</f>
        <v>3378</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34</v>
      </c>
      <c r="D5" s="255" t="s">
        <v>2330</v>
      </c>
      <c r="E5" s="256" t="s">
        <v>2331</v>
      </c>
      <c r="F5" s="256" t="s">
        <v>2332</v>
      </c>
      <c r="G5" s="257"/>
    </row>
    <row r="6" spans="1:9" s="258" customFormat="1" ht="13.5" customHeight="1">
      <c r="A6" s="949" t="s">
        <v>2333</v>
      </c>
      <c r="B6" s="259" t="s">
        <v>2334</v>
      </c>
      <c r="C6" s="260"/>
      <c r="D6" s="261"/>
      <c r="E6" s="262"/>
      <c r="F6" s="262"/>
      <c r="G6" s="263"/>
    </row>
    <row r="7" spans="1:9" s="258" customFormat="1" ht="13.5" customHeight="1">
      <c r="A7" s="949" t="s">
        <v>2335</v>
      </c>
      <c r="B7" s="259" t="s">
        <v>2336</v>
      </c>
      <c r="C7" s="264">
        <f>ROUND(C6*F7,0)</f>
        <v>0</v>
      </c>
      <c r="D7" s="264"/>
      <c r="E7" s="262"/>
      <c r="F7" s="265">
        <f>IF(项目基本情况!B8="出让",0,'数据-取费表'!B48+'数据-取费表'!B49)</f>
        <v>3.0499999999999999E-2</v>
      </c>
      <c r="G7" s="263"/>
    </row>
    <row r="8" spans="1:9" s="267" customFormat="1">
      <c r="A8" s="949" t="s">
        <v>2337</v>
      </c>
      <c r="B8" s="259" t="s">
        <v>2338</v>
      </c>
      <c r="C8" s="264">
        <f>IF(G8="已包含在土地购买价格中","0",IF(B1="",'数据-取费表'!B29,IF(G9="全部缴纳",C9+C10,H9)))</f>
        <v>34</v>
      </c>
      <c r="D8" s="266"/>
      <c r="E8" s="264"/>
      <c r="F8" s="265"/>
      <c r="G8" s="2553"/>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0</v>
      </c>
      <c r="F9" s="265"/>
      <c r="G9" s="2554"/>
      <c r="H9" s="1390"/>
      <c r="I9" s="2555" t="s">
        <v>2340</v>
      </c>
    </row>
    <row r="10" spans="1:9" s="258" customFormat="1" ht="13.5" customHeight="1">
      <c r="A10" s="950" t="s">
        <v>801</v>
      </c>
      <c r="B10" s="268" t="s">
        <v>2341</v>
      </c>
      <c r="C10" s="269">
        <f ca="1">ROUND(D10*E10/10000,0)</f>
        <v>34</v>
      </c>
      <c r="D10" s="1032">
        <f ca="1">IF(B1="",'数据-汇总表'!E6,IF(INDIRECT("'数据-取费表'!c"&amp;$G$1)="住宅",INDIRECT("'数据-取费表'!s"&amp;$G$1),INDIRECT("'数据-取费表'!k"&amp;$G$1)+INDIRECT("'数据-取费表'!s"&amp;$G$1)))</f>
        <v>1723.11</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f ca="1">IF(G19="已包含在土地取得成本中","0",ROUND(D19*E19/10000,0))</f>
        <v>34</v>
      </c>
      <c r="D19" s="1036">
        <f ca="1">D9+D10</f>
        <v>1723.11</v>
      </c>
      <c r="E19" s="255">
        <f>'数据-取费表'!B31</f>
        <v>200</v>
      </c>
      <c r="F19" s="275"/>
      <c r="G19" s="2553"/>
    </row>
    <row r="20" spans="1:7" s="258" customFormat="1" ht="13.5" customHeight="1">
      <c r="A20" s="299" t="s">
        <v>2354</v>
      </c>
      <c r="B20" s="254" t="s">
        <v>2355</v>
      </c>
      <c r="C20" s="276">
        <f ca="1">ROUND((C5+C19)*F20,0)</f>
        <v>1</v>
      </c>
      <c r="D20" s="276"/>
      <c r="E20" s="276"/>
      <c r="F20" s="277">
        <f>'数据-取费表'!B37</f>
        <v>0.01</v>
      </c>
      <c r="G20" s="278" t="s">
        <v>2356</v>
      </c>
    </row>
    <row r="21" spans="1:7" s="258" customFormat="1" ht="13.5" customHeight="1">
      <c r="A21" s="299" t="s">
        <v>2357</v>
      </c>
      <c r="B21" s="254" t="s">
        <v>2358</v>
      </c>
      <c r="C21" s="279">
        <f>F21</f>
        <v>0.01</v>
      </c>
      <c r="D21" s="280" t="s">
        <v>2359</v>
      </c>
      <c r="E21" s="276"/>
      <c r="F21" s="277">
        <f>'数据-取费表'!B38</f>
        <v>0.01</v>
      </c>
      <c r="G21" s="278" t="s">
        <v>2360</v>
      </c>
    </row>
    <row r="22" spans="1:7" s="258" customFormat="1" ht="13.5" customHeight="1">
      <c r="A22" s="299" t="s">
        <v>2361</v>
      </c>
      <c r="B22" s="254" t="s">
        <v>2362</v>
      </c>
      <c r="C22" s="1354">
        <f ca="1">ROUND(SUM(C23:C25),0)</f>
        <v>4</v>
      </c>
      <c r="D22" s="279">
        <f ca="1">C26</f>
        <v>4.0000000000000002E-4</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2</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2</v>
      </c>
      <c r="D24" s="282"/>
      <c r="E24" s="282"/>
      <c r="F24" s="283"/>
      <c r="G24" s="284" t="s">
        <v>2368</v>
      </c>
    </row>
    <row r="25" spans="1:7" s="258" customFormat="1" ht="24">
      <c r="A25" s="951" t="s">
        <v>2369</v>
      </c>
      <c r="B25" s="259" t="s">
        <v>2370</v>
      </c>
      <c r="C25" s="1355">
        <f ca="1">ROUND(IF('数据-取费表'!B22&lt;=1,C20*F22*'数据-取费表'!B23/2,C20*(POWER((1+F22),'数据-取费表'!B23/2)-1)),0)</f>
        <v>0</v>
      </c>
      <c r="D25" s="282"/>
      <c r="E25" s="285"/>
      <c r="F25" s="283"/>
      <c r="G25" s="286" t="s">
        <v>2371</v>
      </c>
    </row>
    <row r="26" spans="1:7" s="258" customFormat="1">
      <c r="A26" s="951" t="s">
        <v>795</v>
      </c>
      <c r="B26" s="259" t="s">
        <v>2372</v>
      </c>
      <c r="C26" s="282">
        <f ca="1">ROUND(IF('数据-取费表'!B22&lt;=1,F21*F22*'数据-取费表'!B23/2,F21*(POWER((1+F22),'数据-取费表'!B23/2)-1)),4)</f>
        <v>4.0000000000000002E-4</v>
      </c>
      <c r="D26" s="282"/>
      <c r="E26" s="285"/>
      <c r="F26" s="283"/>
      <c r="G26" s="287"/>
    </row>
    <row r="27" spans="1:7" s="258" customFormat="1" ht="24.75">
      <c r="A27" s="299" t="s">
        <v>2373</v>
      </c>
      <c r="B27" s="288" t="s">
        <v>2374</v>
      </c>
      <c r="C27" s="289">
        <f ca="1">C28</f>
        <v>3</v>
      </c>
      <c r="D27" s="279">
        <f ca="1">C29</f>
        <v>5.0000000000000001E-4</v>
      </c>
      <c r="E27" s="280" t="s">
        <v>2375</v>
      </c>
      <c r="F27" s="290">
        <f ca="1">IF(B1="",'数据-取费表'!Q16,INDIRECT("'数据-取费表'!q"&amp;$G$1))</f>
        <v>0.05</v>
      </c>
      <c r="G27" s="291" t="s">
        <v>2376</v>
      </c>
    </row>
    <row r="28" spans="1:7" s="258" customFormat="1" ht="13.5" customHeight="1">
      <c r="A28" s="951" t="s">
        <v>791</v>
      </c>
      <c r="B28" s="292" t="s">
        <v>2377</v>
      </c>
      <c r="C28" s="293">
        <f ca="1">ROUND((C5+C19+C20)*F27*'数据-取费表'!B21/'数据-取费表'!B20,0)</f>
        <v>3</v>
      </c>
      <c r="D28" s="279"/>
      <c r="E28" s="280"/>
      <c r="F28" s="290"/>
      <c r="G28" s="291"/>
    </row>
    <row r="29" spans="1:7" s="258" customFormat="1" ht="13.5" customHeight="1">
      <c r="A29" s="951" t="s">
        <v>792</v>
      </c>
      <c r="B29" s="292" t="s">
        <v>2378</v>
      </c>
      <c r="C29" s="282">
        <f ca="1">ROUND(C21*F27*'数据-取费表'!B21/'数据-取费表'!B20,4)</f>
        <v>5.0000000000000001E-4</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81</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450</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431</v>
      </c>
      <c r="D34" s="261"/>
      <c r="E34" s="264"/>
      <c r="F34" s="301">
        <f ca="1">IF('数据-取费表'!B24=0,1,IF(B1="",'数据-取费表'!N16,INDIRECT("'数据-取费表'!n"&amp;$G$1)))</f>
        <v>1</v>
      </c>
      <c r="G34" s="263" t="s">
        <v>2387</v>
      </c>
    </row>
    <row r="35" spans="1:7" ht="13.5" customHeight="1">
      <c r="A35" s="951" t="s">
        <v>796</v>
      </c>
      <c r="B35" s="259" t="s">
        <v>2388</v>
      </c>
      <c r="C35" s="264">
        <f ca="1">ROUND(C34*F35,0)</f>
        <v>13</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0</v>
      </c>
      <c r="D37" s="261">
        <f ca="1">D19</f>
        <v>1723.11</v>
      </c>
      <c r="E37" s="293">
        <f>'数据-取费表'!B35</f>
        <v>0</v>
      </c>
      <c r="F37" s="303"/>
      <c r="G37" s="305" t="s">
        <v>2393</v>
      </c>
    </row>
    <row r="38" spans="1:7" ht="13.5" customHeight="1">
      <c r="A38" s="951" t="s">
        <v>799</v>
      </c>
      <c r="B38" s="259" t="s">
        <v>2394</v>
      </c>
      <c r="C38" s="264">
        <f ca="1">ROUND(C34*F38,0)</f>
        <v>6</v>
      </c>
      <c r="D38" s="264"/>
      <c r="E38" s="264"/>
      <c r="F38" s="303">
        <f>'数据-取费表'!B36</f>
        <v>1.4999999999999999E-2</v>
      </c>
      <c r="G38" s="263" t="s">
        <v>2389</v>
      </c>
    </row>
    <row r="39" spans="1:7" s="258" customFormat="1" ht="13.5" customHeight="1">
      <c r="A39" s="299" t="s">
        <v>2395</v>
      </c>
      <c r="B39" s="254" t="s">
        <v>2396</v>
      </c>
      <c r="C39" s="276">
        <f ca="1">ROUND(C33*F20,0)</f>
        <v>5</v>
      </c>
      <c r="D39" s="276"/>
      <c r="E39" s="276"/>
      <c r="F39" s="277"/>
      <c r="G39" s="278" t="s">
        <v>2397</v>
      </c>
    </row>
    <row r="40" spans="1:7" s="258" customFormat="1" ht="13.5" customHeight="1">
      <c r="A40" s="299" t="s">
        <v>2398</v>
      </c>
      <c r="B40" s="254" t="s">
        <v>2399</v>
      </c>
      <c r="C40" s="1728">
        <f>F21</f>
        <v>0.01</v>
      </c>
      <c r="D40" s="280" t="s">
        <v>2400</v>
      </c>
      <c r="E40" s="276"/>
      <c r="F40" s="277"/>
      <c r="G40" s="278" t="s">
        <v>2401</v>
      </c>
    </row>
    <row r="41" spans="1:7" s="258" customFormat="1" ht="13.5" customHeight="1">
      <c r="A41" s="299" t="s">
        <v>2402</v>
      </c>
      <c r="B41" s="254" t="s">
        <v>2403</v>
      </c>
      <c r="C41" s="276">
        <f ca="1">ROUND(SUM(C42:C43),0)</f>
        <v>16</v>
      </c>
      <c r="D41" s="279">
        <f ca="1">C44</f>
        <v>4.0000000000000002E-4</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16</v>
      </c>
      <c r="D42" s="282"/>
      <c r="E42" s="282"/>
      <c r="F42" s="283"/>
      <c r="G42" s="3143" t="s">
        <v>2405</v>
      </c>
    </row>
    <row r="43" spans="1:7" ht="13.5" customHeight="1">
      <c r="A43" s="951" t="s">
        <v>792</v>
      </c>
      <c r="B43" s="259" t="s">
        <v>2406</v>
      </c>
      <c r="C43" s="282">
        <f ca="1">ROUND(IF('数据-取费表'!B22&lt;=1,C39*F22*'数据-取费表'!B21/2,C39*(POWER((1+F22),'数据-取费表'!B21/2)-1)),0)</f>
        <v>0</v>
      </c>
      <c r="D43" s="282"/>
      <c r="E43" s="282"/>
      <c r="F43" s="283"/>
      <c r="G43" s="3144"/>
    </row>
    <row r="44" spans="1:7" ht="13.5" customHeight="1">
      <c r="A44" s="951" t="s">
        <v>793</v>
      </c>
      <c r="B44" s="259" t="s">
        <v>2407</v>
      </c>
      <c r="C44" s="282">
        <f ca="1">ROUND(IF('数据-取费表'!B22&lt;=1,C40*F22*'数据-取费表'!B21/2,C40*(POWER((1+F22),'数据-取费表'!B21/2)-1)),4)</f>
        <v>4.0000000000000002E-4</v>
      </c>
      <c r="D44" s="282"/>
      <c r="E44" s="282"/>
      <c r="F44" s="283"/>
      <c r="G44" s="3145"/>
    </row>
    <row r="45" spans="1:7" s="258" customFormat="1" ht="13.5" customHeight="1">
      <c r="A45" s="299" t="s">
        <v>2408</v>
      </c>
      <c r="B45" s="288" t="s">
        <v>2374</v>
      </c>
      <c r="C45" s="289">
        <f ca="1">C46</f>
        <v>23</v>
      </c>
      <c r="D45" s="279">
        <f ca="1">C47</f>
        <v>5.0000000000000001E-4</v>
      </c>
      <c r="E45" s="280" t="s">
        <v>2400</v>
      </c>
      <c r="F45" s="290"/>
      <c r="G45" s="291" t="s">
        <v>2409</v>
      </c>
    </row>
    <row r="46" spans="1:7" s="258" customFormat="1" ht="13.5" customHeight="1">
      <c r="A46" s="951" t="s">
        <v>791</v>
      </c>
      <c r="B46" s="292" t="s">
        <v>2410</v>
      </c>
      <c r="C46" s="293">
        <f ca="1">ROUND((C33+C39)*F27,0)</f>
        <v>23</v>
      </c>
      <c r="D46" s="307"/>
      <c r="E46" s="280"/>
      <c r="F46" s="290"/>
      <c r="G46" s="291"/>
    </row>
    <row r="47" spans="1:7" s="258" customFormat="1" ht="13.5" customHeight="1">
      <c r="A47" s="951" t="s">
        <v>792</v>
      </c>
      <c r="B47" s="292" t="s">
        <v>2411</v>
      </c>
      <c r="C47" s="282">
        <f ca="1">ROUND(C40*F27,4)</f>
        <v>5.0000000000000001E-4</v>
      </c>
      <c r="D47" s="307"/>
      <c r="E47" s="280"/>
      <c r="F47" s="290"/>
      <c r="G47" s="291"/>
    </row>
    <row r="48" spans="1:7" s="258" customFormat="1" ht="13.5" customHeight="1">
      <c r="A48" s="299" t="s">
        <v>2373</v>
      </c>
      <c r="B48" s="254" t="s">
        <v>2412</v>
      </c>
      <c r="C48" s="1728">
        <f>ROUND(F30/(1+'数据-取费表'!C42),4)</f>
        <v>5.2400000000000002E-2</v>
      </c>
      <c r="D48" s="280" t="s">
        <v>2400</v>
      </c>
      <c r="E48" s="276"/>
      <c r="F48" s="281"/>
      <c r="G48" s="278" t="s">
        <v>2413</v>
      </c>
    </row>
    <row r="49" spans="1:7" ht="16.5" customHeight="1">
      <c r="A49" s="299" t="s">
        <v>2379</v>
      </c>
      <c r="B49" s="254" t="s">
        <v>2414</v>
      </c>
      <c r="C49" s="276">
        <f ca="1">ROUND((C33+C39+C41+C45)/(1-C40-D41-D45-C48),0)</f>
        <v>527</v>
      </c>
      <c r="D49" s="276"/>
      <c r="E49" s="276"/>
      <c r="F49" s="308"/>
      <c r="G49" s="278" t="s">
        <v>2415</v>
      </c>
    </row>
    <row r="50" spans="1:7" s="302" customFormat="1" ht="24">
      <c r="A50" s="299" t="s">
        <v>2416</v>
      </c>
      <c r="B50" s="254" t="s">
        <v>2417</v>
      </c>
      <c r="C50" s="276"/>
      <c r="D50" s="276"/>
      <c r="E50" s="276"/>
      <c r="F50" s="308">
        <f>IF('数据-取费表'!B24=0,'数据-取费表'!N16,1)</f>
        <v>0.95</v>
      </c>
      <c r="G50" s="291" t="s">
        <v>2418</v>
      </c>
    </row>
    <row r="51" spans="1:7" ht="16.5" customHeight="1">
      <c r="A51" s="299" t="s">
        <v>2419</v>
      </c>
      <c r="B51" s="254" t="s">
        <v>2420</v>
      </c>
      <c r="C51" s="276">
        <f ca="1">ROUND(C49*F50,0)</f>
        <v>501</v>
      </c>
      <c r="D51" s="276"/>
      <c r="E51" s="276"/>
      <c r="F51" s="308"/>
      <c r="G51" s="278" t="s">
        <v>2421</v>
      </c>
    </row>
    <row r="52" spans="1:7" s="252" customFormat="1" ht="16.5" thickBot="1">
      <c r="A52" s="309" t="s">
        <v>2422</v>
      </c>
      <c r="B52" s="310"/>
      <c r="C52" s="311">
        <f ca="1">C31+C51</f>
        <v>582</v>
      </c>
      <c r="D52" s="310"/>
      <c r="E52" s="310"/>
      <c r="F52" s="310"/>
      <c r="G52" s="312"/>
    </row>
    <row r="55" spans="1:7" ht="15">
      <c r="B55" s="314" t="s">
        <v>2423</v>
      </c>
      <c r="C55" s="315"/>
    </row>
    <row r="56" spans="1:7">
      <c r="B56" s="317" t="s">
        <v>1508</v>
      </c>
      <c r="C56" s="319">
        <f ca="1">1-C57</f>
        <v>0.13900000000000001</v>
      </c>
    </row>
    <row r="57" spans="1:7">
      <c r="B57" s="317" t="s">
        <v>1509</v>
      </c>
      <c r="C57" s="318">
        <f ca="1">ROUND(C51/C52,3)</f>
        <v>0.86099999999999999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7" t="str">
        <f>项目基本情况!B1</f>
        <v>北京市出让国有建设用地使用权及在建建筑物房地产抵押价值预评估</v>
      </c>
      <c r="C37" s="2957"/>
      <c r="D37" s="2957"/>
      <c r="E37" s="2957"/>
      <c r="F37" s="2957"/>
      <c r="G37" s="2957"/>
      <c r="H37" s="2957"/>
      <c r="I37" s="2957"/>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D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6"/>
      <c r="C1" s="2556"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584</v>
      </c>
      <c r="C2" s="243" t="s">
        <v>2324</v>
      </c>
      <c r="D2" s="2550" t="s">
        <v>70</v>
      </c>
      <c r="E2" s="1440" t="e">
        <f ca="1">SUMIF(INDIRECT("'"&amp;G2&amp;"'"&amp;"!A:A"),"承租人权益价值",INDIRECT("'"&amp;G2&amp;"'"&amp;"!c:c"))</f>
        <v>#REF!</v>
      </c>
      <c r="F2" s="2551" t="s">
        <v>2324</v>
      </c>
      <c r="G2" s="2552"/>
    </row>
    <row r="3" spans="1:8" s="244" customFormat="1" ht="18" customHeight="1" thickBot="1">
      <c r="A3" s="247" t="s">
        <v>2325</v>
      </c>
      <c r="B3" s="248">
        <f ca="1">ROUND(B2*10000/(IF(B1="",'数据-汇总表'!E3,INDIRECT("'数据-取费表'!k"&amp;$G$1))),0)</f>
        <v>3389</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344622</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344622</v>
      </c>
      <c r="D8" s="266"/>
      <c r="E8" s="264"/>
      <c r="F8" s="265"/>
      <c r="G8" s="2553"/>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2341</v>
      </c>
      <c r="C10" s="269">
        <f ca="1">ROUND(D10*E10,0)</f>
        <v>344622</v>
      </c>
      <c r="D10" s="1032">
        <f ca="1">IF(B1="",'数据-汇总表'!E6,IF(INDIRECT("'数据-取费表'!c"&amp;$G$1)="住宅",INDIRECT("'数据-取费表'!s"&amp;$G$1),INDIRECT("'数据-取费表'!k"&amp;$G$1)+INDIRECT("'数据-取费表'!s"&amp;$G$1)))</f>
        <v>1723.11</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344622</v>
      </c>
      <c r="D19" s="1036">
        <f ca="1">D9+D10</f>
        <v>1723.11</v>
      </c>
      <c r="E19" s="255">
        <f>'数据-取费表'!B31</f>
        <v>200</v>
      </c>
      <c r="F19" s="275"/>
      <c r="G19" s="2553"/>
    </row>
    <row r="20" spans="1:7" s="258" customFormat="1" ht="13.5" customHeight="1">
      <c r="A20" s="299" t="s">
        <v>2435</v>
      </c>
      <c r="B20" s="254" t="s">
        <v>2436</v>
      </c>
      <c r="C20" s="276">
        <f ca="1">ROUND((C5+C19)*F20,0)</f>
        <v>6892</v>
      </c>
      <c r="D20" s="276"/>
      <c r="E20" s="276"/>
      <c r="F20" s="277">
        <f>'数据-取费表'!B37</f>
        <v>0.01</v>
      </c>
      <c r="G20" s="278" t="s">
        <v>2437</v>
      </c>
    </row>
    <row r="21" spans="1:7" s="258" customFormat="1" ht="13.5" customHeight="1">
      <c r="A21" s="299" t="s">
        <v>2438</v>
      </c>
      <c r="B21" s="254" t="s">
        <v>2439</v>
      </c>
      <c r="C21" s="279">
        <f>F21</f>
        <v>0.01</v>
      </c>
      <c r="D21" s="280" t="s">
        <v>2440</v>
      </c>
      <c r="E21" s="276"/>
      <c r="F21" s="277">
        <f>'数据-取费表'!B38</f>
        <v>0.01</v>
      </c>
      <c r="G21" s="278" t="s">
        <v>2441</v>
      </c>
    </row>
    <row r="22" spans="1:7" s="258" customFormat="1" ht="13.5" customHeight="1">
      <c r="A22" s="299" t="s">
        <v>2442</v>
      </c>
      <c r="B22" s="254" t="s">
        <v>2443</v>
      </c>
      <c r="C22" s="1380">
        <f ca="1">ROUND(SUM(C23:C25),0)</f>
        <v>49932</v>
      </c>
      <c r="D22" s="279">
        <f ca="1">C26</f>
        <v>4.0000000000000002E-4</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24844</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24844</v>
      </c>
      <c r="D24" s="282"/>
      <c r="E24" s="282"/>
      <c r="F24" s="283"/>
      <c r="G24" s="284" t="s">
        <v>2447</v>
      </c>
    </row>
    <row r="25" spans="1:7" s="258" customFormat="1" ht="24">
      <c r="A25" s="951" t="s">
        <v>2337</v>
      </c>
      <c r="B25" s="259" t="s">
        <v>2448</v>
      </c>
      <c r="C25" s="1381">
        <f ca="1">ROUND(IF('数据-取费表'!B22&lt;=1,C20*F22*'数据-取费表'!B22/2,C20*(POWER((1+F22),'数据-取费表'!B22/2)-1)),0)</f>
        <v>244</v>
      </c>
      <c r="D25" s="282"/>
      <c r="E25" s="285"/>
      <c r="F25" s="283"/>
      <c r="G25" s="286" t="s">
        <v>2449</v>
      </c>
    </row>
    <row r="26" spans="1:7" s="258" customFormat="1">
      <c r="A26" s="951" t="s">
        <v>795</v>
      </c>
      <c r="B26" s="259" t="s">
        <v>2372</v>
      </c>
      <c r="C26" s="282">
        <f ca="1">ROUND(IF('数据-取费表'!B22&lt;=1,F21*F22*'数据-取费表'!B22/2,F21*(POWER((1+F22),'数据-取费表'!B22/2)-1)),4)</f>
        <v>4.0000000000000002E-4</v>
      </c>
      <c r="D26" s="282"/>
      <c r="E26" s="285"/>
      <c r="F26" s="283"/>
      <c r="G26" s="287"/>
    </row>
    <row r="27" spans="1:7" s="258" customFormat="1" ht="24.75">
      <c r="A27" s="299" t="s">
        <v>2373</v>
      </c>
      <c r="B27" s="288" t="s">
        <v>2374</v>
      </c>
      <c r="C27" s="289">
        <f ca="1">C28</f>
        <v>34807</v>
      </c>
      <c r="D27" s="279">
        <f ca="1">C29</f>
        <v>5.0000000000000001E-4</v>
      </c>
      <c r="E27" s="280" t="s">
        <v>2375</v>
      </c>
      <c r="F27" s="290">
        <f ca="1">IF(B1="",'数据-取费表'!Q16,INDIRECT("'数据-取费表'!q"&amp;$G$1))</f>
        <v>0.05</v>
      </c>
      <c r="G27" s="291" t="s">
        <v>2376</v>
      </c>
    </row>
    <row r="28" spans="1:7" s="258" customFormat="1" ht="13.5" customHeight="1">
      <c r="A28" s="951" t="s">
        <v>791</v>
      </c>
      <c r="B28" s="292" t="s">
        <v>2377</v>
      </c>
      <c r="C28" s="293">
        <f ca="1">ROUND((C5+C19+C20)*F27,0)</f>
        <v>34807</v>
      </c>
      <c r="D28" s="279"/>
      <c r="E28" s="280"/>
      <c r="F28" s="290"/>
      <c r="G28" s="291"/>
    </row>
    <row r="29" spans="1:7" s="258" customFormat="1" ht="13.5" customHeight="1">
      <c r="A29" s="951" t="s">
        <v>792</v>
      </c>
      <c r="B29" s="292" t="s">
        <v>2378</v>
      </c>
      <c r="C29" s="282">
        <f ca="1">ROUND(C21*F27,4)</f>
        <v>5.0000000000000001E-4</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833645</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4501625</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4307775</v>
      </c>
      <c r="D34" s="261"/>
      <c r="E34" s="264"/>
      <c r="F34" s="301"/>
      <c r="G34" s="263"/>
    </row>
    <row r="35" spans="1:7" ht="13.5" customHeight="1">
      <c r="A35" s="951" t="s">
        <v>796</v>
      </c>
      <c r="B35" s="259" t="s">
        <v>2388</v>
      </c>
      <c r="C35" s="264">
        <f ca="1">ROUND(C34*F35,0)</f>
        <v>129233</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0</v>
      </c>
      <c r="D37" s="261">
        <f ca="1">D19</f>
        <v>1723.11</v>
      </c>
      <c r="E37" s="293">
        <f>'数据-取费表'!B35</f>
        <v>0</v>
      </c>
      <c r="F37" s="303"/>
      <c r="G37" s="305"/>
    </row>
    <row r="38" spans="1:7" ht="13.5" customHeight="1">
      <c r="A38" s="951" t="s">
        <v>799</v>
      </c>
      <c r="B38" s="259" t="s">
        <v>2394</v>
      </c>
      <c r="C38" s="264">
        <f ca="1">ROUND(C34*F38,0)</f>
        <v>64617</v>
      </c>
      <c r="D38" s="264"/>
      <c r="E38" s="264"/>
      <c r="F38" s="303">
        <f>'数据-取费表'!B36</f>
        <v>1.4999999999999999E-2</v>
      </c>
      <c r="G38" s="263" t="s">
        <v>2389</v>
      </c>
    </row>
    <row r="39" spans="1:7" s="258" customFormat="1" ht="13.5" customHeight="1">
      <c r="A39" s="299" t="s">
        <v>2395</v>
      </c>
      <c r="B39" s="254" t="s">
        <v>2396</v>
      </c>
      <c r="C39" s="276">
        <f ca="1">ROUND(C33*F20,0)</f>
        <v>45016</v>
      </c>
      <c r="D39" s="276"/>
      <c r="E39" s="276"/>
      <c r="F39" s="277"/>
      <c r="G39" s="278" t="s">
        <v>2397</v>
      </c>
    </row>
    <row r="40" spans="1:7" s="258" customFormat="1" ht="13.5" customHeight="1">
      <c r="A40" s="299" t="s">
        <v>2398</v>
      </c>
      <c r="B40" s="254" t="s">
        <v>2399</v>
      </c>
      <c r="C40" s="1728">
        <f>F21</f>
        <v>0.01</v>
      </c>
      <c r="D40" s="280" t="s">
        <v>2400</v>
      </c>
      <c r="E40" s="276"/>
      <c r="F40" s="277"/>
      <c r="G40" s="278" t="s">
        <v>2401</v>
      </c>
    </row>
    <row r="41" spans="1:7" s="258" customFormat="1" ht="13.5" customHeight="1">
      <c r="A41" s="299" t="s">
        <v>2402</v>
      </c>
      <c r="B41" s="254" t="s">
        <v>2403</v>
      </c>
      <c r="C41" s="276">
        <f ca="1">ROUND(SUM(C42:C43),0)</f>
        <v>161031</v>
      </c>
      <c r="D41" s="279">
        <f ca="1">C44</f>
        <v>4.0000000000000002E-4</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159437</v>
      </c>
      <c r="D42" s="282"/>
      <c r="E42" s="282"/>
      <c r="F42" s="283"/>
      <c r="G42" s="3143" t="s">
        <v>2452</v>
      </c>
    </row>
    <row r="43" spans="1:7" ht="13.5" customHeight="1">
      <c r="A43" s="951" t="s">
        <v>792</v>
      </c>
      <c r="B43" s="259" t="s">
        <v>2406</v>
      </c>
      <c r="C43" s="282">
        <f ca="1">ROUND(IF('数据-取费表'!B22&lt;=1,C39*F22*'数据-取费表'!B20/2,C39*(POWER((1+F22),'数据-取费表'!B20/2)-1)),0)</f>
        <v>1594</v>
      </c>
      <c r="D43" s="282"/>
      <c r="E43" s="282"/>
      <c r="F43" s="283"/>
      <c r="G43" s="3144"/>
    </row>
    <row r="44" spans="1:7" ht="13.5" customHeight="1">
      <c r="A44" s="951" t="s">
        <v>793</v>
      </c>
      <c r="B44" s="259" t="s">
        <v>2407</v>
      </c>
      <c r="C44" s="282">
        <f ca="1">ROUND(IF('数据-取费表'!B22&lt;=1,C40*F22*'数据-取费表'!B20/2,C40*(POWER((1+F22),'数据-取费表'!B20/2)-1)),4)</f>
        <v>4.0000000000000002E-4</v>
      </c>
      <c r="D44" s="282"/>
      <c r="E44" s="282"/>
      <c r="F44" s="283"/>
      <c r="G44" s="3145"/>
    </row>
    <row r="45" spans="1:7" s="258" customFormat="1" ht="13.5" customHeight="1">
      <c r="A45" s="299" t="s">
        <v>2408</v>
      </c>
      <c r="B45" s="288" t="s">
        <v>2374</v>
      </c>
      <c r="C45" s="289">
        <f ca="1">C46</f>
        <v>227332</v>
      </c>
      <c r="D45" s="279">
        <f ca="1">C47</f>
        <v>5.0000000000000001E-4</v>
      </c>
      <c r="E45" s="280" t="s">
        <v>2400</v>
      </c>
      <c r="F45" s="290"/>
      <c r="G45" s="291" t="s">
        <v>2409</v>
      </c>
    </row>
    <row r="46" spans="1:7" s="258" customFormat="1" ht="13.5" customHeight="1">
      <c r="A46" s="951" t="s">
        <v>791</v>
      </c>
      <c r="B46" s="292" t="s">
        <v>2410</v>
      </c>
      <c r="C46" s="293">
        <f ca="1">ROUND((C33+C39)*F27,0)</f>
        <v>227332</v>
      </c>
      <c r="D46" s="307"/>
      <c r="E46" s="280"/>
      <c r="F46" s="290"/>
      <c r="G46" s="291"/>
    </row>
    <row r="47" spans="1:7" s="258" customFormat="1" ht="13.5" customHeight="1">
      <c r="A47" s="951" t="s">
        <v>792</v>
      </c>
      <c r="B47" s="292" t="s">
        <v>2411</v>
      </c>
      <c r="C47" s="282">
        <f ca="1">ROUND(C40*F27,4)</f>
        <v>5.0000000000000001E-4</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5268500</v>
      </c>
      <c r="D49" s="276"/>
      <c r="E49" s="276"/>
      <c r="F49" s="308"/>
      <c r="G49" s="278" t="s">
        <v>2415</v>
      </c>
    </row>
    <row r="50" spans="1:7" s="302" customFormat="1">
      <c r="A50" s="299" t="s">
        <v>2416</v>
      </c>
      <c r="B50" s="254" t="s">
        <v>2417</v>
      </c>
      <c r="C50" s="276"/>
      <c r="D50" s="276"/>
      <c r="E50" s="276"/>
      <c r="F50" s="308">
        <f>IF('数据-取费表'!B24=0,'数据-取费表'!N16,1)</f>
        <v>0.95</v>
      </c>
      <c r="G50" s="291"/>
    </row>
    <row r="51" spans="1:7" ht="16.5" customHeight="1">
      <c r="A51" s="299" t="s">
        <v>2419</v>
      </c>
      <c r="B51" s="254" t="s">
        <v>2454</v>
      </c>
      <c r="C51" s="276">
        <f ca="1">ROUND(C49*F50,0)</f>
        <v>5005075</v>
      </c>
      <c r="D51" s="276"/>
      <c r="E51" s="276"/>
      <c r="F51" s="308"/>
      <c r="G51" s="278" t="s">
        <v>2421</v>
      </c>
    </row>
    <row r="52" spans="1:7" s="252" customFormat="1" ht="16.5" thickBot="1">
      <c r="A52" s="309" t="s">
        <v>2422</v>
      </c>
      <c r="B52" s="310"/>
      <c r="C52" s="311">
        <f ca="1">C31+C51</f>
        <v>5838720</v>
      </c>
      <c r="D52" s="310"/>
      <c r="E52" s="310"/>
      <c r="F52" s="310"/>
      <c r="G52" s="312"/>
    </row>
    <row r="55" spans="1:7" ht="15">
      <c r="B55" s="314" t="s">
        <v>2423</v>
      </c>
      <c r="C55" s="315"/>
    </row>
    <row r="56" spans="1:7">
      <c r="B56" s="317" t="s">
        <v>1508</v>
      </c>
      <c r="C56" s="319">
        <f ca="1">1-C57</f>
        <v>0.14300000000000002</v>
      </c>
    </row>
    <row r="57" spans="1:7">
      <c r="B57" s="317" t="s">
        <v>1509</v>
      </c>
      <c r="C57" s="318">
        <f ca="1">ROUND(C51/C52,3)</f>
        <v>0.85699999999999998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D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1"/>
      <c r="C1" s="1582"/>
      <c r="D1" s="1580"/>
      <c r="E1" s="320"/>
      <c r="F1" s="320"/>
      <c r="G1" s="1581"/>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7" t="s">
        <v>2461</v>
      </c>
      <c r="D5" s="2557" t="s">
        <v>2462</v>
      </c>
      <c r="E5" s="2557" t="s">
        <v>2463</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2477</v>
      </c>
      <c r="C12" s="24">
        <f ca="1">ROUND(C11*F12,0)</f>
        <v>0</v>
      </c>
      <c r="D12" s="973"/>
      <c r="E12" s="375"/>
      <c r="F12" s="976">
        <f>'数据-取费表'!B33</f>
        <v>0.03</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1333</v>
      </c>
      <c r="B14" s="972" t="s">
        <v>2481</v>
      </c>
      <c r="C14" s="24">
        <f ca="1">ROUND(D14*E14*F11/10000,0)</f>
        <v>0</v>
      </c>
      <c r="D14" s="1033">
        <f ca="1">IF(C1="",'数据-汇总表'!E3,INDIRECT("'数据-取费表'!K"&amp;$K$1)+INDIRECT("'数据-取费表'!S"&amp;$K$1))</f>
        <v>1723.11</v>
      </c>
      <c r="E14" s="24">
        <f>'数据-取费表'!B35</f>
        <v>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1723.11</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0</v>
      </c>
      <c r="D18" s="1033"/>
      <c r="E18" s="24"/>
      <c r="F18" s="976"/>
      <c r="G18" s="2559"/>
      <c r="H18" s="1577"/>
      <c r="I18" s="2560"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2491</v>
      </c>
      <c r="C20" s="24">
        <f ca="1">ROUND(D20*E20/10000,0)</f>
        <v>34</v>
      </c>
      <c r="D20" s="1033">
        <f ca="1">IF(C1="",'数据-汇总表'!E6,IF(INDIRECT("'数据-取费表'!c"&amp;$K$1)="住宅",INDIRECT("'数据-取费表'!s"&amp;$K$1),INDIRECT("'数据-取费表'!k"&amp;$K$1)+INDIRECT("'数据-取费表'!s"&amp;$K$1)))</f>
        <v>1723.11</v>
      </c>
      <c r="E20" s="24">
        <f>'数据-取费表'!B28</f>
        <v>200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0.01</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0.01</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2505</v>
      </c>
      <c r="B28" s="2562" t="s">
        <v>2506</v>
      </c>
      <c r="C28" s="331">
        <f ca="1">C30</f>
        <v>0</v>
      </c>
      <c r="D28" s="324">
        <f ca="1">C29</f>
        <v>0</v>
      </c>
      <c r="E28" s="326" t="s">
        <v>15</v>
      </c>
      <c r="F28" s="332">
        <f ca="1">IF(C1="",'数据-取费表'!Q16,INDIRECT("'数据-取费表'!q"&amp;$K$1))</f>
        <v>0.05</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63" t="s">
        <v>2510</v>
      </c>
      <c r="B31" s="1005" t="s">
        <v>2511</v>
      </c>
      <c r="C31" s="1006">
        <f>ROUND(C4*F31/(1+'数据-取费表'!C42),0)</f>
        <v>0</v>
      </c>
      <c r="D31" s="1007"/>
      <c r="E31" s="1008"/>
      <c r="F31" s="1009">
        <f>'数据-取费表'!B41</f>
        <v>5.5000000000000007E-2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37" sqref="J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6</v>
      </c>
      <c r="D1" s="1820" t="s">
        <v>70</v>
      </c>
      <c r="E1" s="1821" t="s">
        <v>1382</v>
      </c>
      <c r="F1" s="1283">
        <f ca="1">J53</f>
        <v>32.619999999999997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1372</v>
      </c>
      <c r="C2" s="1845" t="s">
        <v>1511</v>
      </c>
      <c r="D2" s="1845"/>
      <c r="E2" s="1846"/>
      <c r="F2" s="1847"/>
      <c r="G2" s="1848"/>
      <c r="H2" s="1840"/>
      <c r="I2" s="1840"/>
      <c r="J2" s="1840"/>
      <c r="K2" s="1841"/>
      <c r="L2" s="1840"/>
      <c r="M2" s="1840"/>
    </row>
    <row r="3" spans="1:37" ht="18" customHeight="1" thickBot="1">
      <c r="A3" s="1849" t="s">
        <v>1512</v>
      </c>
      <c r="B3" s="1850">
        <f ca="1">IF(ISERROR(B2*10000/F43),0,ROUND(B2*10000/F43,0))</f>
        <v>7962</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91</v>
      </c>
      <c r="D5" s="1822" t="s">
        <v>1397</v>
      </c>
      <c r="E5" s="1293"/>
      <c r="F5" s="1294"/>
      <c r="G5" s="1851"/>
      <c r="H5" s="344">
        <v>1</v>
      </c>
      <c r="I5" s="345" t="s">
        <v>1396</v>
      </c>
      <c r="J5" s="1292">
        <f ca="1">J6+J10+J12</f>
        <v>0</v>
      </c>
      <c r="K5" s="1822" t="s">
        <v>1397</v>
      </c>
      <c r="L5" s="1293"/>
      <c r="M5" s="1294"/>
    </row>
    <row r="6" spans="1:37" ht="18" customHeight="1">
      <c r="A6" s="1291" t="s">
        <v>1032</v>
      </c>
      <c r="B6" s="3148" t="s">
        <v>1398</v>
      </c>
      <c r="C6" s="1296">
        <f ca="1">ROUND(F6*F8*F7*(1-F9)/10000,0)</f>
        <v>91</v>
      </c>
      <c r="D6" s="164" t="s">
        <v>3028</v>
      </c>
      <c r="E6" s="347" t="s">
        <v>1400</v>
      </c>
      <c r="F6" s="348">
        <f ca="1">INDIRECT("'数据-取费表'!u"&amp;$G$1)</f>
        <v>1.6</v>
      </c>
      <c r="G6" s="1851"/>
      <c r="H6" s="1291" t="s">
        <v>1032</v>
      </c>
      <c r="I6" s="3148" t="s">
        <v>1398</v>
      </c>
      <c r="J6" s="346">
        <f ca="1">ROUND(M6*M8*M7*(1-M9)/10000,0)</f>
        <v>0</v>
      </c>
      <c r="K6" s="164" t="s">
        <v>3027</v>
      </c>
      <c r="L6" s="347" t="s">
        <v>1400</v>
      </c>
      <c r="M6" s="348">
        <f ca="1">INDIRECT("'数据-取费表'!z"&amp;$G$1)</f>
        <v>0</v>
      </c>
    </row>
    <row r="7" spans="1:37" ht="18" customHeight="1">
      <c r="A7" s="1295"/>
      <c r="B7" s="3149"/>
      <c r="C7" s="1297"/>
      <c r="D7" s="352"/>
      <c r="E7" s="1298" t="s">
        <v>1401</v>
      </c>
      <c r="F7" s="348">
        <f ca="1">IF(INDIRECT("'数据-取费表'!ah"&amp;$G$1)="",INDIRECT("'数据-取费表'!k"&amp;$G$1),INDIRECT("'数据-取费表'!ah"&amp;$G$1))</f>
        <v>1723.11</v>
      </c>
      <c r="G7" s="1851"/>
      <c r="H7" s="349"/>
      <c r="I7" s="3149"/>
      <c r="J7" s="351"/>
      <c r="K7" s="352"/>
      <c r="L7" s="347" t="s">
        <v>1401</v>
      </c>
      <c r="M7" s="348">
        <f ca="1">F7</f>
        <v>1723.11</v>
      </c>
    </row>
    <row r="8" spans="1:37" ht="18" customHeight="1">
      <c r="A8" s="349"/>
      <c r="B8" s="3149"/>
      <c r="C8" s="351"/>
      <c r="D8" s="352"/>
      <c r="E8" s="347" t="s">
        <v>1402</v>
      </c>
      <c r="F8" s="348">
        <f ca="1">INDIRECT("'数据-取费表'!ai"&amp;$G$1)</f>
        <v>365</v>
      </c>
      <c r="G8" s="1851"/>
      <c r="H8" s="349"/>
      <c r="I8" s="3149"/>
      <c r="J8" s="351"/>
      <c r="K8" s="352"/>
      <c r="L8" s="347" t="s">
        <v>1402</v>
      </c>
      <c r="M8" s="348">
        <f ca="1">INDIRECT("'数据-取费表'!ai"&amp;$G$1)</f>
        <v>365</v>
      </c>
    </row>
    <row r="9" spans="1:37" ht="18" customHeight="1">
      <c r="A9" s="349"/>
      <c r="B9" s="3150"/>
      <c r="C9" s="351"/>
      <c r="D9" s="352"/>
      <c r="E9" s="347" t="s">
        <v>1403</v>
      </c>
      <c r="F9" s="357">
        <f ca="1">INDIRECT("'数据-取费表'!w"&amp;$G$1)</f>
        <v>0.1</v>
      </c>
      <c r="G9" s="1851"/>
      <c r="H9" s="349"/>
      <c r="I9" s="3150"/>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3037</v>
      </c>
      <c r="E10" s="358" t="s">
        <v>1405</v>
      </c>
      <c r="F10" s="1366" t="s">
        <v>3075</v>
      </c>
      <c r="G10" s="1851"/>
      <c r="H10" s="1291" t="s">
        <v>1036</v>
      </c>
      <c r="I10" s="1823" t="s">
        <v>1404</v>
      </c>
      <c r="J10" s="346">
        <f ca="1">ROUND(IF(M10="押一",J6/12*M11,IF(M10="押二",J6/12*2*M11,IF(M10="押三",J6/12*3*M11,J11*M11))),0)</f>
        <v>0</v>
      </c>
      <c r="K10" s="1824" t="s">
        <v>3036</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501</v>
      </c>
      <c r="D13" s="1331" t="s">
        <v>1410</v>
      </c>
      <c r="E13" s="1331" t="s">
        <v>1411</v>
      </c>
      <c r="F13" s="1332">
        <f ca="1">INDIRECT("'数据-取费表'!y"&amp;$G$1)</f>
        <v>0.95</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431</v>
      </c>
      <c r="D14" s="1800" t="s">
        <v>1413</v>
      </c>
      <c r="E14" s="1794"/>
      <c r="F14" s="364"/>
      <c r="G14" s="1851"/>
      <c r="H14" s="1201" t="s">
        <v>1032</v>
      </c>
      <c r="I14" s="347" t="s">
        <v>1414</v>
      </c>
      <c r="J14" s="24">
        <f ca="1">C29</f>
        <v>527</v>
      </c>
      <c r="K14" s="15"/>
      <c r="L14" s="979"/>
      <c r="M14" s="980"/>
    </row>
    <row r="15" spans="1:37" s="1858" customFormat="1" ht="18" customHeight="1" thickBot="1">
      <c r="A15" s="1201" t="s">
        <v>1033</v>
      </c>
      <c r="B15" s="347" t="s">
        <v>1415</v>
      </c>
      <c r="C15" s="24">
        <f ca="1">ROUND(C14*F15,0)</f>
        <v>13</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15</v>
      </c>
      <c r="K16" s="1337" t="s">
        <v>1420</v>
      </c>
      <c r="L16" s="1338"/>
      <c r="M16" s="1294"/>
    </row>
    <row r="17" spans="1:37" s="1858" customFormat="1" ht="18" customHeight="1">
      <c r="A17" s="1201" t="s">
        <v>1385</v>
      </c>
      <c r="B17" s="347" t="s">
        <v>1421</v>
      </c>
      <c r="C17" s="24">
        <f ca="1">ROUND(F17*(F43+INDIRECT("'数据-取费表'!S"&amp;$G$1))/10000,0)</f>
        <v>0</v>
      </c>
      <c r="D17" s="347" t="s">
        <v>1422</v>
      </c>
      <c r="E17" s="347" t="s">
        <v>1423</v>
      </c>
      <c r="F17" s="26">
        <f>'数据-取费表'!B35</f>
        <v>0</v>
      </c>
      <c r="G17" s="1854"/>
      <c r="H17" s="1201" t="s">
        <v>1032</v>
      </c>
      <c r="I17" s="347" t="s">
        <v>1424</v>
      </c>
      <c r="J17" s="24">
        <f ca="1">ROUND(IF(项目基本情况!B11="自然人",J6*M17/(1+'数据-取费表'!C42),J18+J19+J20),1)</f>
        <v>4.4000000000000004</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6</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450</v>
      </c>
      <c r="D19" s="140" t="s">
        <v>1431</v>
      </c>
      <c r="E19" s="1818"/>
      <c r="F19" s="26"/>
      <c r="G19" s="1851"/>
      <c r="H19" s="1201" t="s">
        <v>1033</v>
      </c>
      <c r="I19" s="347" t="s">
        <v>1432</v>
      </c>
      <c r="J19" s="24">
        <f ca="1">IF(K19="按租金收入计税",ROUND(J6*M19/(1+'数据-取费表'!C42),2),ROUND(C29*M19*0.7,2))</f>
        <v>4.43</v>
      </c>
      <c r="K19" s="1828" t="s">
        <v>1433</v>
      </c>
      <c r="L19" s="347" t="s">
        <v>1417</v>
      </c>
      <c r="M19" s="367">
        <f>IF(K19="按租金收入计税",'数据-取费表'!B51,'数据-取费表'!B50)</f>
        <v>1.2E-2</v>
      </c>
    </row>
    <row r="20" spans="1:37" s="1858" customFormat="1" ht="18" customHeight="1">
      <c r="A20" s="1201" t="s">
        <v>1036</v>
      </c>
      <c r="B20" s="347" t="s">
        <v>1434</v>
      </c>
      <c r="C20" s="24">
        <f ca="1">ROUND(C19*F20,0)</f>
        <v>5</v>
      </c>
      <c r="D20" s="369" t="s">
        <v>1435</v>
      </c>
      <c r="E20" s="347" t="s">
        <v>1417</v>
      </c>
      <c r="F20" s="367">
        <f>'数据-取费表'!B37</f>
        <v>0.01</v>
      </c>
      <c r="G20" s="1854"/>
      <c r="H20" s="1201" t="s">
        <v>1384</v>
      </c>
      <c r="I20" s="164" t="s">
        <v>1436</v>
      </c>
      <c r="J20" s="25">
        <f ca="1">ROUND(M20*M21/10000,2)</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0.01</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10.5</v>
      </c>
      <c r="K22" s="1798" t="s">
        <v>1445</v>
      </c>
      <c r="L22" s="347" t="s">
        <v>1417</v>
      </c>
      <c r="M22" s="374">
        <f ca="1">INDIRECT("'数据-取费表'!Ak"&amp;$G$1)</f>
        <v>0.02</v>
      </c>
    </row>
    <row r="23" spans="1:37" s="1858" customFormat="1" ht="18" customHeight="1">
      <c r="A23" s="1201" t="s">
        <v>1031</v>
      </c>
      <c r="B23" s="347" t="s">
        <v>1446</v>
      </c>
      <c r="C23" s="24">
        <f ca="1">IF('数据-取费表'!B22&lt;=1,ROUND(C19*F24*F23/2,0)+ROUND(C20*F24*F23/2,0),ROUND(C19*(POWER((1+F24),F23/2)-1),0)+ROUND(C20*(POWER((1+F24),F23/2)-1),0))</f>
        <v>16</v>
      </c>
      <c r="D23" s="375" t="str">
        <f>IF(F23&lt;=1,"(建造成本+管理费用)×利率×(建设周期÷2)","(建造成本+管理费用)×((1+利率)^(建设周期÷2)-1)")</f>
        <v>(建造成本+管理费用)×((1+利率)^(建设周期÷2)-1)</v>
      </c>
      <c r="E23" s="347" t="s">
        <v>1447</v>
      </c>
      <c r="F23" s="371">
        <f>'数据-取费表'!B20</f>
        <v>1.5</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-15</v>
      </c>
      <c r="K25" s="1345" t="s">
        <v>1459</v>
      </c>
      <c r="L25" s="1346"/>
      <c r="M25" s="1347"/>
    </row>
    <row r="26" spans="1:37">
      <c r="A26" s="1201" t="s">
        <v>1031</v>
      </c>
      <c r="B26" s="347" t="s">
        <v>1460</v>
      </c>
      <c r="C26" s="24">
        <f ca="1">ROUND((C19+C20)*F26,0)</f>
        <v>23</v>
      </c>
      <c r="D26" s="369" t="s">
        <v>1461</v>
      </c>
      <c r="E26" s="358" t="s">
        <v>1462</v>
      </c>
      <c r="F26" s="357">
        <f ca="1">INDIRECT("'数据-取费表'!q"&amp;$G$1)</f>
        <v>0.05</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5.0000000000000001E-4</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527</v>
      </c>
      <c r="D29" s="1342"/>
      <c r="E29" s="1340"/>
      <c r="F29" s="1343"/>
      <c r="G29" s="1854"/>
      <c r="H29" s="380" t="s">
        <v>1030</v>
      </c>
      <c r="I29" s="381" t="s">
        <v>1474</v>
      </c>
      <c r="J29" s="382">
        <f ca="1">ROUND(J26/(1+F40)^F41,0)</f>
        <v>0</v>
      </c>
      <c r="K29" s="383" t="s">
        <v>1475</v>
      </c>
      <c r="L29" s="384"/>
      <c r="M29" s="385">
        <f ca="1">INDIRECT("'数据-取费表'!k"&amp;$G$1)</f>
        <v>1723.11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28</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15.2</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4.7699999999999996</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10.4</v>
      </c>
      <c r="D33" s="1828" t="s">
        <v>3076</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10.5</v>
      </c>
      <c r="D36" s="1798" t="s">
        <v>1477</v>
      </c>
      <c r="E36" s="347" t="s">
        <v>1417</v>
      </c>
      <c r="F36" s="374">
        <f ca="1">INDIRECT("'数据-取费表'!Ak"&amp;$G$1)</f>
        <v>0.02</v>
      </c>
      <c r="G36" s="1851"/>
      <c r="H36" s="1859"/>
      <c r="I36" s="1860"/>
      <c r="J36" s="1861"/>
      <c r="K36" s="751"/>
      <c r="L36" s="1859"/>
      <c r="M36" s="1859"/>
    </row>
    <row r="37" spans="1:18" ht="18" customHeight="1">
      <c r="A37" s="1201" t="s">
        <v>1072</v>
      </c>
      <c r="B37" s="347" t="s">
        <v>1448</v>
      </c>
      <c r="C37" s="24">
        <f ca="1">ROUND(C13*F37,1)</f>
        <v>0.8</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1.4</v>
      </c>
      <c r="D38" s="1342" t="s">
        <v>1454</v>
      </c>
      <c r="E38" s="1340" t="s">
        <v>1450</v>
      </c>
      <c r="F38" s="1336">
        <f ca="1">INDIRECT("'数据-取费表'!Am"&amp;$G$1)</f>
        <v>1.4999999999999999E-2</v>
      </c>
      <c r="G38" s="1851"/>
      <c r="H38" s="1859"/>
      <c r="I38" s="1860"/>
      <c r="J38" s="1861"/>
      <c r="K38" s="1865"/>
      <c r="L38" s="1859"/>
      <c r="M38" s="1859"/>
    </row>
    <row r="39" spans="1:18" ht="24.6" customHeight="1" thickTop="1">
      <c r="A39" s="1329" t="s">
        <v>1028</v>
      </c>
      <c r="B39" s="1344" t="s">
        <v>1478</v>
      </c>
      <c r="C39" s="355">
        <f ca="1">C5-C30</f>
        <v>63</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1372</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32.619999999999997</v>
      </c>
      <c r="G41" s="1851"/>
      <c r="H41" s="732"/>
      <c r="I41" s="1860"/>
      <c r="J41" s="1861"/>
      <c r="K41" s="751"/>
      <c r="L41" s="732"/>
      <c r="M41" s="732"/>
    </row>
    <row r="42" spans="1:18" ht="18" customHeight="1">
      <c r="A42" s="353"/>
      <c r="B42" s="354"/>
      <c r="C42" s="355"/>
      <c r="D42" s="373"/>
      <c r="E42" s="347" t="s">
        <v>1472</v>
      </c>
      <c r="F42" s="357">
        <f ca="1">INDIRECT("'数据-取费表'!v"&amp;$G$1)</f>
        <v>2.5000000000000001E-2</v>
      </c>
      <c r="G42" s="1851"/>
      <c r="H42" s="732"/>
      <c r="I42" s="1860"/>
      <c r="J42" s="1861"/>
      <c r="K42" s="751"/>
      <c r="L42" s="732"/>
      <c r="M42" s="732"/>
    </row>
    <row r="43" spans="1:18" ht="18" customHeight="1" thickBot="1">
      <c r="A43" s="380" t="s">
        <v>1030</v>
      </c>
      <c r="B43" s="381" t="s">
        <v>1482</v>
      </c>
      <c r="C43" s="382">
        <f ca="1">ROUND(C40*10000/F43,0)</f>
        <v>7962</v>
      </c>
      <c r="D43" s="383" t="s">
        <v>1483</v>
      </c>
      <c r="E43" s="384" t="s">
        <v>1484</v>
      </c>
      <c r="F43" s="385">
        <f ca="1">INDIRECT("'数据-取费表'!k"&amp;$G$1)</f>
        <v>1723.11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-2264</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3077</v>
      </c>
      <c r="K47" s="1882" t="s">
        <v>1522</v>
      </c>
      <c r="L47" s="1883">
        <f ca="1">INDIRECT("'数据-取费表'!d"&amp;$G$1)</f>
        <v>50</v>
      </c>
      <c r="M47" s="1838" t="str">
        <f>IF(ISNUMBER(FIND("住宅",C1)),"住宅","非住宅")</f>
        <v>非住宅</v>
      </c>
      <c r="O47" s="1884" t="s">
        <v>1037</v>
      </c>
      <c r="P47" s="1885" t="s">
        <v>1523</v>
      </c>
      <c r="Q47" s="1886">
        <f ca="1">C40+J29</f>
        <v>1372</v>
      </c>
      <c r="R47" s="1886" t="s">
        <v>1524</v>
      </c>
    </row>
    <row r="48" spans="1:18" s="1842" customFormat="1" ht="28.5" thickBot="1">
      <c r="A48" s="1360" t="s">
        <v>1132</v>
      </c>
      <c r="B48" s="345" t="s">
        <v>1396</v>
      </c>
      <c r="C48" s="1817">
        <f ca="1">C49+C53+C55</f>
        <v>0</v>
      </c>
      <c r="D48" s="1362"/>
      <c r="E48" s="1363"/>
      <c r="F48" s="1181"/>
      <c r="G48" s="792"/>
      <c r="H48" s="793"/>
      <c r="I48" s="1887" t="s">
        <v>1525</v>
      </c>
      <c r="J48" s="1888" t="s">
        <v>3078</v>
      </c>
      <c r="K48" s="1889" t="s">
        <v>1526</v>
      </c>
      <c r="L48" s="1890">
        <f ca="1">INDIRECT("'数据-取费表'!f"&amp;$G$1)</f>
        <v>32.619999999999997</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3029</v>
      </c>
      <c r="E49" s="1830" t="s">
        <v>1486</v>
      </c>
      <c r="F49" s="1281"/>
      <c r="G49" s="1891"/>
      <c r="H49" s="793"/>
      <c r="I49" s="1887" t="s">
        <v>1529</v>
      </c>
      <c r="J49" s="1892">
        <v>2016</v>
      </c>
      <c r="K49" s="1889" t="s">
        <v>1530</v>
      </c>
      <c r="L49" s="1893"/>
      <c r="O49" s="1894" t="s">
        <v>1039</v>
      </c>
      <c r="P49" s="1885" t="s">
        <v>1531</v>
      </c>
      <c r="Q49" s="1886">
        <f ca="1">C29</f>
        <v>527</v>
      </c>
      <c r="R49" s="1886" t="s">
        <v>1524</v>
      </c>
    </row>
    <row r="50" spans="1:18" s="1842" customFormat="1" ht="13.5" thickBot="1">
      <c r="A50" s="1195"/>
      <c r="B50" s="1198"/>
      <c r="C50" s="1368"/>
      <c r="D50" s="1172"/>
      <c r="E50" s="1277" t="s">
        <v>1401</v>
      </c>
      <c r="F50" s="1278">
        <f ca="1">F7</f>
        <v>1723.11</v>
      </c>
      <c r="H50" s="793"/>
      <c r="I50" s="1887" t="s">
        <v>1532</v>
      </c>
      <c r="J50" s="1895">
        <f>SUMPRODUCT((I63:I65=J47)*(J62:L62=J48)*(J63:L65))</f>
        <v>50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47</v>
      </c>
      <c r="K51" s="1900" t="s">
        <v>1536</v>
      </c>
      <c r="L51" s="1901">
        <f ca="1">ROUND(-PV(INDIRECT("'数据-取费表'!h"&amp;$G$1),L48,(C39-C13*C76),0),0)</f>
        <v>346</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32.619999999999997</v>
      </c>
      <c r="R52" s="1886" t="s">
        <v>1541</v>
      </c>
    </row>
    <row r="53" spans="1:18" s="1842" customFormat="1" ht="24.75" thickBot="1">
      <c r="A53" s="1405" t="s">
        <v>1134</v>
      </c>
      <c r="B53" s="1831" t="s">
        <v>1404</v>
      </c>
      <c r="C53" s="361">
        <f ca="1">ROUND(IF(F53="押一",C49/12*F11,IF(F53="押二",C49/12*2*F11,IF(F53="押三",C49/12*3*F11,C54*F11))),0)</f>
        <v>0</v>
      </c>
      <c r="D53" s="1824" t="s">
        <v>3036</v>
      </c>
      <c r="E53" s="358" t="s">
        <v>1405</v>
      </c>
      <c r="F53" s="1366"/>
      <c r="I53" s="1905" t="s">
        <v>1542</v>
      </c>
      <c r="J53" s="2953">
        <f ca="1">IF(M47="住宅",IF(D1="——",MAX(J51,L48),MAX(J51,L48-'数据-取费表'!B24)),IF(D1="——",MIN(J51,L48),MIN(J51,L48-'数据-取费表'!B24)))</f>
        <v>32.619999999999997</v>
      </c>
      <c r="K53" s="3146" t="s">
        <v>1543</v>
      </c>
      <c r="L53" s="3147"/>
      <c r="O53" s="1884" t="s">
        <v>1043</v>
      </c>
      <c r="P53" s="1885" t="s">
        <v>1544</v>
      </c>
      <c r="Q53" s="1886">
        <f ca="1">Q47+Q48</f>
        <v>1372</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501</v>
      </c>
      <c r="D56" s="1913"/>
      <c r="E56" s="1914"/>
      <c r="F56" s="1906"/>
      <c r="I56" s="1915" t="s">
        <v>1549</v>
      </c>
      <c r="J56" s="1916" t="s">
        <v>3071</v>
      </c>
      <c r="K56" s="1887" t="s">
        <v>1550</v>
      </c>
      <c r="L56" s="1890" t="str">
        <f ca="1">IF(L48&lt;J51,"——",L48-J53)</f>
        <v>——</v>
      </c>
      <c r="O56" s="1884" t="s">
        <v>1037</v>
      </c>
      <c r="P56" s="1885" t="s">
        <v>1523</v>
      </c>
      <c r="Q56" s="1886">
        <f ca="1">C40+J29</f>
        <v>1372</v>
      </c>
      <c r="R56" s="1886" t="s">
        <v>1524</v>
      </c>
    </row>
    <row r="57" spans="1:18" s="1842" customFormat="1" ht="24.75" thickBot="1">
      <c r="A57" s="1917"/>
      <c r="B57" s="1169" t="s">
        <v>1473</v>
      </c>
      <c r="C57" s="282">
        <f ca="1">C29</f>
        <v>527</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56</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44.3</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44.27</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1372</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10.5</v>
      </c>
      <c r="D64" s="1183" t="s">
        <v>1497</v>
      </c>
      <c r="E64" s="1169" t="s">
        <v>1489</v>
      </c>
      <c r="F64" s="374">
        <f t="shared" ca="1" si="0"/>
        <v>0.02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0.8</v>
      </c>
      <c r="D65" s="1183" t="s">
        <v>1449</v>
      </c>
      <c r="E65" s="1169" t="s">
        <v>1450</v>
      </c>
      <c r="F65" s="376">
        <f t="shared" ca="1" si="0"/>
        <v>1.5E-3</v>
      </c>
      <c r="I65" s="1928" t="s">
        <v>1574</v>
      </c>
      <c r="J65" s="1929">
        <v>40</v>
      </c>
      <c r="K65" s="1929">
        <v>30</v>
      </c>
      <c r="L65" s="1929">
        <v>50</v>
      </c>
      <c r="M65" s="1931">
        <v>0.02</v>
      </c>
      <c r="O65" s="1884" t="s">
        <v>1037</v>
      </c>
      <c r="P65" s="1885" t="s">
        <v>1575</v>
      </c>
      <c r="Q65" s="1886">
        <f ca="1">C40+J29</f>
        <v>1372</v>
      </c>
      <c r="R65" s="1886" t="s">
        <v>1524</v>
      </c>
    </row>
    <row r="66" spans="1:18" s="1842" customFormat="1" ht="16.5" thickBot="1">
      <c r="A66" s="1201" t="s">
        <v>1499</v>
      </c>
      <c r="B66" s="1169" t="s">
        <v>1434</v>
      </c>
      <c r="C66" s="24">
        <f ca="1">ROUND(C48*F66,1)</f>
        <v>0</v>
      </c>
      <c r="D66" s="1183" t="s">
        <v>1500</v>
      </c>
      <c r="E66" s="1169" t="s">
        <v>1417</v>
      </c>
      <c r="F66" s="357">
        <f t="shared" ca="1" si="0"/>
        <v>1.4999999999999999E-2</v>
      </c>
      <c r="O66" s="1884" t="s">
        <v>1038</v>
      </c>
      <c r="P66" s="1885" t="s">
        <v>1553</v>
      </c>
      <c r="Q66" s="1886">
        <f ca="1">L60</f>
        <v>0</v>
      </c>
      <c r="R66" s="1886" t="s">
        <v>1576</v>
      </c>
    </row>
    <row r="67" spans="1:18" s="1842" customFormat="1" ht="16.5" thickBot="1">
      <c r="A67" s="1176" t="s">
        <v>1028</v>
      </c>
      <c r="B67" s="1186" t="s">
        <v>1458</v>
      </c>
      <c r="C67" s="361">
        <f ca="1">C48-C58</f>
        <v>-56</v>
      </c>
      <c r="D67" s="1182" t="s">
        <v>1459</v>
      </c>
      <c r="E67" s="1187"/>
      <c r="F67" s="1188"/>
      <c r="O67" s="1894" t="s">
        <v>1039</v>
      </c>
      <c r="P67" s="1885" t="s">
        <v>1557</v>
      </c>
      <c r="Q67" s="1932">
        <f ca="1">L51</f>
        <v>346</v>
      </c>
      <c r="R67" s="1886" t="s">
        <v>1577</v>
      </c>
    </row>
    <row r="68" spans="1:18" s="1842" customFormat="1" ht="16.5" thickBot="1">
      <c r="A68" s="1166" t="s">
        <v>1029</v>
      </c>
      <c r="B68" s="1167" t="s">
        <v>1480</v>
      </c>
      <c r="C68" s="346">
        <f ca="1">ROUND(C67*(1-((1+F70)/(1+F68))^F69)/(F68-F70),0)</f>
        <v>-892</v>
      </c>
      <c r="D68" s="1184" t="s">
        <v>1464</v>
      </c>
      <c r="E68" s="1169" t="s">
        <v>1465</v>
      </c>
      <c r="F68" s="357">
        <f ca="1">F40</f>
        <v>0.05</v>
      </c>
      <c r="O68" s="1894" t="s">
        <v>1040</v>
      </c>
      <c r="P68" s="1933" t="s">
        <v>1578</v>
      </c>
      <c r="Q68" s="1886">
        <f ca="1">ROUND(Q69-Q70*Q71,0)</f>
        <v>20</v>
      </c>
      <c r="R68" s="1886" t="s">
        <v>1048</v>
      </c>
    </row>
    <row r="69" spans="1:18" s="1842" customFormat="1" ht="13.5" thickBot="1">
      <c r="A69" s="1170"/>
      <c r="B69" s="1171"/>
      <c r="C69" s="351"/>
      <c r="D69" s="1189" t="s">
        <v>1468</v>
      </c>
      <c r="E69" s="1169" t="s">
        <v>1469</v>
      </c>
      <c r="F69" s="379">
        <f ca="1">F41</f>
        <v>32.619999999999997</v>
      </c>
      <c r="O69" s="1894" t="s">
        <v>1045</v>
      </c>
      <c r="P69" s="1933" t="s">
        <v>1579</v>
      </c>
      <c r="Q69" s="1886">
        <f ca="1">C39</f>
        <v>63</v>
      </c>
      <c r="R69" s="1886" t="s">
        <v>1524</v>
      </c>
    </row>
    <row r="70" spans="1:18" s="1842" customFormat="1" ht="13.5" thickBot="1">
      <c r="A70" s="1173"/>
      <c r="B70" s="1174"/>
      <c r="C70" s="355"/>
      <c r="D70" s="1185"/>
      <c r="E70" s="1169" t="s">
        <v>1472</v>
      </c>
      <c r="F70" s="1275"/>
      <c r="O70" s="1894" t="s">
        <v>1046</v>
      </c>
      <c r="P70" s="1933" t="s">
        <v>1580</v>
      </c>
      <c r="Q70" s="1886">
        <f ca="1">C13</f>
        <v>501</v>
      </c>
      <c r="R70" s="1886" t="s">
        <v>1524</v>
      </c>
    </row>
    <row r="71" spans="1:18" s="1842" customFormat="1" ht="13.5" thickBot="1">
      <c r="A71" s="1190" t="s">
        <v>1030</v>
      </c>
      <c r="B71" s="1191" t="s">
        <v>1482</v>
      </c>
      <c r="C71" s="382">
        <f ca="1">ROUND(C68*10000/F71,0)</f>
        <v>-5177</v>
      </c>
      <c r="D71" s="1192" t="s">
        <v>1483</v>
      </c>
      <c r="E71" s="1193" t="s">
        <v>1484</v>
      </c>
      <c r="F71" s="385">
        <f ca="1">F43</f>
        <v>1723.11</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43</v>
      </c>
      <c r="D75" s="1842"/>
      <c r="E75" s="1842"/>
      <c r="F75" s="1842"/>
      <c r="K75" s="1868"/>
      <c r="L75" s="1842"/>
      <c r="O75" s="1884" t="s">
        <v>1043</v>
      </c>
      <c r="P75" s="1885" t="s">
        <v>1544</v>
      </c>
      <c r="Q75" s="1886">
        <f ca="1">Q65+Q66</f>
        <v>1372</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0.31699999999999995</v>
      </c>
    </row>
    <row r="80" spans="1:18">
      <c r="B80" s="386" t="s">
        <v>1506</v>
      </c>
      <c r="C80" s="318">
        <f ca="1">ROUND(C75/C39,3)</f>
        <v>0.68300000000000005</v>
      </c>
    </row>
    <row r="81" spans="2:3">
      <c r="B81" s="314" t="s">
        <v>1507</v>
      </c>
      <c r="C81" s="282"/>
    </row>
    <row r="82" spans="2:3">
      <c r="B82" s="317" t="s">
        <v>1508</v>
      </c>
      <c r="C82" s="319">
        <f ca="1">1-C83</f>
        <v>0.63500000000000001</v>
      </c>
    </row>
    <row r="83" spans="2:3">
      <c r="B83" s="317" t="s">
        <v>1509</v>
      </c>
      <c r="C83" s="318">
        <f ca="1">ROUND(C13/C40,3)</f>
        <v>0.36499999999999999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D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48" t="s">
        <v>1398</v>
      </c>
      <c r="C6" s="1296">
        <f ca="1">ROUND(F6*F8*F7*(1-F9),0)</f>
        <v>0</v>
      </c>
      <c r="D6" s="164" t="s">
        <v>3025</v>
      </c>
      <c r="E6" s="347" t="s">
        <v>1400</v>
      </c>
      <c r="F6" s="348">
        <f ca="1">INDIRECT("'数据-取费表'!u"&amp;$G$1)</f>
        <v>0</v>
      </c>
      <c r="G6" s="1851"/>
      <c r="H6" s="1291" t="s">
        <v>1032</v>
      </c>
      <c r="I6" s="3148" t="s">
        <v>1398</v>
      </c>
      <c r="J6" s="346">
        <f ca="1">ROUND(M6*M8*M7*(1-M9),0)</f>
        <v>0</v>
      </c>
      <c r="K6" s="1834" t="s">
        <v>3026</v>
      </c>
      <c r="L6" s="347" t="s">
        <v>1400</v>
      </c>
      <c r="M6" s="348">
        <f ca="1">INDIRECT("'数据-取费表'!z"&amp;$G$1)</f>
        <v>0</v>
      </c>
    </row>
    <row r="7" spans="1:37" ht="18" customHeight="1">
      <c r="A7" s="1295"/>
      <c r="B7" s="3149"/>
      <c r="C7" s="1297"/>
      <c r="D7" s="352"/>
      <c r="E7" s="1298" t="s">
        <v>1401</v>
      </c>
      <c r="F7" s="348">
        <f ca="1">IF(INDIRECT("'数据-取费表'!ah"&amp;$G$1)="",INDIRECT("'数据-取费表'!k"&amp;$G$1),INDIRECT("'数据-取费表'!ah"&amp;$G$1))</f>
        <v>0</v>
      </c>
      <c r="G7" s="1851"/>
      <c r="H7" s="349"/>
      <c r="I7" s="3149"/>
      <c r="J7" s="351"/>
      <c r="K7" s="352"/>
      <c r="L7" s="347" t="s">
        <v>1401</v>
      </c>
      <c r="M7" s="348">
        <f ca="1">F7</f>
        <v>0</v>
      </c>
    </row>
    <row r="8" spans="1:37" ht="18" customHeight="1">
      <c r="A8" s="349"/>
      <c r="B8" s="3149"/>
      <c r="C8" s="351"/>
      <c r="D8" s="352"/>
      <c r="E8" s="347" t="s">
        <v>1402</v>
      </c>
      <c r="F8" s="348">
        <f ca="1">INDIRECT("'数据-取费表'!ai"&amp;$G$1)</f>
        <v>0</v>
      </c>
      <c r="G8" s="1851"/>
      <c r="H8" s="349"/>
      <c r="I8" s="3149"/>
      <c r="J8" s="351"/>
      <c r="K8" s="352"/>
      <c r="L8" s="347" t="s">
        <v>1402</v>
      </c>
      <c r="M8" s="348">
        <f ca="1">INDIRECT("'数据-取费表'!ai"&amp;$G$1)</f>
        <v>0</v>
      </c>
    </row>
    <row r="9" spans="1:37" ht="18" customHeight="1">
      <c r="A9" s="349"/>
      <c r="B9" s="3150"/>
      <c r="C9" s="351"/>
      <c r="D9" s="352"/>
      <c r="E9" s="347" t="s">
        <v>1403</v>
      </c>
      <c r="F9" s="357">
        <f ca="1">INDIRECT("'数据-取费表'!w"&amp;$G$1)</f>
        <v>0</v>
      </c>
      <c r="G9" s="1851"/>
      <c r="H9" s="349"/>
      <c r="I9" s="3150"/>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3036</v>
      </c>
      <c r="E10" s="358" t="s">
        <v>1405</v>
      </c>
      <c r="F10" s="1366"/>
      <c r="G10" s="1851"/>
      <c r="H10" s="1291" t="s">
        <v>1036</v>
      </c>
      <c r="I10" s="1823" t="s">
        <v>1404</v>
      </c>
      <c r="J10" s="346">
        <f ca="1">ROUND(IF(M10="押一",J6/12*M11,IF(M10="押二",J6/12*2*M11,IF(M10="押三",J6/12*3*M11,J11*M11))),0)</f>
        <v>0</v>
      </c>
      <c r="K10" s="1835" t="s">
        <v>3038</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0.01</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0.01</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3039</v>
      </c>
      <c r="E53" s="358" t="s">
        <v>1405</v>
      </c>
      <c r="F53" s="1366"/>
      <c r="I53" s="1905" t="s">
        <v>1542</v>
      </c>
      <c r="J53" s="2953">
        <f ca="1">IF(M47="住宅",IF(D1="——",MAX(J51,L48),MAX(J51,L48-'数据-取费表'!B24)),IF(D1="——",MIN(J51,L48),MIN(J51,L48-'数据-取费表'!B24)))</f>
        <v>0</v>
      </c>
      <c r="K53" s="3146" t="s">
        <v>1543</v>
      </c>
      <c r="L53" s="3147"/>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D6"/>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2522</v>
      </c>
      <c r="B1" s="2565"/>
      <c r="C1" s="2565"/>
      <c r="D1" s="2565"/>
      <c r="E1" s="2566"/>
    </row>
    <row r="2" spans="1:6" ht="15.75">
      <c r="A2" s="2567" t="s">
        <v>2323</v>
      </c>
      <c r="B2" s="2568">
        <f ca="1">SUMIF(B6:B13,"&lt;&gt;#ref!",B6:B13)</f>
        <v>1372</v>
      </c>
      <c r="C2" s="2569" t="s">
        <v>2515</v>
      </c>
      <c r="D2" s="2570" t="s">
        <v>2516</v>
      </c>
      <c r="E2" s="2571">
        <f>SUM(E6:E13)</f>
        <v>1723.11</v>
      </c>
    </row>
    <row r="3" spans="1:6" ht="15.75">
      <c r="A3" s="2567" t="s">
        <v>1390</v>
      </c>
      <c r="B3" s="2568">
        <f ca="1">ROUND(B2*10000/E2,0)</f>
        <v>7962</v>
      </c>
      <c r="C3" s="2569" t="s">
        <v>2523</v>
      </c>
      <c r="D3" s="2572"/>
      <c r="E3" s="2573"/>
    </row>
    <row r="4" spans="1:6" ht="15.75">
      <c r="A4" s="2574"/>
      <c r="B4" s="2572"/>
      <c r="C4" s="2572"/>
      <c r="D4" s="2572"/>
      <c r="E4" s="2573"/>
    </row>
    <row r="5" spans="1:6" ht="15">
      <c r="A5" s="2575" t="s">
        <v>2517</v>
      </c>
      <c r="B5" s="3151" t="s">
        <v>2518</v>
      </c>
      <c r="C5" s="3151"/>
      <c r="D5" s="2576"/>
      <c r="E5" s="2577" t="s">
        <v>2519</v>
      </c>
      <c r="F5" s="2578" t="s">
        <v>2520</v>
      </c>
    </row>
    <row r="6" spans="1:6">
      <c r="A6" s="2579" t="str">
        <f>'数据-取费表'!AN6</f>
        <v>收益法</v>
      </c>
      <c r="B6" s="2578">
        <f ca="1">IF(F6="是",'数据-取费表'!AO6,0)</f>
        <v>1372</v>
      </c>
      <c r="C6" s="2569" t="s">
        <v>2515</v>
      </c>
      <c r="D6" s="2572"/>
      <c r="E6" s="2580">
        <f>IF(OR(A6=0,F6="否"),0,'数据-取费表'!K6+'数据-取费表'!S6)</f>
        <v>1723.11</v>
      </c>
      <c r="F6" s="2581" t="s">
        <v>2521</v>
      </c>
    </row>
    <row r="7" spans="1:6">
      <c r="A7" s="2579">
        <f>'数据-取费表'!AN7</f>
        <v>0</v>
      </c>
      <c r="B7" s="2578" t="e">
        <f ca="1">IF(F7="是",'数据-取费表'!AO7,0)</f>
        <v>#REF!</v>
      </c>
      <c r="C7" s="2569" t="s">
        <v>2515</v>
      </c>
      <c r="D7" s="2572"/>
      <c r="E7" s="2580">
        <f>IF(OR(A7=0,F7="否"),0,'数据-取费表'!K7+'数据-取费表'!S7)</f>
        <v>0</v>
      </c>
      <c r="F7" s="2581" t="s">
        <v>2521</v>
      </c>
    </row>
    <row r="8" spans="1:6">
      <c r="A8" s="2579">
        <f>'数据-取费表'!AN8</f>
        <v>0</v>
      </c>
      <c r="B8" s="2578" t="e">
        <f ca="1">IF(F8="是",'数据-取费表'!AO8,0)</f>
        <v>#REF!</v>
      </c>
      <c r="C8" s="2569" t="s">
        <v>2515</v>
      </c>
      <c r="D8" s="2572"/>
      <c r="E8" s="2580">
        <f>IF(OR(A8=0,F8="否"),0,'数据-取费表'!K8+'数据-取费表'!S8)</f>
        <v>0</v>
      </c>
      <c r="F8" s="2581" t="s">
        <v>2521</v>
      </c>
    </row>
    <row r="9" spans="1:6">
      <c r="A9" s="2579">
        <f>'数据-取费表'!AN9</f>
        <v>0</v>
      </c>
      <c r="B9" s="2578" t="e">
        <f ca="1">IF(F9="是",'数据-取费表'!AO9,0)</f>
        <v>#REF!</v>
      </c>
      <c r="C9" s="2569" t="s">
        <v>2515</v>
      </c>
      <c r="D9" s="2572"/>
      <c r="E9" s="2580">
        <f>IF(OR(A9=0,F9="否"),0,'数据-取费表'!K9+'数据-取费表'!S9)</f>
        <v>0</v>
      </c>
      <c r="F9" s="2581" t="s">
        <v>2521</v>
      </c>
    </row>
    <row r="10" spans="1:6">
      <c r="A10" s="2579">
        <f>'数据-取费表'!AN10</f>
        <v>0</v>
      </c>
      <c r="B10" s="2578" t="e">
        <f ca="1">IF(F10="是",'数据-取费表'!AO10,0)</f>
        <v>#REF!</v>
      </c>
      <c r="C10" s="2569" t="s">
        <v>2515</v>
      </c>
      <c r="D10" s="2572"/>
      <c r="E10" s="2580">
        <f>IF(OR(A10=0,F10="否"),0,'数据-取费表'!K10+'数据-取费表'!S10)</f>
        <v>0</v>
      </c>
      <c r="F10" s="2581" t="s">
        <v>2521</v>
      </c>
    </row>
    <row r="11" spans="1:6">
      <c r="A11" s="2579">
        <f>'数据-取费表'!AN11</f>
        <v>0</v>
      </c>
      <c r="B11" s="2578" t="e">
        <f ca="1">IF(F11="是",'数据-取费表'!AO11,0)</f>
        <v>#REF!</v>
      </c>
      <c r="C11" s="2569" t="s">
        <v>2515</v>
      </c>
      <c r="D11" s="2572"/>
      <c r="E11" s="2580">
        <f>IF(OR(A11=0,F11="否"),0,'数据-取费表'!K11+'数据-取费表'!S11)</f>
        <v>0</v>
      </c>
      <c r="F11" s="2581" t="s">
        <v>2521</v>
      </c>
    </row>
    <row r="12" spans="1:6">
      <c r="A12" s="2579">
        <f>'数据-取费表'!AN12</f>
        <v>0</v>
      </c>
      <c r="B12" s="2578" t="e">
        <f ca="1">IF(F12="是",'数据-取费表'!AO12,0)</f>
        <v>#REF!</v>
      </c>
      <c r="C12" s="2569" t="s">
        <v>2515</v>
      </c>
      <c r="D12" s="2572"/>
      <c r="E12" s="2580">
        <f>IF(OR(A12=0,F12="否"),0,'数据-取费表'!K12+'数据-取费表'!S12)</f>
        <v>0</v>
      </c>
      <c r="F12" s="2581" t="s">
        <v>2521</v>
      </c>
    </row>
    <row r="13" spans="1:6" ht="15" thickBot="1">
      <c r="A13" s="2582">
        <f>'数据-取费表'!AN13</f>
        <v>0</v>
      </c>
      <c r="B13" s="2578" t="e">
        <f ca="1">IF(F13="是",'数据-取费表'!AO13,0)</f>
        <v>#REF!</v>
      </c>
      <c r="C13" s="2583" t="s">
        <v>2515</v>
      </c>
      <c r="D13" s="2584"/>
      <c r="E13" s="2580">
        <f>IF(OR(A13=0,F13="否"),0,'数据-取费表'!K13+'数据-取费表'!S13)</f>
        <v>0</v>
      </c>
      <c r="F13" s="2581"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68" t="s">
        <v>1073</v>
      </c>
      <c r="B1" s="3169"/>
      <c r="C1" s="3170"/>
      <c r="D1" s="3171">
        <f>SUM(I10,I15,I20,I21,I23)</f>
        <v>0</v>
      </c>
      <c r="E1" s="3171"/>
      <c r="F1" s="3171"/>
      <c r="G1" s="3171"/>
      <c r="H1" s="3171"/>
      <c r="I1" s="3172"/>
    </row>
    <row r="2" spans="1:9">
      <c r="A2" s="3158" t="s">
        <v>1074</v>
      </c>
      <c r="B2" s="3159" t="s">
        <v>1075</v>
      </c>
      <c r="C2" s="3159"/>
      <c r="D2" s="1301" t="s">
        <v>1076</v>
      </c>
      <c r="E2" s="1301" t="s">
        <v>1077</v>
      </c>
      <c r="F2" s="1301" t="s">
        <v>1078</v>
      </c>
      <c r="G2" s="1301" t="s">
        <v>1079</v>
      </c>
      <c r="H2" s="1301" t="s">
        <v>1080</v>
      </c>
      <c r="I2" s="1302" t="s">
        <v>1081</v>
      </c>
    </row>
    <row r="3" spans="1:9">
      <c r="A3" s="3158"/>
      <c r="B3" s="3159" t="s">
        <v>1082</v>
      </c>
      <c r="C3" s="3159"/>
      <c r="D3" s="1303"/>
      <c r="E3" s="1301"/>
      <c r="F3" s="1304"/>
      <c r="G3" s="1304"/>
      <c r="H3" s="1305"/>
      <c r="I3" s="1306">
        <f>ROUND(D3*E3*F3*G3*H3/10000,0)</f>
        <v>0</v>
      </c>
    </row>
    <row r="4" spans="1:9">
      <c r="A4" s="3158"/>
      <c r="B4" s="3159" t="s">
        <v>1083</v>
      </c>
      <c r="C4" s="3159"/>
      <c r="D4" s="1303"/>
      <c r="E4" s="1301"/>
      <c r="F4" s="1304"/>
      <c r="G4" s="1304"/>
      <c r="H4" s="1305"/>
      <c r="I4" s="1306">
        <f t="shared" ref="I4:I9" si="0">ROUND(D4*E4*F4*G4*H4/10000,0)</f>
        <v>0</v>
      </c>
    </row>
    <row r="5" spans="1:9">
      <c r="A5" s="3158"/>
      <c r="B5" s="3159" t="s">
        <v>1084</v>
      </c>
      <c r="C5" s="3159"/>
      <c r="D5" s="1303"/>
      <c r="E5" s="1301"/>
      <c r="F5" s="1304"/>
      <c r="G5" s="1304"/>
      <c r="H5" s="1305"/>
      <c r="I5" s="1306">
        <f t="shared" si="0"/>
        <v>0</v>
      </c>
    </row>
    <row r="6" spans="1:9">
      <c r="A6" s="3158"/>
      <c r="B6" s="3159" t="s">
        <v>1085</v>
      </c>
      <c r="C6" s="3159"/>
      <c r="D6" s="1303"/>
      <c r="E6" s="1301"/>
      <c r="F6" s="1304"/>
      <c r="G6" s="1304"/>
      <c r="H6" s="1305"/>
      <c r="I6" s="1306">
        <f t="shared" si="0"/>
        <v>0</v>
      </c>
    </row>
    <row r="7" spans="1:9">
      <c r="A7" s="3158"/>
      <c r="B7" s="3159" t="s">
        <v>1086</v>
      </c>
      <c r="C7" s="3159"/>
      <c r="D7" s="1303"/>
      <c r="E7" s="1301"/>
      <c r="F7" s="1304"/>
      <c r="G7" s="1304"/>
      <c r="H7" s="1305"/>
      <c r="I7" s="1306">
        <f t="shared" si="0"/>
        <v>0</v>
      </c>
    </row>
    <row r="8" spans="1:9">
      <c r="A8" s="3158"/>
      <c r="B8" s="3159" t="s">
        <v>1087</v>
      </c>
      <c r="C8" s="3159"/>
      <c r="D8" s="1303"/>
      <c r="E8" s="1301"/>
      <c r="F8" s="1304"/>
      <c r="G8" s="1304"/>
      <c r="H8" s="1305"/>
      <c r="I8" s="1306">
        <f t="shared" si="0"/>
        <v>0</v>
      </c>
    </row>
    <row r="9" spans="1:9">
      <c r="A9" s="3158"/>
      <c r="B9" s="3159" t="s">
        <v>1088</v>
      </c>
      <c r="C9" s="3159"/>
      <c r="D9" s="1303"/>
      <c r="E9" s="1301"/>
      <c r="F9" s="1304"/>
      <c r="G9" s="1304"/>
      <c r="H9" s="1305"/>
      <c r="I9" s="1306">
        <f t="shared" si="0"/>
        <v>0</v>
      </c>
    </row>
    <row r="10" spans="1:9">
      <c r="A10" s="3158"/>
      <c r="B10" s="3160" t="s">
        <v>1089</v>
      </c>
      <c r="C10" s="3160"/>
      <c r="D10" s="1307"/>
      <c r="E10" s="1307" t="e">
        <f>ROUND(D1*10000/D10/H9,0)</f>
        <v>#DIV/0!</v>
      </c>
      <c r="F10" s="1308"/>
      <c r="G10" s="1308"/>
      <c r="H10" s="1309"/>
      <c r="I10" s="1310">
        <f>SUM(I3:I9)</f>
        <v>0</v>
      </c>
    </row>
    <row r="11" spans="1:9" ht="14.25">
      <c r="A11" s="3158" t="s">
        <v>1090</v>
      </c>
      <c r="B11" s="3159" t="s">
        <v>1091</v>
      </c>
      <c r="C11" s="3159"/>
      <c r="D11" s="1303" t="s">
        <v>1092</v>
      </c>
      <c r="E11" s="1303" t="s">
        <v>1093</v>
      </c>
      <c r="F11" s="1304" t="s">
        <v>1094</v>
      </c>
      <c r="G11" s="1304" t="s">
        <v>1080</v>
      </c>
      <c r="H11" s="1311" t="s">
        <v>1095</v>
      </c>
      <c r="I11" s="1302" t="s">
        <v>1081</v>
      </c>
    </row>
    <row r="12" spans="1:9">
      <c r="A12" s="3158"/>
      <c r="B12" s="3159" t="s">
        <v>1096</v>
      </c>
      <c r="C12" s="3159"/>
      <c r="D12" s="1303"/>
      <c r="E12" s="1303"/>
      <c r="F12" s="1304"/>
      <c r="G12" s="1305"/>
      <c r="H12" s="1312"/>
      <c r="I12" s="1302">
        <f>ROUND(D12*E12*F12*G12/10000,0)</f>
        <v>0</v>
      </c>
    </row>
    <row r="13" spans="1:9">
      <c r="A13" s="3158"/>
      <c r="B13" s="3159" t="s">
        <v>1097</v>
      </c>
      <c r="C13" s="3159"/>
      <c r="D13" s="1303"/>
      <c r="E13" s="1303"/>
      <c r="F13" s="1304"/>
      <c r="G13" s="1305"/>
      <c r="H13" s="1312"/>
      <c r="I13" s="1302">
        <f>ROUND(D13*E13*F13*G13/10000,0)</f>
        <v>0</v>
      </c>
    </row>
    <row r="14" spans="1:9">
      <c r="A14" s="3158"/>
      <c r="B14" s="3159" t="s">
        <v>1098</v>
      </c>
      <c r="C14" s="3159"/>
      <c r="D14" s="1303"/>
      <c r="E14" s="1303"/>
      <c r="F14" s="1304"/>
      <c r="G14" s="1305"/>
      <c r="H14" s="1312"/>
      <c r="I14" s="1302">
        <f>ROUND(D14*E14*F14*G14/10000,0)</f>
        <v>0</v>
      </c>
    </row>
    <row r="15" spans="1:9">
      <c r="A15" s="3158"/>
      <c r="B15" s="3160" t="s">
        <v>1089</v>
      </c>
      <c r="C15" s="3160"/>
      <c r="D15" s="1307"/>
      <c r="E15" s="1307">
        <f>SUM(E12:E14)</f>
        <v>0</v>
      </c>
      <c r="F15" s="1308"/>
      <c r="G15" s="1305"/>
      <c r="H15" s="1312"/>
      <c r="I15" s="1313">
        <f>SUM(I12:I14)</f>
        <v>0</v>
      </c>
    </row>
    <row r="16" spans="1:9" ht="24">
      <c r="A16" s="3158" t="s">
        <v>1099</v>
      </c>
      <c r="B16" s="3159" t="s">
        <v>1100</v>
      </c>
      <c r="C16" s="3159"/>
      <c r="D16" s="1303" t="s">
        <v>1076</v>
      </c>
      <c r="E16" s="1314" t="s">
        <v>1101</v>
      </c>
      <c r="F16" s="1304" t="s">
        <v>1102</v>
      </c>
      <c r="G16" s="1305" t="s">
        <v>1080</v>
      </c>
      <c r="H16" s="1311" t="s">
        <v>1095</v>
      </c>
      <c r="I16" s="1302" t="s">
        <v>1081</v>
      </c>
    </row>
    <row r="17" spans="1:9" ht="14.25">
      <c r="A17" s="3158"/>
      <c r="B17" s="3159" t="s">
        <v>1103</v>
      </c>
      <c r="C17" s="3159"/>
      <c r="D17" s="1303"/>
      <c r="E17" s="1303"/>
      <c r="F17" s="1304"/>
      <c r="G17" s="1305"/>
      <c r="H17" s="1315"/>
      <c r="I17" s="1316">
        <f>ROUND(D17*E17*F17*G17/10000,0)</f>
        <v>0</v>
      </c>
    </row>
    <row r="18" spans="1:9" ht="14.25">
      <c r="A18" s="3158"/>
      <c r="B18" s="3159" t="s">
        <v>1104</v>
      </c>
      <c r="C18" s="3159"/>
      <c r="D18" s="1303"/>
      <c r="E18" s="1303"/>
      <c r="F18" s="1304"/>
      <c r="G18" s="1305"/>
      <c r="H18" s="1315"/>
      <c r="I18" s="1316">
        <f>ROUND(D18*E18*F18*G18/10000,0)</f>
        <v>0</v>
      </c>
    </row>
    <row r="19" spans="1:9" ht="14.25">
      <c r="A19" s="3158"/>
      <c r="B19" s="3159" t="s">
        <v>1105</v>
      </c>
      <c r="C19" s="3159"/>
      <c r="D19" s="1303"/>
      <c r="E19" s="1303"/>
      <c r="F19" s="1304"/>
      <c r="G19" s="1305"/>
      <c r="H19" s="1315"/>
      <c r="I19" s="1316">
        <f>ROUND(D19*E19*F19*G19/10000,0)</f>
        <v>0</v>
      </c>
    </row>
    <row r="20" spans="1:9">
      <c r="A20" s="3158"/>
      <c r="B20" s="3160" t="s">
        <v>1089</v>
      </c>
      <c r="C20" s="3160"/>
      <c r="D20" s="1307">
        <f>SUM(D17:D19)</f>
        <v>0</v>
      </c>
      <c r="E20" s="1307"/>
      <c r="F20" s="1308"/>
      <c r="G20" s="1305"/>
      <c r="H20" s="1312"/>
      <c r="I20" s="1313">
        <f>SUM(I17:I19)</f>
        <v>0</v>
      </c>
    </row>
    <row r="21" spans="1:9">
      <c r="A21" s="3158" t="s">
        <v>1106</v>
      </c>
      <c r="B21" s="3161"/>
      <c r="C21" s="3161"/>
      <c r="D21" s="3161"/>
      <c r="E21" s="3161"/>
      <c r="F21" s="3161"/>
      <c r="G21" s="3161"/>
      <c r="H21" s="1765">
        <v>0.1</v>
      </c>
      <c r="I21" s="1310">
        <f>ROUND(I10*H21,0)</f>
        <v>0</v>
      </c>
    </row>
    <row r="22" spans="1:9" ht="14.25">
      <c r="A22" s="3162" t="s">
        <v>1107</v>
      </c>
      <c r="B22" s="3163"/>
      <c r="C22" s="3164"/>
      <c r="D22" s="1317" t="s">
        <v>1108</v>
      </c>
      <c r="E22" s="1317" t="s">
        <v>1109</v>
      </c>
      <c r="F22" s="1318" t="s">
        <v>1110</v>
      </c>
      <c r="G22" s="1318" t="s">
        <v>1111</v>
      </c>
      <c r="H22" s="1311" t="s">
        <v>1112</v>
      </c>
      <c r="I22" s="1302" t="s">
        <v>1113</v>
      </c>
    </row>
    <row r="23" spans="1:9" ht="14.25" thickBot="1">
      <c r="A23" s="3165"/>
      <c r="B23" s="3166"/>
      <c r="C23" s="3167"/>
      <c r="D23" s="1319"/>
      <c r="E23" s="1319"/>
      <c r="F23" s="1319"/>
      <c r="G23" s="1320"/>
      <c r="H23" s="1321"/>
      <c r="I23" s="1322">
        <f>ROUND(E23*D23*F23*(1-G23)/10000,0)</f>
        <v>0</v>
      </c>
    </row>
    <row r="26" spans="1:9">
      <c r="A26" s="1323" t="s">
        <v>1114</v>
      </c>
      <c r="B26" s="1323"/>
      <c r="C26" s="1323"/>
      <c r="D26" s="1323"/>
      <c r="E26" s="3155">
        <f>C27-C30-C31-C32</f>
        <v>0</v>
      </c>
      <c r="F26" s="3155"/>
      <c r="G26" s="3155"/>
      <c r="H26" s="1737" t="s">
        <v>1336</v>
      </c>
    </row>
    <row r="27" spans="1:9">
      <c r="A27" s="1324">
        <v>1</v>
      </c>
      <c r="B27" s="1325" t="s">
        <v>1115</v>
      </c>
      <c r="C27" s="1325">
        <f>C28+C29</f>
        <v>0</v>
      </c>
      <c r="D27" s="1325"/>
      <c r="E27" s="3156"/>
      <c r="F27" s="3156"/>
      <c r="G27" s="3156"/>
    </row>
    <row r="28" spans="1:9">
      <c r="A28" s="1326" t="s">
        <v>1116</v>
      </c>
      <c r="B28" s="1325" t="s">
        <v>1117</v>
      </c>
      <c r="C28" s="1325"/>
      <c r="D28" s="1325"/>
      <c r="E28" s="3156"/>
      <c r="F28" s="3156"/>
      <c r="G28" s="3156"/>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7"/>
      <c r="F32" s="3157"/>
      <c r="G32" s="3157"/>
    </row>
    <row r="33" spans="1:7" hidden="1">
      <c r="A33" s="3152" t="s">
        <v>1126</v>
      </c>
      <c r="B33" s="3153"/>
      <c r="C33" s="3153"/>
      <c r="D33" s="3154"/>
      <c r="E33" s="3155"/>
      <c r="F33" s="3155"/>
      <c r="G33" s="3155"/>
    </row>
    <row r="34" spans="1:7" hidden="1">
      <c r="A34" s="1328">
        <v>1</v>
      </c>
      <c r="B34" s="1325" t="s">
        <v>1127</v>
      </c>
      <c r="C34" s="1325"/>
      <c r="D34" s="1325"/>
      <c r="E34" s="3156"/>
      <c r="F34" s="3156"/>
      <c r="G34" s="3156"/>
    </row>
    <row r="35" spans="1:7" hidden="1">
      <c r="A35" s="1328">
        <v>2</v>
      </c>
      <c r="B35" s="1325" t="s">
        <v>1128</v>
      </c>
      <c r="C35" s="1325"/>
      <c r="D35" s="1325"/>
      <c r="E35" s="3156"/>
      <c r="F35" s="3156"/>
      <c r="G35" s="3156"/>
    </row>
    <row r="36" spans="1:7" hidden="1">
      <c r="A36" s="1328">
        <v>3</v>
      </c>
      <c r="B36" s="1325" t="s">
        <v>1129</v>
      </c>
      <c r="C36" s="1325"/>
      <c r="D36" s="1325"/>
      <c r="E36" s="3156"/>
      <c r="F36" s="3156"/>
      <c r="G36" s="3156"/>
    </row>
    <row r="37" spans="1:7" hidden="1">
      <c r="A37" s="1328">
        <v>4</v>
      </c>
      <c r="B37" s="1325" t="s">
        <v>1130</v>
      </c>
      <c r="C37" s="1325"/>
      <c r="D37" s="1325"/>
      <c r="E37" s="3156"/>
      <c r="F37" s="3156"/>
      <c r="G37" s="3156"/>
    </row>
    <row r="38" spans="1:7" hidden="1">
      <c r="A38" s="3152" t="s">
        <v>1131</v>
      </c>
      <c r="B38" s="3153"/>
      <c r="C38" s="3153"/>
      <c r="D38" s="3154"/>
      <c r="E38" s="3155"/>
      <c r="F38" s="3155"/>
      <c r="G38" s="31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5" t="s">
        <v>2525</v>
      </c>
      <c r="C1" s="1634" t="s">
        <v>2526</v>
      </c>
      <c r="D1" s="1621"/>
      <c r="E1" s="2586"/>
      <c r="F1" s="2587" t="s">
        <v>2527</v>
      </c>
      <c r="G1" s="1631" t="s">
        <v>2528</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9"/>
      <c r="D2" s="1365" t="e">
        <f ca="1">SUMIF(INDIRECT("'"&amp;F2&amp;"'"&amp;"!A:A"),"承租人权益价值",INDIRECT("'"&amp;F2&amp;"'"&amp;"!c:c"))</f>
        <v>#REF!</v>
      </c>
      <c r="E2" s="2590" t="s">
        <v>2529</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1390</v>
      </c>
      <c r="B3" s="399" t="e">
        <f ca="1">IF(C2="——",C49,ROUND(B2*10000/D3,0))</f>
        <v>#DIV/0!</v>
      </c>
      <c r="C3" s="400" t="s">
        <v>2530</v>
      </c>
      <c r="D3" s="399">
        <f>IF(D1="",'数据-汇总表'!E3,SUMIF('数据-汇总表'!$C19:$C33,D1,'数据-汇总表'!$E19:$E33))</f>
        <v>1723.11</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2531</v>
      </c>
      <c r="B4" s="402"/>
      <c r="C4" s="3191" t="s">
        <v>2532</v>
      </c>
      <c r="D4" s="3192"/>
      <c r="E4" s="3193" t="s">
        <v>2533</v>
      </c>
      <c r="F4" s="3194"/>
      <c r="G4" s="3191" t="s">
        <v>2534</v>
      </c>
      <c r="H4" s="3192"/>
      <c r="I4" s="3191" t="s">
        <v>2535</v>
      </c>
      <c r="J4" s="3192"/>
      <c r="K4" s="2599" t="s">
        <v>2536</v>
      </c>
      <c r="L4" s="1130"/>
      <c r="M4" s="1131"/>
      <c r="N4" s="1131"/>
      <c r="O4" s="1131"/>
      <c r="P4" s="3195" t="s">
        <v>2537</v>
      </c>
      <c r="Q4" s="3196"/>
      <c r="R4" s="3201" t="s">
        <v>2533</v>
      </c>
      <c r="S4" s="3202"/>
      <c r="T4" s="3201" t="s">
        <v>2534</v>
      </c>
      <c r="U4" s="3202"/>
      <c r="V4" s="3207" t="s">
        <v>2535</v>
      </c>
      <c r="W4" s="3207"/>
      <c r="X4" s="1813"/>
      <c r="Y4" s="3201" t="s">
        <v>2537</v>
      </c>
      <c r="Z4" s="3202"/>
      <c r="AA4" s="3188" t="s">
        <v>2533</v>
      </c>
      <c r="AB4" s="3188" t="s">
        <v>2534</v>
      </c>
      <c r="AC4" s="3188" t="s">
        <v>2535</v>
      </c>
    </row>
    <row r="5" spans="1:29" ht="15">
      <c r="A5" s="404"/>
      <c r="B5" s="405"/>
      <c r="C5" s="3210" t="s">
        <v>2538</v>
      </c>
      <c r="D5" s="3211"/>
      <c r="E5" s="3217" t="s">
        <v>2539</v>
      </c>
      <c r="F5" s="3218"/>
      <c r="G5" s="3210" t="s">
        <v>2540</v>
      </c>
      <c r="H5" s="3211"/>
      <c r="I5" s="3210" t="s">
        <v>2541</v>
      </c>
      <c r="J5" s="3211"/>
      <c r="K5" s="2600"/>
      <c r="L5" s="1130"/>
      <c r="M5" s="1131"/>
      <c r="N5" s="1131"/>
      <c r="O5" s="1131"/>
      <c r="P5" s="3197"/>
      <c r="Q5" s="3198"/>
      <c r="R5" s="3203"/>
      <c r="S5" s="3204"/>
      <c r="T5" s="3203"/>
      <c r="U5" s="3204"/>
      <c r="V5" s="3207"/>
      <c r="W5" s="3207"/>
      <c r="X5" s="1813"/>
      <c r="Y5" s="3203"/>
      <c r="Z5" s="3204"/>
      <c r="AA5" s="3189"/>
      <c r="AB5" s="3189"/>
      <c r="AC5" s="3189"/>
    </row>
    <row r="6" spans="1:29" ht="15.75" thickBot="1">
      <c r="A6" s="406"/>
      <c r="B6" s="407"/>
      <c r="C6" s="3208" t="s">
        <v>2542</v>
      </c>
      <c r="D6" s="3209"/>
      <c r="E6" s="3215" t="s">
        <v>2542</v>
      </c>
      <c r="F6" s="3216"/>
      <c r="G6" s="3208" t="s">
        <v>2542</v>
      </c>
      <c r="H6" s="3209"/>
      <c r="I6" s="3208" t="s">
        <v>2542</v>
      </c>
      <c r="J6" s="3209"/>
      <c r="K6" s="2600" t="s">
        <v>2543</v>
      </c>
      <c r="L6" s="1130"/>
      <c r="M6" s="1131"/>
      <c r="N6" s="1131"/>
      <c r="O6" s="1131"/>
      <c r="P6" s="3199"/>
      <c r="Q6" s="3200"/>
      <c r="R6" s="3203"/>
      <c r="S6" s="3204"/>
      <c r="T6" s="3205"/>
      <c r="U6" s="3206"/>
      <c r="V6" s="3207"/>
      <c r="W6" s="3207"/>
      <c r="X6" s="1813"/>
      <c r="Y6" s="3205"/>
      <c r="Z6" s="3206"/>
      <c r="AA6" s="3190"/>
      <c r="AB6" s="3190"/>
      <c r="AC6" s="3190"/>
    </row>
    <row r="7" spans="1:29" s="117" customFormat="1" ht="15.75" thickBot="1">
      <c r="A7" s="408" t="s">
        <v>2544</v>
      </c>
      <c r="B7" s="409"/>
      <c r="C7" s="410">
        <f>'数据-取费表'!B2</f>
        <v>43728</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212" t="s">
        <v>2545</v>
      </c>
      <c r="Q7" s="3214"/>
      <c r="R7" s="770" t="s">
        <v>23</v>
      </c>
      <c r="S7" s="771">
        <f t="shared" ref="S7:S15" si="0">F7</f>
        <v>0</v>
      </c>
      <c r="T7" s="770" t="s">
        <v>23</v>
      </c>
      <c r="U7" s="771">
        <f t="shared" ref="U7:U15" si="1">H7</f>
        <v>0</v>
      </c>
      <c r="V7" s="770" t="s">
        <v>23</v>
      </c>
      <c r="W7" s="771">
        <f t="shared" ref="W7:W15" si="2">J7</f>
        <v>0</v>
      </c>
      <c r="X7" s="772"/>
      <c r="Y7" s="3212" t="s">
        <v>2545</v>
      </c>
      <c r="Z7" s="3213"/>
      <c r="AA7" s="773" t="e">
        <f>D7/F7</f>
        <v>#DIV/0!</v>
      </c>
      <c r="AB7" s="773" t="e">
        <f>D7/H7</f>
        <v>#DIV/0!</v>
      </c>
      <c r="AC7" s="773" t="e">
        <f>D7/J7</f>
        <v>#DIV/0!</v>
      </c>
    </row>
    <row r="8" spans="1:29" s="117" customFormat="1" ht="15.75" thickBot="1">
      <c r="A8" s="408" t="s">
        <v>2546</v>
      </c>
      <c r="B8" s="409"/>
      <c r="C8" s="414" t="s">
        <v>2547</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212" t="s">
        <v>2548</v>
      </c>
      <c r="Q8" s="3213"/>
      <c r="R8" s="770" t="s">
        <v>23</v>
      </c>
      <c r="S8" s="771">
        <f t="shared" si="0"/>
        <v>0</v>
      </c>
      <c r="T8" s="770" t="s">
        <v>23</v>
      </c>
      <c r="U8" s="771">
        <f t="shared" si="1"/>
        <v>0</v>
      </c>
      <c r="V8" s="770" t="s">
        <v>23</v>
      </c>
      <c r="W8" s="771">
        <f t="shared" si="2"/>
        <v>0</v>
      </c>
      <c r="X8" s="772"/>
      <c r="Y8" s="3212" t="s">
        <v>2548</v>
      </c>
      <c r="Z8" s="3213"/>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187" t="s">
        <v>2551</v>
      </c>
      <c r="Q9" s="1795" t="str">
        <f t="shared" ref="Q9:Q15" si="6">B9</f>
        <v>用途</v>
      </c>
      <c r="R9" s="770" t="s">
        <v>17</v>
      </c>
      <c r="S9" s="771">
        <f t="shared" si="0"/>
        <v>100</v>
      </c>
      <c r="T9" s="770" t="s">
        <v>17</v>
      </c>
      <c r="U9" s="771">
        <f t="shared" si="1"/>
        <v>100</v>
      </c>
      <c r="V9" s="770" t="s">
        <v>17</v>
      </c>
      <c r="W9" s="771">
        <f t="shared" si="2"/>
        <v>100</v>
      </c>
      <c r="X9" s="772"/>
      <c r="Y9" s="3001"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7"/>
      <c r="Q10" s="1795"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7"/>
      <c r="Q11" s="1795" t="str">
        <f t="shared" si="6"/>
        <v>容积率</v>
      </c>
      <c r="R11" s="770" t="s">
        <v>21</v>
      </c>
      <c r="S11" s="771" t="e">
        <f t="shared" si="0"/>
        <v>#N/A</v>
      </c>
      <c r="T11" s="770" t="s">
        <v>21</v>
      </c>
      <c r="U11" s="771" t="e">
        <f t="shared" si="1"/>
        <v>#N/A</v>
      </c>
      <c r="V11" s="770" t="s">
        <v>21</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187"/>
      <c r="Q12" s="1795">
        <f t="shared" si="6"/>
        <v>111</v>
      </c>
      <c r="R12" s="770" t="s">
        <v>21</v>
      </c>
      <c r="S12" s="771">
        <f t="shared" si="0"/>
        <v>100</v>
      </c>
      <c r="T12" s="770" t="s">
        <v>21</v>
      </c>
      <c r="U12" s="771">
        <f t="shared" si="1"/>
        <v>100</v>
      </c>
      <c r="V12" s="770" t="s">
        <v>21</v>
      </c>
      <c r="W12" s="771">
        <f t="shared" si="2"/>
        <v>100</v>
      </c>
      <c r="X12" s="772"/>
      <c r="Y12" s="3001"/>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187"/>
      <c r="Q13" s="1795">
        <f t="shared" si="6"/>
        <v>111</v>
      </c>
      <c r="R13" s="770" t="s">
        <v>21</v>
      </c>
      <c r="S13" s="771">
        <f t="shared" si="0"/>
        <v>100</v>
      </c>
      <c r="T13" s="770" t="s">
        <v>21</v>
      </c>
      <c r="U13" s="771">
        <f t="shared" si="1"/>
        <v>100</v>
      </c>
      <c r="V13" s="770" t="s">
        <v>21</v>
      </c>
      <c r="W13" s="771">
        <f t="shared" si="2"/>
        <v>100</v>
      </c>
      <c r="X13" s="772"/>
      <c r="Y13" s="3001"/>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187"/>
      <c r="Q14" s="1795">
        <f t="shared" si="6"/>
        <v>111</v>
      </c>
      <c r="R14" s="770" t="s">
        <v>21</v>
      </c>
      <c r="S14" s="771">
        <f t="shared" si="0"/>
        <v>100</v>
      </c>
      <c r="T14" s="770" t="s">
        <v>21</v>
      </c>
      <c r="U14" s="771">
        <f t="shared" si="1"/>
        <v>100</v>
      </c>
      <c r="V14" s="770" t="s">
        <v>21</v>
      </c>
      <c r="W14" s="771">
        <f t="shared" si="2"/>
        <v>100</v>
      </c>
      <c r="X14" s="772"/>
      <c r="Y14" s="3001"/>
      <c r="Z14" s="55">
        <f t="shared" si="7"/>
        <v>111</v>
      </c>
      <c r="AA14" s="773">
        <f t="shared" si="3"/>
        <v>1</v>
      </c>
      <c r="AB14" s="773">
        <f t="shared" si="4"/>
        <v>1</v>
      </c>
      <c r="AC14" s="773">
        <f t="shared" si="5"/>
        <v>1</v>
      </c>
    </row>
    <row r="15" spans="1:29" ht="99.75">
      <c r="A15" s="440" t="s">
        <v>2555</v>
      </c>
      <c r="B15" s="69" t="s">
        <v>2079</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5" t="s">
        <v>2556</v>
      </c>
      <c r="Q15" s="1810" t="str">
        <f t="shared" si="6"/>
        <v>居住社区成熟度</v>
      </c>
      <c r="R15" s="774" t="s">
        <v>21</v>
      </c>
      <c r="S15" s="775">
        <f t="shared" si="0"/>
        <v>100</v>
      </c>
      <c r="T15" s="774" t="s">
        <v>21</v>
      </c>
      <c r="U15" s="775">
        <f t="shared" si="1"/>
        <v>100</v>
      </c>
      <c r="V15" s="774" t="s">
        <v>21</v>
      </c>
      <c r="W15" s="775">
        <f t="shared" si="2"/>
        <v>100</v>
      </c>
      <c r="X15" s="1813"/>
      <c r="Y15" s="3178" t="s">
        <v>2556</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186"/>
      <c r="Q16" s="1810"/>
      <c r="R16" s="774"/>
      <c r="S16" s="775"/>
      <c r="T16" s="774"/>
      <c r="U16" s="775"/>
      <c r="V16" s="774"/>
      <c r="W16" s="775"/>
      <c r="X16" s="1813"/>
      <c r="Y16" s="3179"/>
      <c r="Z16" s="1814"/>
      <c r="AA16" s="1811">
        <v>1</v>
      </c>
      <c r="AB16" s="1811">
        <v>1</v>
      </c>
      <c r="AC16" s="1811">
        <v>1</v>
      </c>
    </row>
    <row r="17" spans="1:29" ht="85.5">
      <c r="A17" s="428"/>
      <c r="B17" s="451" t="s">
        <v>2091</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6"/>
      <c r="Q17" s="1810" t="str">
        <f>B17</f>
        <v>交通便捷度</v>
      </c>
      <c r="R17" s="774" t="s">
        <v>21</v>
      </c>
      <c r="S17" s="775">
        <f>F17</f>
        <v>100</v>
      </c>
      <c r="T17" s="774" t="s">
        <v>21</v>
      </c>
      <c r="U17" s="775">
        <f>H17</f>
        <v>100</v>
      </c>
      <c r="V17" s="774" t="s">
        <v>21</v>
      </c>
      <c r="W17" s="775">
        <f>J17</f>
        <v>100</v>
      </c>
      <c r="X17" s="1813"/>
      <c r="Y17" s="3179"/>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186"/>
      <c r="Q18" s="1810"/>
      <c r="R18" s="774"/>
      <c r="S18" s="775"/>
      <c r="T18" s="774"/>
      <c r="U18" s="775"/>
      <c r="V18" s="774"/>
      <c r="W18" s="775"/>
      <c r="X18" s="1813"/>
      <c r="Y18" s="3179"/>
      <c r="Z18" s="1814"/>
      <c r="AA18" s="1811">
        <v>1</v>
      </c>
      <c r="AB18" s="1811">
        <v>1</v>
      </c>
      <c r="AC18" s="1811">
        <v>1</v>
      </c>
    </row>
    <row r="19" spans="1:29" ht="42.75">
      <c r="A19" s="428"/>
      <c r="B19" s="451" t="s">
        <v>2089</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6"/>
      <c r="Q19" s="1810" t="str">
        <f>B19</f>
        <v>公共配套设施</v>
      </c>
      <c r="R19" s="774" t="s">
        <v>21</v>
      </c>
      <c r="S19" s="775">
        <f>F19</f>
        <v>100</v>
      </c>
      <c r="T19" s="774" t="s">
        <v>21</v>
      </c>
      <c r="U19" s="775">
        <f>H19</f>
        <v>100</v>
      </c>
      <c r="V19" s="774" t="s">
        <v>21</v>
      </c>
      <c r="W19" s="775">
        <f>J19</f>
        <v>100</v>
      </c>
      <c r="X19" s="1813"/>
      <c r="Y19" s="3179"/>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186"/>
      <c r="Q20" s="1810"/>
      <c r="R20" s="774"/>
      <c r="S20" s="775"/>
      <c r="T20" s="774"/>
      <c r="U20" s="775"/>
      <c r="V20" s="774"/>
      <c r="W20" s="775"/>
      <c r="X20" s="1813"/>
      <c r="Y20" s="3179"/>
      <c r="Z20" s="1814"/>
      <c r="AA20" s="1811">
        <v>1</v>
      </c>
      <c r="AB20" s="1811">
        <v>1</v>
      </c>
      <c r="AC20" s="1811">
        <v>1</v>
      </c>
    </row>
    <row r="21" spans="1:29" ht="28.5">
      <c r="A21" s="428"/>
      <c r="B21" s="1384" t="s">
        <v>2092</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6"/>
      <c r="Q21" s="1810" t="str">
        <f>B21</f>
        <v>基础设施水平</v>
      </c>
      <c r="R21" s="774" t="s">
        <v>17</v>
      </c>
      <c r="S21" s="775">
        <f>F21</f>
        <v>100</v>
      </c>
      <c r="T21" s="774" t="s">
        <v>17</v>
      </c>
      <c r="U21" s="775">
        <f>H21</f>
        <v>100</v>
      </c>
      <c r="V21" s="774" t="s">
        <v>17</v>
      </c>
      <c r="W21" s="775">
        <f>J21</f>
        <v>100</v>
      </c>
      <c r="X21" s="1813"/>
      <c r="Y21" s="3179"/>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186"/>
      <c r="Q22" s="1810"/>
      <c r="R22" s="774"/>
      <c r="S22" s="775"/>
      <c r="T22" s="774"/>
      <c r="U22" s="775"/>
      <c r="V22" s="774"/>
      <c r="W22" s="775"/>
      <c r="X22" s="1813"/>
      <c r="Y22" s="3179"/>
      <c r="Z22" s="1814"/>
      <c r="AA22" s="1811">
        <v>1</v>
      </c>
      <c r="AB22" s="1811">
        <v>1</v>
      </c>
      <c r="AC22" s="1811">
        <v>1</v>
      </c>
    </row>
    <row r="23" spans="1:29" ht="57">
      <c r="A23" s="428"/>
      <c r="B23" s="451" t="s">
        <v>2096</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6"/>
      <c r="Q23" s="1810" t="str">
        <f>B23</f>
        <v>自然及人文环境</v>
      </c>
      <c r="R23" s="774" t="s">
        <v>21</v>
      </c>
      <c r="S23" s="775">
        <f>F23</f>
        <v>100</v>
      </c>
      <c r="T23" s="774" t="s">
        <v>21</v>
      </c>
      <c r="U23" s="775">
        <f>H23</f>
        <v>100</v>
      </c>
      <c r="V23" s="774" t="s">
        <v>21</v>
      </c>
      <c r="W23" s="775">
        <f>J23</f>
        <v>100</v>
      </c>
      <c r="X23" s="1813"/>
      <c r="Y23" s="3179"/>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186"/>
      <c r="Q24" s="1810"/>
      <c r="R24" s="774"/>
      <c r="S24" s="775"/>
      <c r="T24" s="774"/>
      <c r="U24" s="775"/>
      <c r="V24" s="774"/>
      <c r="W24" s="775"/>
      <c r="X24" s="1813"/>
      <c r="Y24" s="3179"/>
      <c r="Z24" s="1814"/>
      <c r="AA24" s="1811">
        <v>1</v>
      </c>
      <c r="AB24" s="1811">
        <v>1</v>
      </c>
      <c r="AC24" s="1811">
        <v>1</v>
      </c>
    </row>
    <row r="25" spans="1:29" ht="15">
      <c r="A25" s="428"/>
      <c r="B25" s="422" t="s">
        <v>2557</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18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9"/>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186"/>
      <c r="Q26" s="1810" t="str">
        <f t="shared" si="11"/>
        <v>朝向</v>
      </c>
      <c r="R26" s="774" t="s">
        <v>21</v>
      </c>
      <c r="S26" s="775">
        <f t="shared" si="12"/>
        <v>100</v>
      </c>
      <c r="T26" s="774" t="s">
        <v>21</v>
      </c>
      <c r="U26" s="775">
        <f t="shared" si="13"/>
        <v>100</v>
      </c>
      <c r="V26" s="774" t="s">
        <v>21</v>
      </c>
      <c r="W26" s="775">
        <f t="shared" si="14"/>
        <v>100</v>
      </c>
      <c r="X26" s="1813"/>
      <c r="Y26" s="3179"/>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186"/>
      <c r="Q27" s="1795">
        <f t="shared" si="11"/>
        <v>111</v>
      </c>
      <c r="R27" s="770" t="s">
        <v>21</v>
      </c>
      <c r="S27" s="771">
        <f t="shared" si="12"/>
        <v>100</v>
      </c>
      <c r="T27" s="770" t="s">
        <v>21</v>
      </c>
      <c r="U27" s="771">
        <f t="shared" si="13"/>
        <v>100</v>
      </c>
      <c r="V27" s="770" t="s">
        <v>21</v>
      </c>
      <c r="W27" s="771">
        <f t="shared" si="14"/>
        <v>100</v>
      </c>
      <c r="X27" s="772"/>
      <c r="Y27" s="3179"/>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186"/>
      <c r="Q28" s="1810">
        <f t="shared" si="11"/>
        <v>111</v>
      </c>
      <c r="R28" s="774" t="s">
        <v>21</v>
      </c>
      <c r="S28" s="775">
        <f t="shared" si="12"/>
        <v>100</v>
      </c>
      <c r="T28" s="774" t="s">
        <v>21</v>
      </c>
      <c r="U28" s="775">
        <f t="shared" si="13"/>
        <v>100</v>
      </c>
      <c r="V28" s="774" t="s">
        <v>21</v>
      </c>
      <c r="W28" s="775">
        <f t="shared" si="14"/>
        <v>100</v>
      </c>
      <c r="X28" s="1813"/>
      <c r="Y28" s="3179"/>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186"/>
      <c r="Q29" s="1810">
        <f t="shared" si="11"/>
        <v>111</v>
      </c>
      <c r="R29" s="774" t="s">
        <v>21</v>
      </c>
      <c r="S29" s="775">
        <f t="shared" si="12"/>
        <v>100</v>
      </c>
      <c r="T29" s="774" t="s">
        <v>21</v>
      </c>
      <c r="U29" s="775">
        <f t="shared" si="13"/>
        <v>100</v>
      </c>
      <c r="V29" s="774" t="s">
        <v>21</v>
      </c>
      <c r="W29" s="775">
        <f t="shared" si="14"/>
        <v>100</v>
      </c>
      <c r="X29" s="1813"/>
      <c r="Y29" s="3179"/>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186"/>
      <c r="Q30" s="1810">
        <f t="shared" si="11"/>
        <v>111</v>
      </c>
      <c r="R30" s="774" t="s">
        <v>21</v>
      </c>
      <c r="S30" s="775">
        <f t="shared" si="12"/>
        <v>100</v>
      </c>
      <c r="T30" s="774" t="s">
        <v>21</v>
      </c>
      <c r="U30" s="775">
        <f t="shared" si="13"/>
        <v>100</v>
      </c>
      <c r="V30" s="774" t="s">
        <v>21</v>
      </c>
      <c r="W30" s="775">
        <f t="shared" si="14"/>
        <v>100</v>
      </c>
      <c r="X30" s="1813"/>
      <c r="Y30" s="3179"/>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186"/>
      <c r="Q31" s="1810">
        <f t="shared" si="11"/>
        <v>111</v>
      </c>
      <c r="R31" s="774" t="s">
        <v>21</v>
      </c>
      <c r="S31" s="775">
        <f t="shared" si="12"/>
        <v>100</v>
      </c>
      <c r="T31" s="774" t="s">
        <v>21</v>
      </c>
      <c r="U31" s="775">
        <f t="shared" si="13"/>
        <v>100</v>
      </c>
      <c r="V31" s="774" t="s">
        <v>21</v>
      </c>
      <c r="W31" s="775">
        <f t="shared" si="14"/>
        <v>100</v>
      </c>
      <c r="X31" s="1813"/>
      <c r="Y31" s="3179"/>
      <c r="Z31" s="1814">
        <f t="shared" si="18"/>
        <v>111</v>
      </c>
      <c r="AA31" s="1811">
        <f t="shared" si="15"/>
        <v>1</v>
      </c>
      <c r="AB31" s="1811">
        <f t="shared" si="16"/>
        <v>1</v>
      </c>
      <c r="AC31" s="1811">
        <f t="shared" si="17"/>
        <v>1</v>
      </c>
    </row>
    <row r="32" spans="1:29" ht="15">
      <c r="A32" s="440" t="s">
        <v>2559</v>
      </c>
      <c r="B32" s="71" t="s">
        <v>2560</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180" t="s">
        <v>2561</v>
      </c>
      <c r="Q32" s="1810" t="str">
        <f t="shared" si="11"/>
        <v>建筑类型</v>
      </c>
      <c r="R32" s="774" t="s">
        <v>21</v>
      </c>
      <c r="S32" s="775">
        <f t="shared" si="12"/>
        <v>100</v>
      </c>
      <c r="T32" s="774" t="s">
        <v>21</v>
      </c>
      <c r="U32" s="775">
        <f t="shared" si="13"/>
        <v>100</v>
      </c>
      <c r="V32" s="774" t="s">
        <v>21</v>
      </c>
      <c r="W32" s="775">
        <f t="shared" si="14"/>
        <v>100</v>
      </c>
      <c r="X32" s="1813"/>
      <c r="Y32" s="3183"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181"/>
      <c r="Q33" s="776" t="str">
        <f t="shared" si="11"/>
        <v>项目建筑规模</v>
      </c>
      <c r="R33" s="777" t="s">
        <v>21</v>
      </c>
      <c r="S33" s="778" t="e">
        <f t="shared" si="12"/>
        <v>#N/A</v>
      </c>
      <c r="T33" s="777" t="s">
        <v>21</v>
      </c>
      <c r="U33" s="778" t="e">
        <f t="shared" si="13"/>
        <v>#N/A</v>
      </c>
      <c r="V33" s="777" t="s">
        <v>21</v>
      </c>
      <c r="W33" s="778" t="e">
        <f t="shared" si="14"/>
        <v>#N/A</v>
      </c>
      <c r="X33" s="779"/>
      <c r="Y33" s="3183"/>
      <c r="Z33" s="780" t="str">
        <f t="shared" si="18"/>
        <v>项目建筑规模</v>
      </c>
      <c r="AA33" s="1811" t="e">
        <f t="shared" si="15"/>
        <v>#N/A</v>
      </c>
      <c r="AB33" s="1811" t="e">
        <f t="shared" si="16"/>
        <v>#N/A</v>
      </c>
      <c r="AC33" s="1811" t="e">
        <f t="shared" si="17"/>
        <v>#N/A</v>
      </c>
    </row>
    <row r="34" spans="1:29" ht="15">
      <c r="A34" s="472"/>
      <c r="B34" s="422" t="s">
        <v>2563</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181"/>
      <c r="Q34" s="1810" t="str">
        <f t="shared" si="11"/>
        <v>建筑结构</v>
      </c>
      <c r="R34" s="774" t="s">
        <v>21</v>
      </c>
      <c r="S34" s="775">
        <f t="shared" si="12"/>
        <v>100</v>
      </c>
      <c r="T34" s="774" t="s">
        <v>21</v>
      </c>
      <c r="U34" s="775">
        <f t="shared" si="13"/>
        <v>100</v>
      </c>
      <c r="V34" s="774" t="s">
        <v>21</v>
      </c>
      <c r="W34" s="775">
        <f t="shared" si="14"/>
        <v>100</v>
      </c>
      <c r="X34" s="1813"/>
      <c r="Y34" s="3183"/>
      <c r="Z34" s="1814" t="str">
        <f t="shared" si="18"/>
        <v>建筑结构</v>
      </c>
      <c r="AA34" s="1811">
        <f t="shared" si="15"/>
        <v>1</v>
      </c>
      <c r="AB34" s="1811">
        <f t="shared" si="16"/>
        <v>1</v>
      </c>
      <c r="AC34" s="1811">
        <f t="shared" si="17"/>
        <v>1</v>
      </c>
    </row>
    <row r="35" spans="1:29" ht="15">
      <c r="A35" s="472"/>
      <c r="B35" s="422" t="s">
        <v>2564</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181"/>
      <c r="Q35" s="1810" t="str">
        <f t="shared" si="11"/>
        <v>建筑品质</v>
      </c>
      <c r="R35" s="774" t="s">
        <v>21</v>
      </c>
      <c r="S35" s="775">
        <f t="shared" si="12"/>
        <v>100</v>
      </c>
      <c r="T35" s="774" t="s">
        <v>21</v>
      </c>
      <c r="U35" s="775">
        <f t="shared" si="13"/>
        <v>100</v>
      </c>
      <c r="V35" s="774" t="s">
        <v>21</v>
      </c>
      <c r="W35" s="775">
        <f t="shared" si="14"/>
        <v>100</v>
      </c>
      <c r="X35" s="1813"/>
      <c r="Y35" s="3183"/>
      <c r="Z35" s="1814" t="str">
        <f t="shared" si="18"/>
        <v>建筑品质</v>
      </c>
      <c r="AA35" s="1811">
        <f t="shared" si="15"/>
        <v>1</v>
      </c>
      <c r="AB35" s="1811">
        <f t="shared" si="16"/>
        <v>1</v>
      </c>
      <c r="AC35" s="1811">
        <f t="shared" si="17"/>
        <v>1</v>
      </c>
    </row>
    <row r="36" spans="1:29" ht="15">
      <c r="A36" s="472"/>
      <c r="B36" s="422" t="s">
        <v>2565</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181"/>
      <c r="Q36" s="1810" t="str">
        <f t="shared" si="11"/>
        <v>公共部分装修</v>
      </c>
      <c r="R36" s="774" t="s">
        <v>21</v>
      </c>
      <c r="S36" s="775">
        <f t="shared" si="12"/>
        <v>100</v>
      </c>
      <c r="T36" s="774" t="s">
        <v>21</v>
      </c>
      <c r="U36" s="775">
        <f t="shared" si="13"/>
        <v>100</v>
      </c>
      <c r="V36" s="774" t="s">
        <v>21</v>
      </c>
      <c r="W36" s="775">
        <f t="shared" si="14"/>
        <v>100</v>
      </c>
      <c r="X36" s="1813"/>
      <c r="Y36" s="3183"/>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1"/>
      <c r="Q37" s="1795" t="str">
        <f t="shared" si="11"/>
        <v>成新度</v>
      </c>
      <c r="R37" s="770" t="s">
        <v>21</v>
      </c>
      <c r="S37" s="771" t="e">
        <f t="shared" si="12"/>
        <v>#N/A</v>
      </c>
      <c r="T37" s="770" t="s">
        <v>21</v>
      </c>
      <c r="U37" s="771" t="e">
        <f t="shared" si="13"/>
        <v>#N/A</v>
      </c>
      <c r="V37" s="770" t="s">
        <v>21</v>
      </c>
      <c r="W37" s="771" t="e">
        <f t="shared" si="14"/>
        <v>#N/A</v>
      </c>
      <c r="X37" s="772"/>
      <c r="Y37" s="3183"/>
      <c r="Z37" s="55" t="str">
        <f t="shared" si="18"/>
        <v>成新度</v>
      </c>
      <c r="AA37" s="773" t="e">
        <f t="shared" si="15"/>
        <v>#N/A</v>
      </c>
      <c r="AB37" s="773" t="e">
        <f t="shared" si="16"/>
        <v>#N/A</v>
      </c>
      <c r="AC37" s="773" t="e">
        <f t="shared" si="17"/>
        <v>#N/A</v>
      </c>
    </row>
    <row r="38" spans="1:29" ht="15">
      <c r="A38" s="472"/>
      <c r="B38" s="422" t="s">
        <v>2567</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181" t="s">
        <v>2561</v>
      </c>
      <c r="Q38" s="1810" t="str">
        <f t="shared" si="11"/>
        <v>物业管理</v>
      </c>
      <c r="R38" s="774" t="s">
        <v>21</v>
      </c>
      <c r="S38" s="775">
        <f t="shared" si="12"/>
        <v>100</v>
      </c>
      <c r="T38" s="774" t="s">
        <v>21</v>
      </c>
      <c r="U38" s="775">
        <f t="shared" si="13"/>
        <v>100</v>
      </c>
      <c r="V38" s="774" t="s">
        <v>21</v>
      </c>
      <c r="W38" s="775">
        <f t="shared" si="14"/>
        <v>100</v>
      </c>
      <c r="X38" s="1813"/>
      <c r="Y38" s="3183" t="s">
        <v>2561</v>
      </c>
      <c r="Z38" s="1814" t="str">
        <f t="shared" si="18"/>
        <v>物业管理</v>
      </c>
      <c r="AA38" s="1811">
        <f t="shared" si="15"/>
        <v>1</v>
      </c>
      <c r="AB38" s="1811">
        <f t="shared" si="16"/>
        <v>1</v>
      </c>
      <c r="AC38" s="1811">
        <f t="shared" si="17"/>
        <v>1</v>
      </c>
    </row>
    <row r="39" spans="1:29" ht="15">
      <c r="A39" s="472"/>
      <c r="B39" s="422" t="s">
        <v>2568</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181"/>
      <c r="Q39" s="1810" t="str">
        <f t="shared" si="11"/>
        <v>市政基础设施</v>
      </c>
      <c r="R39" s="774" t="s">
        <v>21</v>
      </c>
      <c r="S39" s="775">
        <f t="shared" si="12"/>
        <v>100</v>
      </c>
      <c r="T39" s="774" t="s">
        <v>21</v>
      </c>
      <c r="U39" s="775">
        <f t="shared" si="13"/>
        <v>100</v>
      </c>
      <c r="V39" s="774" t="s">
        <v>21</v>
      </c>
      <c r="W39" s="775">
        <f t="shared" si="14"/>
        <v>100</v>
      </c>
      <c r="X39" s="1813"/>
      <c r="Y39" s="3183"/>
      <c r="Z39" s="1814" t="str">
        <f t="shared" si="18"/>
        <v>市政基础设施</v>
      </c>
      <c r="AA39" s="1811">
        <f t="shared" si="15"/>
        <v>1</v>
      </c>
      <c r="AB39" s="1811">
        <f t="shared" si="16"/>
        <v>1</v>
      </c>
      <c r="AC39" s="1811">
        <f t="shared" si="17"/>
        <v>1</v>
      </c>
    </row>
    <row r="40" spans="1:29" ht="15">
      <c r="A40" s="472"/>
      <c r="B40" s="422" t="s">
        <v>2569</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181"/>
      <c r="Q40" s="1810" t="str">
        <f t="shared" si="11"/>
        <v>房型</v>
      </c>
      <c r="R40" s="774" t="s">
        <v>21</v>
      </c>
      <c r="S40" s="775">
        <f t="shared" si="12"/>
        <v>100</v>
      </c>
      <c r="T40" s="774" t="s">
        <v>21</v>
      </c>
      <c r="U40" s="775">
        <f t="shared" si="13"/>
        <v>100</v>
      </c>
      <c r="V40" s="774" t="s">
        <v>21</v>
      </c>
      <c r="W40" s="775">
        <f t="shared" si="14"/>
        <v>100</v>
      </c>
      <c r="X40" s="1813"/>
      <c r="Y40" s="3183"/>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181"/>
      <c r="Q41" s="776" t="str">
        <f t="shared" si="11"/>
        <v>单套/主力户型建筑面积</v>
      </c>
      <c r="R41" s="777" t="s">
        <v>21</v>
      </c>
      <c r="S41" s="778">
        <f t="shared" si="12"/>
        <v>100</v>
      </c>
      <c r="T41" s="777" t="s">
        <v>21</v>
      </c>
      <c r="U41" s="778">
        <f t="shared" si="13"/>
        <v>100</v>
      </c>
      <c r="V41" s="777" t="s">
        <v>21</v>
      </c>
      <c r="W41" s="778">
        <f t="shared" si="14"/>
        <v>100</v>
      </c>
      <c r="X41" s="779"/>
      <c r="Y41" s="3183"/>
      <c r="Z41" s="780" t="str">
        <f t="shared" si="18"/>
        <v>单套/主力户型建筑面积</v>
      </c>
      <c r="AA41" s="1811">
        <f t="shared" si="15"/>
        <v>1</v>
      </c>
      <c r="AB41" s="1811">
        <f t="shared" si="16"/>
        <v>1</v>
      </c>
      <c r="AC41" s="1811">
        <f t="shared" si="17"/>
        <v>1</v>
      </c>
    </row>
    <row r="42" spans="1:29" ht="15">
      <c r="A42" s="472"/>
      <c r="B42" s="422" t="s">
        <v>2571</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181"/>
      <c r="Q42" s="1810" t="str">
        <f t="shared" si="11"/>
        <v>内部装修</v>
      </c>
      <c r="R42" s="774" t="s">
        <v>21</v>
      </c>
      <c r="S42" s="775">
        <f t="shared" si="12"/>
        <v>100</v>
      </c>
      <c r="T42" s="774" t="s">
        <v>21</v>
      </c>
      <c r="U42" s="775">
        <f t="shared" si="13"/>
        <v>100</v>
      </c>
      <c r="V42" s="774" t="s">
        <v>21</v>
      </c>
      <c r="W42" s="775">
        <f t="shared" si="14"/>
        <v>100</v>
      </c>
      <c r="X42" s="1813"/>
      <c r="Y42" s="3183"/>
      <c r="Z42" s="1814" t="str">
        <f t="shared" si="18"/>
        <v>内部装修</v>
      </c>
      <c r="AA42" s="1811">
        <f t="shared" si="15"/>
        <v>1</v>
      </c>
      <c r="AB42" s="1811">
        <f t="shared" si="16"/>
        <v>1</v>
      </c>
      <c r="AC42" s="1811">
        <f t="shared" si="17"/>
        <v>1</v>
      </c>
    </row>
    <row r="43" spans="1:29" ht="15">
      <c r="A43" s="472"/>
      <c r="B43" s="422" t="s">
        <v>2572</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181"/>
      <c r="Q43" s="1810" t="str">
        <f t="shared" si="11"/>
        <v>内部装修维护情况</v>
      </c>
      <c r="R43" s="774" t="s">
        <v>21</v>
      </c>
      <c r="S43" s="775">
        <f t="shared" si="12"/>
        <v>100</v>
      </c>
      <c r="T43" s="774" t="s">
        <v>21</v>
      </c>
      <c r="U43" s="775">
        <f t="shared" si="13"/>
        <v>100</v>
      </c>
      <c r="V43" s="774" t="s">
        <v>21</v>
      </c>
      <c r="W43" s="775">
        <f t="shared" si="14"/>
        <v>100</v>
      </c>
      <c r="X43" s="1813"/>
      <c r="Y43" s="318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181"/>
      <c r="Q44" s="1795">
        <f t="shared" si="11"/>
        <v>111</v>
      </c>
      <c r="R44" s="770" t="s">
        <v>21</v>
      </c>
      <c r="S44" s="771">
        <f t="shared" si="12"/>
        <v>100</v>
      </c>
      <c r="T44" s="770" t="s">
        <v>21</v>
      </c>
      <c r="U44" s="771">
        <f t="shared" si="13"/>
        <v>100</v>
      </c>
      <c r="V44" s="770" t="s">
        <v>21</v>
      </c>
      <c r="W44" s="771">
        <f t="shared" si="14"/>
        <v>100</v>
      </c>
      <c r="X44" s="772"/>
      <c r="Y44" s="318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181"/>
      <c r="Q45" s="1810">
        <f t="shared" si="11"/>
        <v>111</v>
      </c>
      <c r="R45" s="774" t="s">
        <v>21</v>
      </c>
      <c r="S45" s="775">
        <f t="shared" si="12"/>
        <v>100</v>
      </c>
      <c r="T45" s="774" t="s">
        <v>21</v>
      </c>
      <c r="U45" s="775">
        <f t="shared" si="13"/>
        <v>100</v>
      </c>
      <c r="V45" s="774" t="s">
        <v>21</v>
      </c>
      <c r="W45" s="775">
        <f t="shared" si="14"/>
        <v>100</v>
      </c>
      <c r="X45" s="1813"/>
      <c r="Y45" s="3183"/>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182"/>
      <c r="Q46" s="1810">
        <f t="shared" si="11"/>
        <v>111</v>
      </c>
      <c r="R46" s="774" t="s">
        <v>20</v>
      </c>
      <c r="S46" s="775">
        <f t="shared" si="12"/>
        <v>100</v>
      </c>
      <c r="T46" s="774" t="s">
        <v>20</v>
      </c>
      <c r="U46" s="775">
        <f t="shared" si="13"/>
        <v>100</v>
      </c>
      <c r="V46" s="774" t="s">
        <v>20</v>
      </c>
      <c r="W46" s="775">
        <f t="shared" si="14"/>
        <v>100</v>
      </c>
      <c r="X46" s="1813"/>
      <c r="Y46" s="3184"/>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24"/>
      <c r="L47" s="1143"/>
      <c r="M47" s="1144"/>
      <c r="N47" s="1131"/>
      <c r="O47" s="1144"/>
      <c r="P47" s="3176" t="str">
        <f>A47</f>
        <v>成交单价（元/平方米）</v>
      </c>
      <c r="Q47" s="3176"/>
      <c r="R47" s="3177">
        <f>E47</f>
        <v>0</v>
      </c>
      <c r="S47" s="3177"/>
      <c r="T47" s="3177">
        <f>G47</f>
        <v>0</v>
      </c>
      <c r="U47" s="3177"/>
      <c r="V47" s="3177">
        <f>I47</f>
        <v>0</v>
      </c>
      <c r="W47" s="3177"/>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5"/>
      <c r="L48" s="1143"/>
      <c r="M48" s="1144"/>
      <c r="N48" s="1144"/>
      <c r="O48" s="1144"/>
      <c r="P48" s="3176" t="str">
        <f>A48</f>
        <v>比较价值（元/平方米）</v>
      </c>
      <c r="Q48" s="3176"/>
      <c r="R48" s="3177" t="e">
        <f>IF(F1="售价",ROUND(PRODUCT(R47,AA7:AA46),0),ROUND(PRODUCT(R47,AA7:AA46),1))</f>
        <v>#DIV/0!</v>
      </c>
      <c r="S48" s="3177"/>
      <c r="T48" s="3177" t="e">
        <f>IF(F1="售价",ROUND(PRODUCT(T47,AB7:AB46),0),ROUND(PRODUCT(T47,AB7:AB46),1))</f>
        <v>#DIV/0!</v>
      </c>
      <c r="U48" s="3177"/>
      <c r="V48" s="3177" t="e">
        <f>IF(F1="售价",ROUND(PRODUCT(V47,AC7:AC46),0),ROUND(PRODUCT(V47,AC7:AC46),1))</f>
        <v>#DIV/0!</v>
      </c>
      <c r="W48" s="3177"/>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6"/>
      <c r="L49" s="1143"/>
      <c r="M49" s="1144"/>
      <c r="N49" s="1144"/>
      <c r="O49" s="1144"/>
      <c r="P49" s="3173" t="str">
        <f>A49</f>
        <v>估价对象XX用房的比较价值（楼面单价，元/平方米）</v>
      </c>
      <c r="Q49" s="3174"/>
      <c r="R49" s="3175" t="e">
        <f>IF(F1="售价",ROUND(AVERAGE(R48:V48),0),ROUND(AVERAGE(R48:V48),1))</f>
        <v>#DIV/0!</v>
      </c>
      <c r="S49" s="3175"/>
      <c r="T49" s="3175"/>
      <c r="U49" s="3175"/>
      <c r="V49" s="3175"/>
      <c r="W49" s="317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9"/>
      <c r="Q57" s="504"/>
    </row>
    <row r="58" spans="1:29" s="508" customFormat="1" ht="15">
      <c r="A58" s="505" t="s">
        <v>2580</v>
      </c>
      <c r="B58" s="506"/>
      <c r="C58" s="1576" t="str">
        <f>YEAR(C7)&amp;"-"&amp;MONTH(C7)</f>
        <v>2019-9</v>
      </c>
      <c r="D58" s="1575">
        <f>EDATE(C58,-1)</f>
        <v>43678</v>
      </c>
      <c r="E58" s="1575">
        <f>EDATE(D58,-1)</f>
        <v>43647</v>
      </c>
      <c r="F58" s="1575">
        <f t="shared" ref="F58:O58" si="19">EDATE(E58,-1)</f>
        <v>43617</v>
      </c>
      <c r="G58" s="1575">
        <f t="shared" si="19"/>
        <v>43586</v>
      </c>
      <c r="H58" s="1575">
        <f t="shared" si="19"/>
        <v>43556</v>
      </c>
      <c r="I58" s="1575">
        <f t="shared" si="19"/>
        <v>43525</v>
      </c>
      <c r="J58" s="1575">
        <f t="shared" si="19"/>
        <v>43497</v>
      </c>
      <c r="K58" s="1575">
        <f t="shared" si="19"/>
        <v>43466</v>
      </c>
      <c r="L58" s="1575">
        <f t="shared" si="19"/>
        <v>43435</v>
      </c>
      <c r="M58" s="1575">
        <f t="shared" si="19"/>
        <v>43405</v>
      </c>
      <c r="N58" s="1575">
        <f t="shared" si="19"/>
        <v>43374</v>
      </c>
      <c r="O58" s="1575">
        <f t="shared" si="19"/>
        <v>43344</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2581</v>
      </c>
      <c r="B60" s="516"/>
      <c r="C60" s="517"/>
      <c r="D60" s="518"/>
      <c r="E60" s="518"/>
      <c r="F60" s="518"/>
      <c r="G60" s="518"/>
      <c r="H60" s="518"/>
      <c r="I60" s="518"/>
      <c r="J60" s="518"/>
      <c r="K60" s="518"/>
      <c r="L60" s="518"/>
      <c r="M60" s="519"/>
      <c r="N60" s="518"/>
      <c r="O60" s="519"/>
      <c r="P60" s="2631"/>
      <c r="Q60" s="504"/>
    </row>
    <row r="61" spans="1:29" s="117" customFormat="1" ht="15">
      <c r="A61" s="521" t="s">
        <v>2582</v>
      </c>
      <c r="B61" s="510"/>
      <c r="C61" s="522" t="s">
        <v>2583</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2584</v>
      </c>
      <c r="B63" s="528" t="s">
        <v>2550</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2092</v>
      </c>
      <c r="C82" s="539" t="s">
        <v>2600</v>
      </c>
      <c r="D82" s="539" t="s">
        <v>2601</v>
      </c>
      <c r="E82" s="539" t="s">
        <v>2602</v>
      </c>
      <c r="F82" s="539" t="s">
        <v>2603</v>
      </c>
      <c r="G82" s="539" t="s">
        <v>2604</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2606</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2607</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2559</v>
      </c>
      <c r="B100" s="528" t="s">
        <v>2608</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2610</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2611</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2612</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2613</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2614</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2615</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2616</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2618</v>
      </c>
    </row>
    <row r="137" spans="1:17" ht="15">
      <c r="B137" s="2641" t="s">
        <v>2619</v>
      </c>
      <c r="C137" s="2642"/>
      <c r="D137" s="2642"/>
      <c r="E137" s="2642"/>
      <c r="F137" s="2642"/>
      <c r="G137" s="2643"/>
      <c r="H137" s="2644"/>
      <c r="I137" s="2645" t="s">
        <v>2620</v>
      </c>
      <c r="J137" s="2642"/>
      <c r="K137" s="2646"/>
    </row>
    <row r="138" spans="1:17" ht="15">
      <c r="B138" s="2647"/>
      <c r="C138" s="146" t="s">
        <v>2621</v>
      </c>
      <c r="D138" s="146" t="s">
        <v>2622</v>
      </c>
      <c r="E138" s="2648" t="s">
        <v>2623</v>
      </c>
      <c r="F138" s="2649" t="s">
        <v>2624</v>
      </c>
      <c r="G138" s="146" t="s">
        <v>2622</v>
      </c>
      <c r="H138" s="147" t="s">
        <v>2623</v>
      </c>
      <c r="I138" s="2650"/>
      <c r="J138" s="146" t="s">
        <v>2625</v>
      </c>
      <c r="K138" s="147" t="s">
        <v>2626</v>
      </c>
    </row>
    <row r="139" spans="1:17" ht="15">
      <c r="B139" s="1084">
        <v>6</v>
      </c>
      <c r="C139" s="1085">
        <v>96</v>
      </c>
      <c r="D139" s="2651" t="s">
        <v>2627</v>
      </c>
      <c r="E139" s="1086">
        <v>100</v>
      </c>
      <c r="F139" s="1087">
        <v>102.5</v>
      </c>
      <c r="G139" s="2651" t="s">
        <v>2627</v>
      </c>
      <c r="H139" s="1088">
        <v>105</v>
      </c>
      <c r="I139" s="2652" t="s">
        <v>2628</v>
      </c>
      <c r="J139" s="1085">
        <v>20</v>
      </c>
      <c r="K139" s="1089">
        <f>C145/(J139-2)</f>
        <v>4.0555555555555553E-3</v>
      </c>
    </row>
    <row r="140" spans="1:17" ht="15">
      <c r="B140" s="1090">
        <v>5</v>
      </c>
      <c r="C140" s="1091">
        <v>100</v>
      </c>
      <c r="D140" s="1091"/>
      <c r="E140" s="1092"/>
      <c r="F140" s="1093">
        <v>102</v>
      </c>
      <c r="G140" s="1091"/>
      <c r="H140" s="1094"/>
      <c r="I140" s="2653" t="s">
        <v>2629</v>
      </c>
      <c r="J140" s="315">
        <f>ROUNDUP((J139-1)/2,0)</f>
        <v>10</v>
      </c>
      <c r="K140" s="1095">
        <v>100</v>
      </c>
    </row>
    <row r="141" spans="1:17" ht="15">
      <c r="B141" s="1090">
        <v>4</v>
      </c>
      <c r="C141" s="1091">
        <v>102</v>
      </c>
      <c r="D141" s="1091"/>
      <c r="E141" s="1092"/>
      <c r="F141" s="1093">
        <v>101.5</v>
      </c>
      <c r="G141" s="1091"/>
      <c r="H141" s="1094"/>
      <c r="I141" s="2653" t="s">
        <v>2630</v>
      </c>
      <c r="J141" s="315">
        <v>1</v>
      </c>
      <c r="K141" s="1096">
        <f>ROUND(100+(J141-J140)*K139*100,1)</f>
        <v>96.4</v>
      </c>
    </row>
    <row r="142" spans="1:17" ht="15">
      <c r="B142" s="1090">
        <v>3</v>
      </c>
      <c r="C142" s="1091">
        <v>103</v>
      </c>
      <c r="D142" s="1091"/>
      <c r="E142" s="1092"/>
      <c r="F142" s="1093">
        <v>101</v>
      </c>
      <c r="G142" s="1091"/>
      <c r="H142" s="1094"/>
      <c r="I142" s="2653" t="s">
        <v>2631</v>
      </c>
      <c r="J142" s="315">
        <f>J139</f>
        <v>20</v>
      </c>
      <c r="K142" s="1097">
        <v>95</v>
      </c>
    </row>
    <row r="143" spans="1:17" ht="15">
      <c r="B143" s="1090">
        <v>2</v>
      </c>
      <c r="C143" s="1091">
        <v>100</v>
      </c>
      <c r="D143" s="1091"/>
      <c r="E143" s="1092"/>
      <c r="F143" s="1093">
        <v>100.5</v>
      </c>
      <c r="G143" s="1091"/>
      <c r="H143" s="1094"/>
      <c r="I143" s="2653" t="s">
        <v>2632</v>
      </c>
      <c r="J143" s="1091">
        <v>15</v>
      </c>
      <c r="K143" s="1096">
        <f>ROUND(100+(J143-J140)*K139*100,1)</f>
        <v>102</v>
      </c>
    </row>
    <row r="144" spans="1:17" ht="15">
      <c r="B144" s="1090">
        <v>1</v>
      </c>
      <c r="C144" s="1091">
        <v>98</v>
      </c>
      <c r="D144" s="2654" t="s">
        <v>2633</v>
      </c>
      <c r="E144" s="1092">
        <v>102</v>
      </c>
      <c r="F144" s="1098">
        <v>100</v>
      </c>
      <c r="G144" s="2654" t="s">
        <v>2633</v>
      </c>
      <c r="H144" s="1094">
        <v>105</v>
      </c>
      <c r="I144" s="2653" t="s">
        <v>2632</v>
      </c>
      <c r="J144" s="1091">
        <v>18</v>
      </c>
      <c r="K144" s="1096">
        <f>ROUND(100+(J144-J140)*K139*100,1)</f>
        <v>103.2</v>
      </c>
    </row>
    <row r="145" spans="2:11" ht="15.75" thickBot="1">
      <c r="B145" s="2655" t="s">
        <v>2634</v>
      </c>
      <c r="C145" s="1099">
        <f>ROUND(MAX(C139:C144)/MIN(C139:C144)-1,3)</f>
        <v>7.2999999999999995E-2</v>
      </c>
      <c r="D145" s="1100"/>
      <c r="E145" s="1100"/>
      <c r="F145" s="2656" t="s">
        <v>2635</v>
      </c>
      <c r="G145" s="2657"/>
      <c r="H145" s="2658"/>
      <c r="I145" s="2659" t="s">
        <v>2632</v>
      </c>
      <c r="J145" s="1101">
        <v>8</v>
      </c>
      <c r="K145" s="1102">
        <f>ROUND(100+(J145-J140)*K139*100,1)</f>
        <v>99.2</v>
      </c>
    </row>
    <row r="147" spans="2:11">
      <c r="B147" s="2640" t="s">
        <v>2636</v>
      </c>
    </row>
    <row r="148" spans="2:11">
      <c r="B148" s="2640"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5" t="s">
        <v>2638</v>
      </c>
      <c r="C1" s="1634" t="s">
        <v>2526</v>
      </c>
      <c r="D1" s="1621"/>
      <c r="E1" s="2660"/>
      <c r="F1" s="2587"/>
      <c r="G1" s="1631" t="s">
        <v>2639</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2323</v>
      </c>
      <c r="B2" s="1418" t="e">
        <f ca="1">IF(C2="——",ROUND(C49*D3/10000,0),ROUND(C49*D3/10000,0)-D2)</f>
        <v>#DIV/0!</v>
      </c>
      <c r="C2" s="2589"/>
      <c r="D2" s="1365" t="e">
        <f ca="1">SUMIF(INDIRECT("'"&amp;F2&amp;"'"&amp;"!A:A"),"承租人权益价值",INDIRECT("'"&amp;F2&amp;"'"&amp;"!c:c"))</f>
        <v>#REF!</v>
      </c>
      <c r="E2" s="2590" t="s">
        <v>2324</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2325</v>
      </c>
      <c r="B3" s="609" t="e">
        <f ca="1">IF(C2="——",C49,ROUND(B2*10000/D3,0))</f>
        <v>#DIV/0!</v>
      </c>
      <c r="C3" s="400" t="s">
        <v>2640</v>
      </c>
      <c r="D3" s="399">
        <f>IF(D1="",'数据-汇总表'!E3,SUMIF('数据-汇总表'!$C19:$C33,D1,'数据-汇总表'!$E19:$E33))</f>
        <v>1723.11</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2641</v>
      </c>
      <c r="B4" s="402"/>
      <c r="C4" s="3191" t="s">
        <v>2642</v>
      </c>
      <c r="D4" s="3192"/>
      <c r="E4" s="3193" t="s">
        <v>2643</v>
      </c>
      <c r="F4" s="3194"/>
      <c r="G4" s="3191" t="s">
        <v>2644</v>
      </c>
      <c r="H4" s="3192"/>
      <c r="I4" s="3191" t="s">
        <v>2645</v>
      </c>
      <c r="J4" s="3192"/>
      <c r="K4" s="610" t="s">
        <v>2646</v>
      </c>
      <c r="L4" s="1130"/>
      <c r="M4" s="1131"/>
      <c r="N4" s="1131"/>
      <c r="O4" s="1131"/>
      <c r="P4" s="3195" t="s">
        <v>2647</v>
      </c>
      <c r="Q4" s="3196"/>
      <c r="R4" s="3201" t="s">
        <v>2643</v>
      </c>
      <c r="S4" s="3202"/>
      <c r="T4" s="3201" t="s">
        <v>2644</v>
      </c>
      <c r="U4" s="3202"/>
      <c r="V4" s="3207" t="s">
        <v>2645</v>
      </c>
      <c r="W4" s="3207"/>
      <c r="X4" s="1813"/>
      <c r="Y4" s="3201" t="s">
        <v>2647</v>
      </c>
      <c r="Z4" s="3202"/>
      <c r="AA4" s="3188" t="s">
        <v>2643</v>
      </c>
      <c r="AB4" s="3207" t="s">
        <v>2644</v>
      </c>
      <c r="AC4" s="3188" t="s">
        <v>2645</v>
      </c>
    </row>
    <row r="5" spans="1:29" ht="15">
      <c r="A5" s="404"/>
      <c r="B5" s="405"/>
      <c r="C5" s="3210" t="s">
        <v>2538</v>
      </c>
      <c r="D5" s="3211"/>
      <c r="E5" s="3217" t="s">
        <v>2539</v>
      </c>
      <c r="F5" s="3218"/>
      <c r="G5" s="3210" t="s">
        <v>2540</v>
      </c>
      <c r="H5" s="3211"/>
      <c r="I5" s="3210" t="s">
        <v>2541</v>
      </c>
      <c r="J5" s="3211"/>
      <c r="K5" s="610"/>
      <c r="L5" s="1130"/>
      <c r="M5" s="1131"/>
      <c r="N5" s="1131"/>
      <c r="O5" s="1131"/>
      <c r="P5" s="3197"/>
      <c r="Q5" s="3198"/>
      <c r="R5" s="3203"/>
      <c r="S5" s="3204"/>
      <c r="T5" s="3203"/>
      <c r="U5" s="3204"/>
      <c r="V5" s="3207"/>
      <c r="W5" s="3207"/>
      <c r="X5" s="1813"/>
      <c r="Y5" s="3203"/>
      <c r="Z5" s="3204"/>
      <c r="AA5" s="3189"/>
      <c r="AB5" s="3207"/>
      <c r="AC5" s="3189"/>
    </row>
    <row r="6" spans="1:29" ht="15.75" thickBot="1">
      <c r="A6" s="406"/>
      <c r="B6" s="407"/>
      <c r="C6" s="3208" t="s">
        <v>2542</v>
      </c>
      <c r="D6" s="3209"/>
      <c r="E6" s="3215" t="s">
        <v>2542</v>
      </c>
      <c r="F6" s="3216"/>
      <c r="G6" s="3208" t="s">
        <v>2542</v>
      </c>
      <c r="H6" s="3209"/>
      <c r="I6" s="3208" t="s">
        <v>2542</v>
      </c>
      <c r="J6" s="3209"/>
      <c r="K6" s="610" t="s">
        <v>2543</v>
      </c>
      <c r="L6" s="1130"/>
      <c r="M6" s="1131"/>
      <c r="N6" s="1131"/>
      <c r="O6" s="1131"/>
      <c r="P6" s="3199"/>
      <c r="Q6" s="3200"/>
      <c r="R6" s="3203"/>
      <c r="S6" s="3204"/>
      <c r="T6" s="3205"/>
      <c r="U6" s="3206"/>
      <c r="V6" s="3207"/>
      <c r="W6" s="3207"/>
      <c r="X6" s="1813"/>
      <c r="Y6" s="3205"/>
      <c r="Z6" s="3206"/>
      <c r="AA6" s="3190"/>
      <c r="AB6" s="3207"/>
      <c r="AC6" s="3190"/>
    </row>
    <row r="7" spans="1:29" s="117" customFormat="1" ht="15.75" thickBot="1">
      <c r="A7" s="408" t="s">
        <v>2544</v>
      </c>
      <c r="B7" s="409"/>
      <c r="C7" s="410">
        <f>'数据-取费表'!B2</f>
        <v>43728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2" t="s">
        <v>2545</v>
      </c>
      <c r="Q7" s="3214"/>
      <c r="R7" s="770" t="s">
        <v>17</v>
      </c>
      <c r="S7" s="771">
        <f t="shared" ref="S7:S15" si="0">F7</f>
        <v>0</v>
      </c>
      <c r="T7" s="770" t="s">
        <v>17</v>
      </c>
      <c r="U7" s="771">
        <f t="shared" ref="U7:U15" si="1">H7</f>
        <v>0</v>
      </c>
      <c r="V7" s="770" t="s">
        <v>17</v>
      </c>
      <c r="W7" s="771">
        <f t="shared" ref="W7:W15" si="2">J7</f>
        <v>0</v>
      </c>
      <c r="X7" s="772"/>
      <c r="Y7" s="3212" t="s">
        <v>2545</v>
      </c>
      <c r="Z7" s="3213"/>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2" t="s">
        <v>2548</v>
      </c>
      <c r="Q8" s="3213"/>
      <c r="R8" s="770" t="s">
        <v>17</v>
      </c>
      <c r="S8" s="771">
        <f t="shared" si="0"/>
        <v>0</v>
      </c>
      <c r="T8" s="770" t="s">
        <v>17</v>
      </c>
      <c r="U8" s="771">
        <f t="shared" si="1"/>
        <v>0</v>
      </c>
      <c r="V8" s="770" t="s">
        <v>17</v>
      </c>
      <c r="W8" s="771">
        <f t="shared" si="2"/>
        <v>0</v>
      </c>
      <c r="X8" s="772"/>
      <c r="Y8" s="3212" t="s">
        <v>2548</v>
      </c>
      <c r="Z8" s="3213"/>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7" t="s">
        <v>2551</v>
      </c>
      <c r="Q9" s="1795" t="str">
        <f t="shared" ref="Q9:Q15" si="6">B9</f>
        <v>用途</v>
      </c>
      <c r="R9" s="770" t="s">
        <v>17</v>
      </c>
      <c r="S9" s="771">
        <f t="shared" si="0"/>
        <v>100</v>
      </c>
      <c r="T9" s="770" t="s">
        <v>17</v>
      </c>
      <c r="U9" s="771">
        <f t="shared" si="1"/>
        <v>100</v>
      </c>
      <c r="V9" s="770" t="s">
        <v>17</v>
      </c>
      <c r="W9" s="771">
        <f t="shared" si="2"/>
        <v>100</v>
      </c>
      <c r="X9" s="772"/>
      <c r="Y9" s="3001"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7"/>
      <c r="Q10" s="1795"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7"/>
      <c r="Q11" s="1795"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7"/>
      <c r="Q12" s="1795">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7"/>
      <c r="Q13" s="1795">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7"/>
      <c r="Q14" s="1795">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71.25">
      <c r="A15" s="440" t="s">
        <v>2555</v>
      </c>
      <c r="B15" s="69" t="s">
        <v>2649</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5" t="s">
        <v>2556</v>
      </c>
      <c r="Q15" s="1810" t="str">
        <f t="shared" si="6"/>
        <v>商业繁华度</v>
      </c>
      <c r="R15" s="774" t="s">
        <v>17</v>
      </c>
      <c r="S15" s="775">
        <f t="shared" si="0"/>
        <v>100</v>
      </c>
      <c r="T15" s="774" t="s">
        <v>17</v>
      </c>
      <c r="U15" s="775">
        <f t="shared" si="1"/>
        <v>100</v>
      </c>
      <c r="V15" s="774" t="s">
        <v>17</v>
      </c>
      <c r="W15" s="775">
        <f t="shared" si="2"/>
        <v>100</v>
      </c>
      <c r="X15" s="1813"/>
      <c r="Y15" s="3178" t="s">
        <v>2556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6"/>
      <c r="Q16" s="1810"/>
      <c r="R16" s="774"/>
      <c r="S16" s="775"/>
      <c r="T16" s="774"/>
      <c r="U16" s="775"/>
      <c r="V16" s="774"/>
      <c r="W16" s="775"/>
      <c r="X16" s="1813"/>
      <c r="Y16" s="3179"/>
      <c r="Z16" s="1814"/>
      <c r="AA16" s="1811">
        <v>1</v>
      </c>
      <c r="AB16" s="1811">
        <v>1</v>
      </c>
      <c r="AC16" s="1811">
        <v>1</v>
      </c>
    </row>
    <row r="17" spans="1:29" ht="85.5">
      <c r="A17" s="428"/>
      <c r="B17" s="451" t="s">
        <v>2091</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6"/>
      <c r="Q17" s="1810" t="str">
        <f>B17</f>
        <v>交通便捷度</v>
      </c>
      <c r="R17" s="774" t="s">
        <v>17</v>
      </c>
      <c r="S17" s="775">
        <f>F17</f>
        <v>100</v>
      </c>
      <c r="T17" s="774" t="s">
        <v>17</v>
      </c>
      <c r="U17" s="775">
        <f>H17</f>
        <v>100</v>
      </c>
      <c r="V17" s="774" t="s">
        <v>17</v>
      </c>
      <c r="W17" s="775">
        <f>J17</f>
        <v>100</v>
      </c>
      <c r="X17" s="1813"/>
      <c r="Y17" s="3179"/>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186"/>
      <c r="Q18" s="1810"/>
      <c r="R18" s="774"/>
      <c r="S18" s="775"/>
      <c r="T18" s="774"/>
      <c r="U18" s="775"/>
      <c r="V18" s="774"/>
      <c r="W18" s="775"/>
      <c r="X18" s="1813"/>
      <c r="Y18" s="3179"/>
      <c r="Z18" s="1814"/>
      <c r="AA18" s="1811">
        <v>1</v>
      </c>
      <c r="AB18" s="1811">
        <v>1</v>
      </c>
      <c r="AC18" s="1811">
        <v>1</v>
      </c>
    </row>
    <row r="19" spans="1:29" ht="42.75">
      <c r="A19" s="428"/>
      <c r="B19" s="451" t="s">
        <v>2650</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6"/>
      <c r="Q19" s="1810" t="str">
        <f>B19</f>
        <v>公共配套设施</v>
      </c>
      <c r="R19" s="774" t="s">
        <v>17</v>
      </c>
      <c r="S19" s="775">
        <f>F19</f>
        <v>100</v>
      </c>
      <c r="T19" s="774" t="s">
        <v>17</v>
      </c>
      <c r="U19" s="775">
        <f>H19</f>
        <v>100</v>
      </c>
      <c r="V19" s="774" t="s">
        <v>17</v>
      </c>
      <c r="W19" s="775">
        <f>J19</f>
        <v>100</v>
      </c>
      <c r="X19" s="1813"/>
      <c r="Y19" s="3179"/>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186"/>
      <c r="Q20" s="1810"/>
      <c r="R20" s="774"/>
      <c r="S20" s="775"/>
      <c r="T20" s="774"/>
      <c r="U20" s="775"/>
      <c r="V20" s="774"/>
      <c r="W20" s="775"/>
      <c r="X20" s="1813"/>
      <c r="Y20" s="3179"/>
      <c r="Z20" s="1814"/>
      <c r="AA20" s="1811">
        <v>1</v>
      </c>
      <c r="AB20" s="1811">
        <v>1</v>
      </c>
      <c r="AC20" s="1811">
        <v>1</v>
      </c>
    </row>
    <row r="21" spans="1:29" ht="28.5">
      <c r="A21" s="428"/>
      <c r="B21" s="1384" t="s">
        <v>2651</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6"/>
      <c r="Q21" s="1810" t="str">
        <f>B21</f>
        <v>基础设施水平</v>
      </c>
      <c r="R21" s="774" t="s">
        <v>17</v>
      </c>
      <c r="S21" s="775">
        <f>F21</f>
        <v>100</v>
      </c>
      <c r="T21" s="774" t="s">
        <v>17</v>
      </c>
      <c r="U21" s="775">
        <f>H21</f>
        <v>100</v>
      </c>
      <c r="V21" s="774" t="s">
        <v>17</v>
      </c>
      <c r="W21" s="775">
        <f>J21</f>
        <v>100</v>
      </c>
      <c r="X21" s="1813"/>
      <c r="Y21" s="3179"/>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186"/>
      <c r="Q22" s="1810"/>
      <c r="R22" s="774"/>
      <c r="S22" s="775"/>
      <c r="T22" s="774"/>
      <c r="U22" s="775"/>
      <c r="V22" s="774"/>
      <c r="W22" s="775"/>
      <c r="X22" s="1813"/>
      <c r="Y22" s="3179"/>
      <c r="Z22" s="1814"/>
      <c r="AA22" s="1811">
        <v>1</v>
      </c>
      <c r="AB22" s="1811">
        <v>1</v>
      </c>
      <c r="AC22" s="1811">
        <v>1</v>
      </c>
    </row>
    <row r="23" spans="1:29" ht="57">
      <c r="A23" s="428"/>
      <c r="B23" s="451" t="s">
        <v>2096</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6"/>
      <c r="Q23" s="1810" t="str">
        <f>B23</f>
        <v>自然及人文环境</v>
      </c>
      <c r="R23" s="774" t="s">
        <v>17</v>
      </c>
      <c r="S23" s="775">
        <f>F23</f>
        <v>100</v>
      </c>
      <c r="T23" s="774" t="s">
        <v>17</v>
      </c>
      <c r="U23" s="775">
        <f>H23</f>
        <v>100</v>
      </c>
      <c r="V23" s="774" t="s">
        <v>17</v>
      </c>
      <c r="W23" s="775">
        <f>J23</f>
        <v>100</v>
      </c>
      <c r="X23" s="1813"/>
      <c r="Y23" s="3179"/>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186"/>
      <c r="Q24" s="1810"/>
      <c r="R24" s="774"/>
      <c r="S24" s="775"/>
      <c r="T24" s="774"/>
      <c r="U24" s="775"/>
      <c r="V24" s="774"/>
      <c r="W24" s="775"/>
      <c r="X24" s="1813"/>
      <c r="Y24" s="3179"/>
      <c r="Z24" s="1814"/>
      <c r="AA24" s="1811">
        <v>1</v>
      </c>
      <c r="AB24" s="1811">
        <v>1</v>
      </c>
      <c r="AC24" s="1811">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6"/>
      <c r="Q25" s="1810" t="str">
        <f t="shared" ref="Q25:Q46" si="11">B25</f>
        <v>临街状况</v>
      </c>
      <c r="R25" s="774" t="s">
        <v>17</v>
      </c>
      <c r="S25" s="775">
        <f>F25</f>
        <v>100</v>
      </c>
      <c r="T25" s="774" t="s">
        <v>17</v>
      </c>
      <c r="U25" s="775">
        <f>H25</f>
        <v>100</v>
      </c>
      <c r="V25" s="774" t="s">
        <v>17</v>
      </c>
      <c r="W25" s="775">
        <f>J25</f>
        <v>100</v>
      </c>
      <c r="X25" s="1813"/>
      <c r="Y25" s="3179"/>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6"/>
      <c r="Q26" s="1810" t="str">
        <f t="shared" si="11"/>
        <v>平面位置/可视性</v>
      </c>
      <c r="R26" s="774" t="s">
        <v>17</v>
      </c>
      <c r="S26" s="775">
        <f>F26</f>
        <v>100</v>
      </c>
      <c r="T26" s="774" t="s">
        <v>17</v>
      </c>
      <c r="U26" s="775">
        <f>H26</f>
        <v>100</v>
      </c>
      <c r="V26" s="774" t="s">
        <v>17</v>
      </c>
      <c r="W26" s="775">
        <f>J26</f>
        <v>100</v>
      </c>
      <c r="X26" s="1813"/>
      <c r="Y26" s="3179"/>
      <c r="Z26" s="1814" t="str">
        <f>Q26</f>
        <v>平面位置/可视性</v>
      </c>
      <c r="AA26" s="1811">
        <f t="shared" si="3"/>
        <v>1</v>
      </c>
      <c r="AB26" s="1811">
        <f t="shared" si="4"/>
        <v>1</v>
      </c>
      <c r="AC26" s="1811">
        <f t="shared" si="5"/>
        <v>1</v>
      </c>
    </row>
    <row r="27" spans="1:29" s="117" customFormat="1" ht="15">
      <c r="A27" s="431"/>
      <c r="B27" s="451" t="s">
        <v>2654</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186"/>
      <c r="Q27" s="1795" t="str">
        <f t="shared" si="11"/>
        <v>人流量</v>
      </c>
      <c r="R27" s="770" t="s">
        <v>17</v>
      </c>
      <c r="S27" s="771">
        <f>F27</f>
        <v>100</v>
      </c>
      <c r="T27" s="770" t="s">
        <v>17</v>
      </c>
      <c r="U27" s="771">
        <f>H27</f>
        <v>100</v>
      </c>
      <c r="V27" s="770" t="s">
        <v>17</v>
      </c>
      <c r="W27" s="771">
        <f>J27</f>
        <v>100</v>
      </c>
      <c r="X27" s="772"/>
      <c r="Y27" s="3179"/>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9"/>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6"/>
      <c r="Q29" s="1810">
        <f t="shared" si="11"/>
        <v>111</v>
      </c>
      <c r="R29" s="774" t="s">
        <v>17</v>
      </c>
      <c r="S29" s="775">
        <f t="shared" si="12"/>
        <v>100</v>
      </c>
      <c r="T29" s="774" t="s">
        <v>17</v>
      </c>
      <c r="U29" s="775">
        <f t="shared" si="13"/>
        <v>100</v>
      </c>
      <c r="V29" s="774" t="s">
        <v>17</v>
      </c>
      <c r="W29" s="775">
        <f t="shared" si="14"/>
        <v>100</v>
      </c>
      <c r="X29" s="1813"/>
      <c r="Y29" s="3179"/>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6"/>
      <c r="Q30" s="1810">
        <f t="shared" si="11"/>
        <v>111</v>
      </c>
      <c r="R30" s="774" t="s">
        <v>17</v>
      </c>
      <c r="S30" s="775">
        <f t="shared" si="12"/>
        <v>100</v>
      </c>
      <c r="T30" s="774" t="s">
        <v>17</v>
      </c>
      <c r="U30" s="775">
        <f t="shared" si="13"/>
        <v>100</v>
      </c>
      <c r="V30" s="774" t="s">
        <v>17</v>
      </c>
      <c r="W30" s="775">
        <f t="shared" si="14"/>
        <v>100</v>
      </c>
      <c r="X30" s="1813"/>
      <c r="Y30" s="3179"/>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6"/>
      <c r="Q31" s="1810">
        <f t="shared" si="11"/>
        <v>111</v>
      </c>
      <c r="R31" s="774" t="s">
        <v>17</v>
      </c>
      <c r="S31" s="775">
        <f t="shared" si="12"/>
        <v>100</v>
      </c>
      <c r="T31" s="774" t="s">
        <v>17</v>
      </c>
      <c r="U31" s="775">
        <f t="shared" si="13"/>
        <v>100</v>
      </c>
      <c r="V31" s="774" t="s">
        <v>17</v>
      </c>
      <c r="W31" s="775">
        <f t="shared" si="14"/>
        <v>100</v>
      </c>
      <c r="X31" s="1813"/>
      <c r="Y31" s="3179"/>
      <c r="Z31" s="1814">
        <f t="shared" si="15"/>
        <v>111</v>
      </c>
      <c r="AA31" s="1811">
        <f t="shared" si="3"/>
        <v>1</v>
      </c>
      <c r="AB31" s="1811">
        <f t="shared" si="4"/>
        <v>1</v>
      </c>
      <c r="AC31" s="1811">
        <f t="shared" si="5"/>
        <v>1</v>
      </c>
    </row>
    <row r="32" spans="1:29" ht="15">
      <c r="A32" s="440" t="s">
        <v>2559</v>
      </c>
      <c r="B32" s="71" t="s">
        <v>2656</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180" t="s">
        <v>2561</v>
      </c>
      <c r="Q32" s="1810" t="str">
        <f t="shared" si="11"/>
        <v>商业类型</v>
      </c>
      <c r="R32" s="774" t="s">
        <v>17</v>
      </c>
      <c r="S32" s="775">
        <f t="shared" si="12"/>
        <v>100</v>
      </c>
      <c r="T32" s="774" t="s">
        <v>17</v>
      </c>
      <c r="U32" s="775">
        <f t="shared" si="13"/>
        <v>100</v>
      </c>
      <c r="V32" s="774" t="s">
        <v>17</v>
      </c>
      <c r="W32" s="775">
        <f t="shared" si="14"/>
        <v>100</v>
      </c>
      <c r="X32" s="1813"/>
      <c r="Y32" s="3183" t="s">
        <v>2561</v>
      </c>
      <c r="Z32" s="1814" t="str">
        <f t="shared" si="15"/>
        <v>商业类型</v>
      </c>
      <c r="AA32" s="1811">
        <f t="shared" si="3"/>
        <v>1</v>
      </c>
      <c r="AB32" s="1811">
        <f t="shared" si="4"/>
        <v>1</v>
      </c>
      <c r="AC32" s="1811">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1"/>
      <c r="Q33" s="776" t="str">
        <f t="shared" si="11"/>
        <v>项目建筑规模</v>
      </c>
      <c r="R33" s="777" t="s">
        <v>17</v>
      </c>
      <c r="S33" s="778" t="e">
        <f t="shared" si="12"/>
        <v>#N/A</v>
      </c>
      <c r="T33" s="777" t="s">
        <v>17</v>
      </c>
      <c r="U33" s="778" t="e">
        <f t="shared" si="13"/>
        <v>#N/A</v>
      </c>
      <c r="V33" s="777" t="s">
        <v>17</v>
      </c>
      <c r="W33" s="778" t="e">
        <f t="shared" si="14"/>
        <v>#N/A</v>
      </c>
      <c r="X33" s="779"/>
      <c r="Y33" s="3183"/>
      <c r="Z33" s="780" t="str">
        <f t="shared" si="15"/>
        <v>项目建筑规模</v>
      </c>
      <c r="AA33" s="1811" t="e">
        <f t="shared" si="3"/>
        <v>#N/A</v>
      </c>
      <c r="AB33" s="1811" t="e">
        <f t="shared" si="4"/>
        <v>#N/A</v>
      </c>
      <c r="AC33" s="1811" t="e">
        <f t="shared" si="5"/>
        <v>#N/A</v>
      </c>
    </row>
    <row r="34" spans="1:29" ht="15">
      <c r="A34" s="472"/>
      <c r="B34" s="422" t="s">
        <v>2563</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181"/>
      <c r="Q34" s="1810" t="str">
        <f t="shared" si="11"/>
        <v>建筑结构</v>
      </c>
      <c r="R34" s="774" t="s">
        <v>17</v>
      </c>
      <c r="S34" s="775">
        <f t="shared" si="12"/>
        <v>100</v>
      </c>
      <c r="T34" s="774" t="s">
        <v>17</v>
      </c>
      <c r="U34" s="775">
        <f t="shared" si="13"/>
        <v>100</v>
      </c>
      <c r="V34" s="774" t="s">
        <v>17</v>
      </c>
      <c r="W34" s="775">
        <f t="shared" si="14"/>
        <v>100</v>
      </c>
      <c r="X34" s="1813"/>
      <c r="Y34" s="3183"/>
      <c r="Z34" s="1814" t="str">
        <f t="shared" si="15"/>
        <v>建筑结构</v>
      </c>
      <c r="AA34" s="1811">
        <f t="shared" si="3"/>
        <v>1</v>
      </c>
      <c r="AB34" s="1811">
        <f t="shared" si="4"/>
        <v>1</v>
      </c>
      <c r="AC34" s="1811">
        <f t="shared" si="5"/>
        <v>1</v>
      </c>
    </row>
    <row r="35" spans="1:29" ht="15">
      <c r="A35" s="472"/>
      <c r="B35" s="422" t="s">
        <v>2657</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181"/>
      <c r="Q35" s="1810" t="str">
        <f t="shared" si="11"/>
        <v>公共部分装修</v>
      </c>
      <c r="R35" s="774" t="s">
        <v>17</v>
      </c>
      <c r="S35" s="775">
        <f t="shared" si="12"/>
        <v>100</v>
      </c>
      <c r="T35" s="774" t="s">
        <v>17</v>
      </c>
      <c r="U35" s="775">
        <f t="shared" si="13"/>
        <v>100</v>
      </c>
      <c r="V35" s="774" t="s">
        <v>17</v>
      </c>
      <c r="W35" s="775">
        <f t="shared" si="14"/>
        <v>100</v>
      </c>
      <c r="X35" s="1813"/>
      <c r="Y35" s="3183"/>
      <c r="Z35" s="1814" t="str">
        <f t="shared" si="15"/>
        <v>公共部分装修</v>
      </c>
      <c r="AA35" s="1811">
        <f t="shared" si="3"/>
        <v>1</v>
      </c>
      <c r="AB35" s="1811">
        <f t="shared" si="4"/>
        <v>1</v>
      </c>
      <c r="AC35" s="1811">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1"/>
      <c r="Q36" s="1810" t="str">
        <f t="shared" si="11"/>
        <v>成新度</v>
      </c>
      <c r="R36" s="774" t="s">
        <v>17</v>
      </c>
      <c r="S36" s="775" t="e">
        <f t="shared" si="12"/>
        <v>#N/A</v>
      </c>
      <c r="T36" s="774" t="s">
        <v>17</v>
      </c>
      <c r="U36" s="775" t="e">
        <f t="shared" si="13"/>
        <v>#N/A</v>
      </c>
      <c r="V36" s="774" t="s">
        <v>17</v>
      </c>
      <c r="W36" s="775" t="e">
        <f t="shared" si="14"/>
        <v>#N/A</v>
      </c>
      <c r="X36" s="1813"/>
      <c r="Y36" s="3183"/>
      <c r="Z36" s="1814" t="str">
        <f t="shared" si="15"/>
        <v>成新度</v>
      </c>
      <c r="AA36" s="1811" t="e">
        <f t="shared" si="3"/>
        <v>#N/A</v>
      </c>
      <c r="AB36" s="1811" t="e">
        <f t="shared" si="4"/>
        <v>#N/A</v>
      </c>
      <c r="AC36" s="1811" t="e">
        <f t="shared" si="5"/>
        <v>#N/A</v>
      </c>
    </row>
    <row r="37" spans="1:29" s="117" customFormat="1" ht="15">
      <c r="A37" s="473"/>
      <c r="B37" s="422" t="s">
        <v>2659</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181"/>
      <c r="Q37" s="1795" t="str">
        <f t="shared" si="11"/>
        <v>市政基础设施</v>
      </c>
      <c r="R37" s="770" t="s">
        <v>17</v>
      </c>
      <c r="S37" s="771">
        <f t="shared" si="12"/>
        <v>100</v>
      </c>
      <c r="T37" s="770" t="s">
        <v>17</v>
      </c>
      <c r="U37" s="771">
        <f t="shared" si="13"/>
        <v>100</v>
      </c>
      <c r="V37" s="770" t="s">
        <v>17</v>
      </c>
      <c r="W37" s="771">
        <f t="shared" si="14"/>
        <v>100</v>
      </c>
      <c r="X37" s="772"/>
      <c r="Y37" s="3183"/>
      <c r="Z37" s="55" t="str">
        <f t="shared" si="15"/>
        <v>市政基础设施</v>
      </c>
      <c r="AA37" s="773">
        <f t="shared" si="3"/>
        <v>1</v>
      </c>
      <c r="AB37" s="773">
        <f t="shared" si="4"/>
        <v>1</v>
      </c>
      <c r="AC37" s="773">
        <f t="shared" si="5"/>
        <v>1</v>
      </c>
    </row>
    <row r="38" spans="1:29" ht="15">
      <c r="A38" s="472"/>
      <c r="B38" s="422" t="s">
        <v>2660</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181" t="s">
        <v>2561</v>
      </c>
      <c r="Q38" s="1810" t="str">
        <f t="shared" si="11"/>
        <v>业态</v>
      </c>
      <c r="R38" s="774" t="s">
        <v>17</v>
      </c>
      <c r="S38" s="775">
        <f t="shared" si="12"/>
        <v>100</v>
      </c>
      <c r="T38" s="774" t="s">
        <v>17</v>
      </c>
      <c r="U38" s="775">
        <f t="shared" si="13"/>
        <v>100</v>
      </c>
      <c r="V38" s="774" t="s">
        <v>17</v>
      </c>
      <c r="W38" s="775">
        <f t="shared" si="14"/>
        <v>100</v>
      </c>
      <c r="X38" s="1813"/>
      <c r="Y38" s="3183" t="s">
        <v>2561</v>
      </c>
      <c r="Z38" s="1814" t="str">
        <f t="shared" si="15"/>
        <v>业态</v>
      </c>
      <c r="AA38" s="1811">
        <f t="shared" si="3"/>
        <v>1</v>
      </c>
      <c r="AB38" s="1811">
        <f t="shared" si="4"/>
        <v>1</v>
      </c>
      <c r="AC38" s="1811">
        <f t="shared" si="5"/>
        <v>1</v>
      </c>
    </row>
    <row r="39" spans="1:29" ht="15">
      <c r="A39" s="472"/>
      <c r="B39" s="422" t="s">
        <v>2661</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181"/>
      <c r="Q39" s="1810" t="str">
        <f t="shared" si="11"/>
        <v>层高</v>
      </c>
      <c r="R39" s="774" t="s">
        <v>17</v>
      </c>
      <c r="S39" s="775">
        <f t="shared" si="12"/>
        <v>100</v>
      </c>
      <c r="T39" s="774" t="s">
        <v>17</v>
      </c>
      <c r="U39" s="775">
        <f t="shared" si="13"/>
        <v>100</v>
      </c>
      <c r="V39" s="774" t="s">
        <v>17</v>
      </c>
      <c r="W39" s="775">
        <f t="shared" si="14"/>
        <v>100</v>
      </c>
      <c r="X39" s="1813"/>
      <c r="Y39" s="3183"/>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1"/>
      <c r="Q40" s="1810" t="str">
        <f t="shared" si="11"/>
        <v>单套建筑面积</v>
      </c>
      <c r="R40" s="774" t="s">
        <v>17</v>
      </c>
      <c r="S40" s="775">
        <f t="shared" si="12"/>
        <v>100</v>
      </c>
      <c r="T40" s="774" t="s">
        <v>17</v>
      </c>
      <c r="U40" s="775">
        <f t="shared" si="13"/>
        <v>100</v>
      </c>
      <c r="V40" s="774" t="s">
        <v>17</v>
      </c>
      <c r="W40" s="775">
        <f t="shared" si="14"/>
        <v>100</v>
      </c>
      <c r="X40" s="1813"/>
      <c r="Y40" s="3183"/>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1"/>
      <c r="Q41" s="776" t="str">
        <f t="shared" si="11"/>
        <v>进深比</v>
      </c>
      <c r="R41" s="777" t="s">
        <v>17</v>
      </c>
      <c r="S41" s="778">
        <f t="shared" si="12"/>
        <v>100</v>
      </c>
      <c r="T41" s="777" t="s">
        <v>17</v>
      </c>
      <c r="U41" s="778">
        <f t="shared" si="13"/>
        <v>100</v>
      </c>
      <c r="V41" s="777" t="s">
        <v>17</v>
      </c>
      <c r="W41" s="778">
        <f t="shared" si="14"/>
        <v>100</v>
      </c>
      <c r="X41" s="779"/>
      <c r="Y41" s="3183"/>
      <c r="Z41" s="780" t="str">
        <f t="shared" si="15"/>
        <v>进深比</v>
      </c>
      <c r="AA41" s="1811">
        <f t="shared" si="3"/>
        <v>1</v>
      </c>
      <c r="AB41" s="1811">
        <f t="shared" si="4"/>
        <v>1</v>
      </c>
      <c r="AC41" s="1811">
        <f t="shared" si="5"/>
        <v>1</v>
      </c>
    </row>
    <row r="42" spans="1:29" ht="15">
      <c r="A42" s="472"/>
      <c r="B42" s="422" t="s">
        <v>2664</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181"/>
      <c r="Q42" s="1810" t="str">
        <f t="shared" si="11"/>
        <v>内部装修</v>
      </c>
      <c r="R42" s="774" t="s">
        <v>17</v>
      </c>
      <c r="S42" s="775">
        <f t="shared" si="12"/>
        <v>100</v>
      </c>
      <c r="T42" s="774" t="s">
        <v>17</v>
      </c>
      <c r="U42" s="775">
        <f t="shared" si="13"/>
        <v>100</v>
      </c>
      <c r="V42" s="774" t="s">
        <v>17</v>
      </c>
      <c r="W42" s="775">
        <f t="shared" si="14"/>
        <v>100</v>
      </c>
      <c r="X42" s="1813"/>
      <c r="Y42" s="3183"/>
      <c r="Z42" s="1814" t="str">
        <f t="shared" si="15"/>
        <v>内部装修</v>
      </c>
      <c r="AA42" s="1811">
        <f t="shared" si="3"/>
        <v>1</v>
      </c>
      <c r="AB42" s="1811">
        <f t="shared" si="4"/>
        <v>1</v>
      </c>
      <c r="AC42" s="1811">
        <f t="shared" si="5"/>
        <v>1</v>
      </c>
    </row>
    <row r="43" spans="1:29" ht="15">
      <c r="A43" s="472"/>
      <c r="B43" s="422" t="s">
        <v>2572</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181"/>
      <c r="Q43" s="1810" t="str">
        <f t="shared" si="11"/>
        <v>内部装修维护情况</v>
      </c>
      <c r="R43" s="774" t="s">
        <v>17</v>
      </c>
      <c r="S43" s="775">
        <f t="shared" si="12"/>
        <v>100</v>
      </c>
      <c r="T43" s="774" t="s">
        <v>17</v>
      </c>
      <c r="U43" s="775">
        <f t="shared" si="13"/>
        <v>100</v>
      </c>
      <c r="V43" s="774" t="s">
        <v>17</v>
      </c>
      <c r="W43" s="775">
        <f t="shared" si="14"/>
        <v>100</v>
      </c>
      <c r="X43" s="1813"/>
      <c r="Y43" s="318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1"/>
      <c r="Q44" s="1795">
        <f t="shared" si="11"/>
        <v>111</v>
      </c>
      <c r="R44" s="770" t="s">
        <v>17</v>
      </c>
      <c r="S44" s="771">
        <f t="shared" si="12"/>
        <v>100</v>
      </c>
      <c r="T44" s="770" t="s">
        <v>17</v>
      </c>
      <c r="U44" s="771">
        <f t="shared" si="13"/>
        <v>100</v>
      </c>
      <c r="V44" s="770" t="s">
        <v>17</v>
      </c>
      <c r="W44" s="771">
        <f t="shared" si="14"/>
        <v>100</v>
      </c>
      <c r="X44" s="772"/>
      <c r="Y44" s="318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1"/>
      <c r="Q45" s="1810">
        <f t="shared" si="11"/>
        <v>111</v>
      </c>
      <c r="R45" s="774" t="s">
        <v>17</v>
      </c>
      <c r="S45" s="775">
        <f t="shared" si="12"/>
        <v>100</v>
      </c>
      <c r="T45" s="774" t="s">
        <v>17</v>
      </c>
      <c r="U45" s="775">
        <f t="shared" si="13"/>
        <v>100</v>
      </c>
      <c r="V45" s="774" t="s">
        <v>17</v>
      </c>
      <c r="W45" s="775">
        <f t="shared" si="14"/>
        <v>100</v>
      </c>
      <c r="X45" s="1813"/>
      <c r="Y45" s="3183"/>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2"/>
      <c r="Q46" s="1810">
        <f t="shared" si="11"/>
        <v>111</v>
      </c>
      <c r="R46" s="774" t="s">
        <v>17</v>
      </c>
      <c r="S46" s="775">
        <f t="shared" si="12"/>
        <v>100</v>
      </c>
      <c r="T46" s="774" t="s">
        <v>17</v>
      </c>
      <c r="U46" s="775">
        <f t="shared" si="13"/>
        <v>100</v>
      </c>
      <c r="V46" s="774" t="s">
        <v>17</v>
      </c>
      <c r="W46" s="775">
        <f t="shared" si="14"/>
        <v>100</v>
      </c>
      <c r="X46" s="1813"/>
      <c r="Y46" s="3184"/>
      <c r="Z46" s="1814">
        <f t="shared" si="15"/>
        <v>111</v>
      </c>
      <c r="AA46" s="1811">
        <f t="shared" si="3"/>
        <v>1</v>
      </c>
      <c r="AB46" s="1811">
        <f t="shared" si="4"/>
        <v>1</v>
      </c>
      <c r="AC46" s="1811">
        <f t="shared" si="5"/>
        <v>1</v>
      </c>
    </row>
    <row r="47" spans="1:29" ht="15">
      <c r="A47" s="479" t="s">
        <v>2573</v>
      </c>
      <c r="B47" s="480"/>
      <c r="C47" s="1407" t="s">
        <v>1</v>
      </c>
      <c r="D47" s="1408"/>
      <c r="E47" s="1409"/>
      <c r="F47" s="1410"/>
      <c r="G47" s="1411"/>
      <c r="H47" s="1412"/>
      <c r="I47" s="1409"/>
      <c r="J47" s="1412"/>
      <c r="K47" s="783"/>
      <c r="L47" s="1143"/>
      <c r="M47" s="1144"/>
      <c r="N47" s="1131"/>
      <c r="O47" s="1144"/>
      <c r="P47" s="3176" t="str">
        <f>A47</f>
        <v>成交单价（元/平方米）</v>
      </c>
      <c r="Q47" s="3176"/>
      <c r="R47" s="3207">
        <f>E47</f>
        <v>0</v>
      </c>
      <c r="S47" s="3207"/>
      <c r="T47" s="3207">
        <f>G47</f>
        <v>0</v>
      </c>
      <c r="U47" s="3207"/>
      <c r="V47" s="3207">
        <f>I47</f>
        <v>0</v>
      </c>
      <c r="W47" s="3207"/>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176" t="str">
        <f>A48</f>
        <v>比较价值（元/平方米）</v>
      </c>
      <c r="Q48" s="3176"/>
      <c r="R48" s="3177" t="e">
        <f>IF(F1="售价",ROUND(PRODUCT(R47,AA7:AA46),0),ROUND(PRODUCT(R47,AA7:AA46),1))</f>
        <v>#DIV/0!</v>
      </c>
      <c r="S48" s="3177"/>
      <c r="T48" s="3177" t="e">
        <f>IF(F1="售价",ROUND(PRODUCT(T47,AB7:AB46),0),ROUND(PRODUCT(T47,AB7:AB46),1))</f>
        <v>#DIV/0!</v>
      </c>
      <c r="U48" s="3177"/>
      <c r="V48" s="3177" t="e">
        <f>IF(F1="售价",ROUND(PRODUCT(V47,AC7:AC46),0),ROUND(PRODUCT(V47,AC7:AC46),1))</f>
        <v>#DIV/0!</v>
      </c>
      <c r="W48" s="3177"/>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173" t="str">
        <f>A49</f>
        <v>估价对象XX用房的比较价值（楼面单价，元/平方米）</v>
      </c>
      <c r="Q49" s="3174"/>
      <c r="R49" s="3175" t="e">
        <f>IF(F1="售价",ROUND(AVERAGE(R48:V48),0),ROUND(AVERAGE(R48:V48),1))</f>
        <v>#DIV/0!</v>
      </c>
      <c r="S49" s="3175"/>
      <c r="T49" s="3175"/>
      <c r="U49" s="3175"/>
      <c r="V49" s="3175"/>
      <c r="W49" s="317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2544</v>
      </c>
      <c r="B58" s="506"/>
      <c r="C58" s="1574" t="str">
        <f>YEAR(C7)&amp;"-"&amp;MONTH(C7)</f>
        <v>2019-9</v>
      </c>
      <c r="D58" s="1575">
        <f>EDATE(C58,-1)</f>
        <v>43678</v>
      </c>
      <c r="E58" s="1575">
        <f t="shared" ref="E58:N58" si="16">EDATE(D58,-1)</f>
        <v>43647</v>
      </c>
      <c r="F58" s="1575">
        <f t="shared" si="16"/>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EDATE(N58,-1)</f>
        <v>43344</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2581</v>
      </c>
      <c r="B60" s="516"/>
      <c r="C60" s="517"/>
      <c r="D60" s="518"/>
      <c r="E60" s="518"/>
      <c r="F60" s="518"/>
      <c r="G60" s="518"/>
      <c r="H60" s="518"/>
      <c r="I60" s="518"/>
      <c r="J60" s="518"/>
      <c r="K60" s="518"/>
      <c r="L60" s="518"/>
      <c r="M60" s="519"/>
      <c r="N60" s="518"/>
      <c r="O60" s="519"/>
      <c r="P60" s="2631"/>
      <c r="Q60" s="504"/>
    </row>
    <row r="61" spans="1:29" s="117" customFormat="1" ht="15">
      <c r="A61" s="521" t="s">
        <v>2546</v>
      </c>
      <c r="B61" s="510"/>
      <c r="C61" s="522" t="s">
        <v>2648</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2584</v>
      </c>
      <c r="B63" s="528" t="s">
        <v>2550</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2676</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2559</v>
      </c>
      <c r="B100" s="528" t="s">
        <v>2677</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2610</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2612</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2678</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2679</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2680</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2616</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L18" sqref="L1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2" t="s">
        <v>2682</v>
      </c>
      <c r="C1" s="1620" t="s">
        <v>2526</v>
      </c>
      <c r="D1" s="1621"/>
      <c r="E1" s="1630"/>
      <c r="F1" s="2587"/>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IF(C2="——",ROUND(C50*D3/10000,0),ROUND(C50*D3/10000,0)-D2)</f>
        <v>#DIV/0!</v>
      </c>
      <c r="C2" s="2589"/>
      <c r="D2" s="1365" t="e">
        <f ca="1">SUMIF(INDIRECT("'"&amp;F2&amp;"'"&amp;"!A:A"),"承租人权益价值",INDIRECT("'"&amp;F2&amp;"'"&amp;"!c:c"))</f>
        <v>#REF!</v>
      </c>
      <c r="E2" s="2590" t="s">
        <v>2324</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1723.11</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191" t="s">
        <v>2642</v>
      </c>
      <c r="D4" s="3192"/>
      <c r="E4" s="3193" t="s">
        <v>2643</v>
      </c>
      <c r="F4" s="3194"/>
      <c r="G4" s="3191" t="s">
        <v>2644</v>
      </c>
      <c r="H4" s="3192"/>
      <c r="I4" s="3191" t="s">
        <v>2645</v>
      </c>
      <c r="J4" s="3192"/>
      <c r="K4" s="610" t="s">
        <v>2646</v>
      </c>
      <c r="L4" s="1130"/>
      <c r="M4" s="1131"/>
      <c r="N4" s="1131"/>
      <c r="O4" s="1131"/>
      <c r="P4" s="3225" t="s">
        <v>2647</v>
      </c>
      <c r="Q4" s="3226"/>
      <c r="R4" s="3229" t="s">
        <v>2643</v>
      </c>
      <c r="S4" s="3230"/>
      <c r="T4" s="3229" t="s">
        <v>2644</v>
      </c>
      <c r="U4" s="3230"/>
      <c r="V4" s="3231" t="s">
        <v>2645</v>
      </c>
      <c r="W4" s="3231"/>
      <c r="X4" s="2673"/>
      <c r="Y4" s="3229" t="s">
        <v>2647</v>
      </c>
      <c r="Z4" s="3230"/>
      <c r="AA4" s="3233" t="s">
        <v>2643</v>
      </c>
      <c r="AB4" s="3233" t="s">
        <v>2644</v>
      </c>
      <c r="AC4" s="3222" t="s">
        <v>2645</v>
      </c>
    </row>
    <row r="5" spans="1:29" ht="15">
      <c r="A5" s="404"/>
      <c r="B5" s="405"/>
      <c r="C5" s="3210" t="s">
        <v>2538</v>
      </c>
      <c r="D5" s="3211"/>
      <c r="E5" s="3217" t="s">
        <v>2539</v>
      </c>
      <c r="F5" s="3218"/>
      <c r="G5" s="3210" t="s">
        <v>2540</v>
      </c>
      <c r="H5" s="3211"/>
      <c r="I5" s="3210" t="s">
        <v>2541</v>
      </c>
      <c r="J5" s="3211"/>
      <c r="K5" s="610"/>
      <c r="L5" s="1130"/>
      <c r="M5" s="1131"/>
      <c r="N5" s="1131"/>
      <c r="O5" s="1131"/>
      <c r="P5" s="3227"/>
      <c r="Q5" s="3198"/>
      <c r="R5" s="3203"/>
      <c r="S5" s="3204"/>
      <c r="T5" s="3203"/>
      <c r="U5" s="3204"/>
      <c r="V5" s="3207"/>
      <c r="W5" s="3207"/>
      <c r="X5" s="1813"/>
      <c r="Y5" s="3203"/>
      <c r="Z5" s="3204"/>
      <c r="AA5" s="3189"/>
      <c r="AB5" s="3189"/>
      <c r="AC5" s="3223"/>
    </row>
    <row r="6" spans="1:29" ht="15.75" thickBot="1">
      <c r="A6" s="406"/>
      <c r="B6" s="407"/>
      <c r="C6" s="3208" t="s">
        <v>2542</v>
      </c>
      <c r="D6" s="3209"/>
      <c r="E6" s="3215" t="s">
        <v>2542</v>
      </c>
      <c r="F6" s="3216"/>
      <c r="G6" s="3208" t="s">
        <v>2542</v>
      </c>
      <c r="H6" s="3209"/>
      <c r="I6" s="3208" t="s">
        <v>2542</v>
      </c>
      <c r="J6" s="3209"/>
      <c r="K6" s="610" t="s">
        <v>2543</v>
      </c>
      <c r="L6" s="1130"/>
      <c r="M6" s="1131"/>
      <c r="N6" s="1131"/>
      <c r="O6" s="1131"/>
      <c r="P6" s="3228"/>
      <c r="Q6" s="3200"/>
      <c r="R6" s="3203"/>
      <c r="S6" s="3204"/>
      <c r="T6" s="3205"/>
      <c r="U6" s="3206"/>
      <c r="V6" s="3207"/>
      <c r="W6" s="3207"/>
      <c r="X6" s="1813"/>
      <c r="Y6" s="3205"/>
      <c r="Z6" s="3206"/>
      <c r="AA6" s="3190"/>
      <c r="AB6" s="3190"/>
      <c r="AC6" s="3224"/>
    </row>
    <row r="7" spans="1:29" s="117" customFormat="1" ht="15.75" thickBot="1">
      <c r="A7" s="408" t="s">
        <v>2544</v>
      </c>
      <c r="B7" s="409"/>
      <c r="C7" s="410">
        <f>'数据-取费表'!B2</f>
        <v>43728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2" t="s">
        <v>2545</v>
      </c>
      <c r="Q7" s="3214"/>
      <c r="R7" s="770" t="s">
        <v>17</v>
      </c>
      <c r="S7" s="771">
        <f t="shared" ref="S7:S15" si="0">F7</f>
        <v>0</v>
      </c>
      <c r="T7" s="770" t="s">
        <v>17</v>
      </c>
      <c r="U7" s="771">
        <f t="shared" ref="U7:U15" si="1">H7</f>
        <v>0</v>
      </c>
      <c r="V7" s="770" t="s">
        <v>17</v>
      </c>
      <c r="W7" s="771">
        <f t="shared" ref="W7:W15" si="2">J7</f>
        <v>0</v>
      </c>
      <c r="X7" s="772"/>
      <c r="Y7" s="3212" t="s">
        <v>2545</v>
      </c>
      <c r="Z7" s="3213"/>
      <c r="AA7" s="773" t="e">
        <f>D7/F7</f>
        <v>#DIV/0!</v>
      </c>
      <c r="AB7" s="773" t="e">
        <f>D7/H7</f>
        <v>#DIV/0!</v>
      </c>
      <c r="AC7" s="2674"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2" t="s">
        <v>2548</v>
      </c>
      <c r="Q8" s="3213"/>
      <c r="R8" s="770" t="s">
        <v>17</v>
      </c>
      <c r="S8" s="771">
        <f t="shared" si="0"/>
        <v>0</v>
      </c>
      <c r="T8" s="770" t="s">
        <v>17</v>
      </c>
      <c r="U8" s="771">
        <f t="shared" si="1"/>
        <v>0</v>
      </c>
      <c r="V8" s="770" t="s">
        <v>17</v>
      </c>
      <c r="W8" s="771">
        <f t="shared" si="2"/>
        <v>0</v>
      </c>
      <c r="X8" s="772"/>
      <c r="Y8" s="3212" t="s">
        <v>2548</v>
      </c>
      <c r="Z8" s="3213"/>
      <c r="AA8" s="773" t="e">
        <f t="shared" ref="AA8:AA47" si="3">D8/F8</f>
        <v>#DIV/0!</v>
      </c>
      <c r="AB8" s="773" t="e">
        <f t="shared" ref="AB8:AB47" si="4">D8/H8</f>
        <v>#DIV/0!</v>
      </c>
      <c r="AC8" s="2674"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7" t="s">
        <v>2551</v>
      </c>
      <c r="Q9" s="1795" t="str">
        <f t="shared" ref="Q9:Q15" si="6">B9</f>
        <v>用途</v>
      </c>
      <c r="R9" s="770" t="s">
        <v>17</v>
      </c>
      <c r="S9" s="771">
        <f t="shared" si="0"/>
        <v>100</v>
      </c>
      <c r="T9" s="770" t="s">
        <v>17</v>
      </c>
      <c r="U9" s="771">
        <f t="shared" si="1"/>
        <v>100</v>
      </c>
      <c r="V9" s="770" t="s">
        <v>17</v>
      </c>
      <c r="W9" s="771">
        <f t="shared" si="2"/>
        <v>100</v>
      </c>
      <c r="X9" s="772"/>
      <c r="Y9" s="3001" t="s">
        <v>2552</v>
      </c>
      <c r="Z9" s="55" t="str">
        <f t="shared" ref="Z9:Z15" si="7">Q9</f>
        <v>用途</v>
      </c>
      <c r="AA9" s="773">
        <f t="shared" si="3"/>
        <v>1</v>
      </c>
      <c r="AB9" s="773">
        <f t="shared" si="4"/>
        <v>1</v>
      </c>
      <c r="AC9" s="2674">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7"/>
      <c r="Q10" s="1795"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2674">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7"/>
      <c r="Q11" s="1795"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187"/>
      <c r="Q12" s="1795">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187"/>
      <c r="Q13" s="1795">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187"/>
      <c r="Q14" s="1795">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2674">
        <f t="shared" si="5"/>
        <v>1</v>
      </c>
    </row>
    <row r="15" spans="1:29" ht="71.25">
      <c r="A15" s="440" t="s">
        <v>2555</v>
      </c>
      <c r="B15" s="629" t="s">
        <v>2683</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5" t="s">
        <v>2556</v>
      </c>
      <c r="Q15" s="1810" t="str">
        <f t="shared" si="6"/>
        <v>办公集聚程度</v>
      </c>
      <c r="R15" s="774" t="s">
        <v>17</v>
      </c>
      <c r="S15" s="775">
        <f t="shared" si="0"/>
        <v>100</v>
      </c>
      <c r="T15" s="774" t="s">
        <v>17</v>
      </c>
      <c r="U15" s="775">
        <f t="shared" si="1"/>
        <v>100</v>
      </c>
      <c r="V15" s="774" t="s">
        <v>17</v>
      </c>
      <c r="W15" s="775">
        <f t="shared" si="2"/>
        <v>100</v>
      </c>
      <c r="X15" s="1813"/>
      <c r="Y15" s="3178" t="s">
        <v>2556</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186"/>
      <c r="Q16" s="1810"/>
      <c r="R16" s="774"/>
      <c r="S16" s="775"/>
      <c r="T16" s="774"/>
      <c r="U16" s="775"/>
      <c r="V16" s="774"/>
      <c r="W16" s="775"/>
      <c r="X16" s="1813"/>
      <c r="Y16" s="3179"/>
      <c r="Z16" s="1814"/>
      <c r="AA16" s="1811">
        <v>1</v>
      </c>
      <c r="AB16" s="1811">
        <v>1</v>
      </c>
      <c r="AC16" s="2677">
        <v>1</v>
      </c>
    </row>
    <row r="17" spans="1:29" ht="71.25">
      <c r="A17" s="428"/>
      <c r="B17" s="631" t="s">
        <v>2091</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6"/>
      <c r="Q17" s="1810" t="str">
        <f>B17</f>
        <v>交通便捷度</v>
      </c>
      <c r="R17" s="774" t="s">
        <v>17</v>
      </c>
      <c r="S17" s="775">
        <f>F17</f>
        <v>100</v>
      </c>
      <c r="T17" s="774" t="s">
        <v>17</v>
      </c>
      <c r="U17" s="775">
        <f>H17</f>
        <v>100</v>
      </c>
      <c r="V17" s="774" t="s">
        <v>17</v>
      </c>
      <c r="W17" s="775">
        <f>J17</f>
        <v>100</v>
      </c>
      <c r="X17" s="1813"/>
      <c r="Y17" s="3179"/>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186"/>
      <c r="Q18" s="1810"/>
      <c r="R18" s="774"/>
      <c r="S18" s="775"/>
      <c r="T18" s="774"/>
      <c r="U18" s="775"/>
      <c r="V18" s="774"/>
      <c r="W18" s="775"/>
      <c r="X18" s="1813"/>
      <c r="Y18" s="3179"/>
      <c r="Z18" s="1814"/>
      <c r="AA18" s="1811">
        <v>1</v>
      </c>
      <c r="AB18" s="1811">
        <v>1</v>
      </c>
      <c r="AC18" s="2677">
        <v>1</v>
      </c>
    </row>
    <row r="19" spans="1:29" ht="42.75">
      <c r="A19" s="428"/>
      <c r="B19" s="631" t="s">
        <v>2684</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6"/>
      <c r="Q19" s="1810" t="str">
        <f>B19</f>
        <v>公共配套设施</v>
      </c>
      <c r="R19" s="774" t="s">
        <v>17</v>
      </c>
      <c r="S19" s="775">
        <f>F19</f>
        <v>100</v>
      </c>
      <c r="T19" s="774" t="s">
        <v>17</v>
      </c>
      <c r="U19" s="775">
        <f>H19</f>
        <v>100</v>
      </c>
      <c r="V19" s="774" t="s">
        <v>17</v>
      </c>
      <c r="W19" s="775">
        <f>J19</f>
        <v>100</v>
      </c>
      <c r="X19" s="1813"/>
      <c r="Y19" s="3179"/>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186"/>
      <c r="Q20" s="1810"/>
      <c r="R20" s="774"/>
      <c r="S20" s="775"/>
      <c r="T20" s="774"/>
      <c r="U20" s="775"/>
      <c r="V20" s="774"/>
      <c r="W20" s="775"/>
      <c r="X20" s="1813"/>
      <c r="Y20" s="3179"/>
      <c r="Z20" s="1814"/>
      <c r="AA20" s="1811">
        <v>1</v>
      </c>
      <c r="AB20" s="1811">
        <v>1</v>
      </c>
      <c r="AC20" s="2677">
        <v>1</v>
      </c>
    </row>
    <row r="21" spans="1:29" ht="28.5">
      <c r="A21" s="428"/>
      <c r="B21" s="633" t="s">
        <v>2685</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6"/>
      <c r="Q21" s="1810" t="str">
        <f>B21</f>
        <v>基础设施水平</v>
      </c>
      <c r="R21" s="774" t="s">
        <v>17</v>
      </c>
      <c r="S21" s="775">
        <f>F21</f>
        <v>100</v>
      </c>
      <c r="T21" s="774" t="s">
        <v>17</v>
      </c>
      <c r="U21" s="775">
        <f>H21</f>
        <v>100</v>
      </c>
      <c r="V21" s="774" t="s">
        <v>17</v>
      </c>
      <c r="W21" s="775">
        <f>J21</f>
        <v>100</v>
      </c>
      <c r="X21" s="1813"/>
      <c r="Y21" s="3179"/>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186"/>
      <c r="Q22" s="1810"/>
      <c r="R22" s="774"/>
      <c r="S22" s="775"/>
      <c r="T22" s="774"/>
      <c r="U22" s="775"/>
      <c r="V22" s="774"/>
      <c r="W22" s="775"/>
      <c r="X22" s="1813"/>
      <c r="Y22" s="3179"/>
      <c r="Z22" s="1814"/>
      <c r="AA22" s="1811">
        <v>1</v>
      </c>
      <c r="AB22" s="1811">
        <v>1</v>
      </c>
      <c r="AC22" s="2677">
        <v>1</v>
      </c>
    </row>
    <row r="23" spans="1:29" ht="42.75">
      <c r="A23" s="428"/>
      <c r="B23" s="631" t="s">
        <v>2686</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6"/>
      <c r="Q23" s="1810" t="str">
        <f>B23</f>
        <v>环境质量</v>
      </c>
      <c r="R23" s="774" t="s">
        <v>17</v>
      </c>
      <c r="S23" s="775">
        <f>F23</f>
        <v>100</v>
      </c>
      <c r="T23" s="774" t="s">
        <v>17</v>
      </c>
      <c r="U23" s="775">
        <f>H23</f>
        <v>100</v>
      </c>
      <c r="V23" s="774" t="s">
        <v>17</v>
      </c>
      <c r="W23" s="775">
        <f>J23</f>
        <v>100</v>
      </c>
      <c r="X23" s="1813"/>
      <c r="Y23" s="3179"/>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186"/>
      <c r="Q24" s="1810"/>
      <c r="R24" s="774"/>
      <c r="S24" s="775"/>
      <c r="T24" s="774"/>
      <c r="U24" s="775"/>
      <c r="V24" s="774"/>
      <c r="W24" s="775"/>
      <c r="X24" s="1813"/>
      <c r="Y24" s="3179"/>
      <c r="Z24" s="1814"/>
      <c r="AA24" s="1811">
        <v>1</v>
      </c>
      <c r="AB24" s="1811">
        <v>1</v>
      </c>
      <c r="AC24" s="2677">
        <v>1</v>
      </c>
    </row>
    <row r="25" spans="1:29" ht="27">
      <c r="A25" s="404"/>
      <c r="B25" s="631" t="s">
        <v>2687</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186"/>
      <c r="Q25" s="1810" t="str">
        <f>B25</f>
        <v>毗邻道路的类型与等级</v>
      </c>
      <c r="R25" s="774" t="s">
        <v>17</v>
      </c>
      <c r="S25" s="775">
        <f>F25</f>
        <v>100</v>
      </c>
      <c r="T25" s="774" t="s">
        <v>17</v>
      </c>
      <c r="U25" s="775">
        <f>H25</f>
        <v>100</v>
      </c>
      <c r="V25" s="774" t="s">
        <v>17</v>
      </c>
      <c r="W25" s="775">
        <f>J25</f>
        <v>100</v>
      </c>
      <c r="X25" s="1813"/>
      <c r="Y25" s="3179"/>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186"/>
      <c r="Q26" s="1810"/>
      <c r="R26" s="774"/>
      <c r="S26" s="775"/>
      <c r="T26" s="774"/>
      <c r="U26" s="775"/>
      <c r="V26" s="774"/>
      <c r="W26" s="775"/>
      <c r="X26" s="1813"/>
      <c r="Y26" s="3179"/>
      <c r="Z26" s="1814"/>
      <c r="AA26" s="1811">
        <v>1</v>
      </c>
      <c r="AB26" s="1811">
        <v>1</v>
      </c>
      <c r="AC26" s="2677">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6"/>
      <c r="Q27" s="1810" t="str">
        <f t="shared" ref="Q27:Q47" si="11">B27</f>
        <v>楼层</v>
      </c>
      <c r="R27" s="774" t="s">
        <v>17</v>
      </c>
      <c r="S27" s="775">
        <f>F27</f>
        <v>100</v>
      </c>
      <c r="T27" s="774" t="s">
        <v>17</v>
      </c>
      <c r="U27" s="775">
        <f>H27</f>
        <v>100</v>
      </c>
      <c r="V27" s="774" t="s">
        <v>17</v>
      </c>
      <c r="W27" s="775">
        <f>J27</f>
        <v>100</v>
      </c>
      <c r="X27" s="1813"/>
      <c r="Y27" s="3179"/>
      <c r="Z27" s="1814" t="str">
        <f>Q27</f>
        <v>楼层</v>
      </c>
      <c r="AA27" s="1811">
        <f t="shared" si="3"/>
        <v>1</v>
      </c>
      <c r="AB27" s="1811">
        <f t="shared" si="4"/>
        <v>1</v>
      </c>
      <c r="AC27" s="2677">
        <f t="shared" si="5"/>
        <v>1</v>
      </c>
    </row>
    <row r="28" spans="1:29" s="117" customFormat="1" ht="15">
      <c r="A28" s="431"/>
      <c r="B28" s="631" t="s">
        <v>2688</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186"/>
      <c r="Q28" s="1795" t="str">
        <f t="shared" si="11"/>
        <v>朝向</v>
      </c>
      <c r="R28" s="770" t="s">
        <v>17</v>
      </c>
      <c r="S28" s="771">
        <f>F28</f>
        <v>100</v>
      </c>
      <c r="T28" s="770" t="s">
        <v>17</v>
      </c>
      <c r="U28" s="771">
        <f>H28</f>
        <v>100</v>
      </c>
      <c r="V28" s="770" t="s">
        <v>17</v>
      </c>
      <c r="W28" s="771">
        <f>J28</f>
        <v>100</v>
      </c>
      <c r="X28" s="772"/>
      <c r="Y28" s="3179"/>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186"/>
      <c r="Q29" s="1810">
        <f t="shared" si="11"/>
        <v>111</v>
      </c>
      <c r="R29" s="774" t="s">
        <v>17</v>
      </c>
      <c r="S29" s="775">
        <f t="shared" ref="S29:S47" si="12">F29</f>
        <v>100</v>
      </c>
      <c r="T29" s="774" t="s">
        <v>17</v>
      </c>
      <c r="U29" s="775">
        <f t="shared" ref="U29:U47" si="13">H29</f>
        <v>100</v>
      </c>
      <c r="V29" s="774" t="s">
        <v>17</v>
      </c>
      <c r="W29" s="775">
        <f t="shared" ref="W29:W47" si="14">J29</f>
        <v>100</v>
      </c>
      <c r="X29" s="1813"/>
      <c r="Y29" s="3179"/>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186"/>
      <c r="Q30" s="1810">
        <f t="shared" si="11"/>
        <v>111</v>
      </c>
      <c r="R30" s="774" t="s">
        <v>17</v>
      </c>
      <c r="S30" s="775">
        <f t="shared" si="12"/>
        <v>100</v>
      </c>
      <c r="T30" s="774" t="s">
        <v>17</v>
      </c>
      <c r="U30" s="775">
        <f t="shared" si="13"/>
        <v>100</v>
      </c>
      <c r="V30" s="774" t="s">
        <v>17</v>
      </c>
      <c r="W30" s="775">
        <f t="shared" si="14"/>
        <v>100</v>
      </c>
      <c r="X30" s="1813"/>
      <c r="Y30" s="3179"/>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186"/>
      <c r="Q31" s="1810">
        <f t="shared" si="11"/>
        <v>111</v>
      </c>
      <c r="R31" s="774" t="s">
        <v>17</v>
      </c>
      <c r="S31" s="775">
        <f t="shared" si="12"/>
        <v>100</v>
      </c>
      <c r="T31" s="774" t="s">
        <v>17</v>
      </c>
      <c r="U31" s="775">
        <f t="shared" si="13"/>
        <v>100</v>
      </c>
      <c r="V31" s="774" t="s">
        <v>17</v>
      </c>
      <c r="W31" s="775">
        <f t="shared" si="14"/>
        <v>100</v>
      </c>
      <c r="X31" s="1813"/>
      <c r="Y31" s="3179"/>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186"/>
      <c r="Q32" s="1810">
        <f t="shared" si="11"/>
        <v>111</v>
      </c>
      <c r="R32" s="774" t="s">
        <v>17</v>
      </c>
      <c r="S32" s="775">
        <f t="shared" si="12"/>
        <v>100</v>
      </c>
      <c r="T32" s="774" t="s">
        <v>17</v>
      </c>
      <c r="U32" s="775">
        <f t="shared" si="13"/>
        <v>100</v>
      </c>
      <c r="V32" s="774" t="s">
        <v>17</v>
      </c>
      <c r="W32" s="775">
        <f t="shared" si="14"/>
        <v>100</v>
      </c>
      <c r="X32" s="1813"/>
      <c r="Y32" s="3179"/>
      <c r="Z32" s="1814">
        <f t="shared" si="15"/>
        <v>111</v>
      </c>
      <c r="AA32" s="1811">
        <f t="shared" si="3"/>
        <v>1</v>
      </c>
      <c r="AB32" s="1811">
        <f t="shared" si="4"/>
        <v>1</v>
      </c>
      <c r="AC32" s="2677">
        <f t="shared" si="5"/>
        <v>1</v>
      </c>
    </row>
    <row r="33" spans="1:29" ht="15">
      <c r="A33" s="440" t="s">
        <v>2559</v>
      </c>
      <c r="B33" s="71" t="s">
        <v>2689</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180" t="s">
        <v>2561</v>
      </c>
      <c r="Q33" s="1810" t="str">
        <f t="shared" si="11"/>
        <v>建筑类型</v>
      </c>
      <c r="R33" s="774" t="s">
        <v>17</v>
      </c>
      <c r="S33" s="775">
        <f t="shared" si="12"/>
        <v>100</v>
      </c>
      <c r="T33" s="774" t="s">
        <v>17</v>
      </c>
      <c r="U33" s="775">
        <f t="shared" si="13"/>
        <v>100</v>
      </c>
      <c r="V33" s="774" t="s">
        <v>17</v>
      </c>
      <c r="W33" s="775">
        <f t="shared" si="14"/>
        <v>100</v>
      </c>
      <c r="X33" s="1813"/>
      <c r="Y33" s="3183" t="s">
        <v>2561</v>
      </c>
      <c r="Z33" s="1814" t="str">
        <f t="shared" si="15"/>
        <v>建筑类型</v>
      </c>
      <c r="AA33" s="1811">
        <f t="shared" si="3"/>
        <v>1</v>
      </c>
      <c r="AB33" s="1811">
        <f t="shared" si="4"/>
        <v>1</v>
      </c>
      <c r="AC33" s="2677">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1"/>
      <c r="Q34" s="776" t="str">
        <f t="shared" si="11"/>
        <v>项目建筑规模</v>
      </c>
      <c r="R34" s="777" t="s">
        <v>17</v>
      </c>
      <c r="S34" s="778" t="e">
        <f t="shared" si="12"/>
        <v>#N/A</v>
      </c>
      <c r="T34" s="777" t="s">
        <v>17</v>
      </c>
      <c r="U34" s="778" t="e">
        <f t="shared" si="13"/>
        <v>#N/A</v>
      </c>
      <c r="V34" s="777" t="s">
        <v>17</v>
      </c>
      <c r="W34" s="778" t="e">
        <f t="shared" si="14"/>
        <v>#N/A</v>
      </c>
      <c r="X34" s="779"/>
      <c r="Y34" s="3183"/>
      <c r="Z34" s="780" t="str">
        <f t="shared" si="15"/>
        <v>项目建筑规模</v>
      </c>
      <c r="AA34" s="1811" t="e">
        <f t="shared" si="3"/>
        <v>#N/A</v>
      </c>
      <c r="AB34" s="1811" t="e">
        <f t="shared" si="4"/>
        <v>#N/A</v>
      </c>
      <c r="AC34" s="2677"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1"/>
      <c r="Q35" s="1810" t="str">
        <f t="shared" si="11"/>
        <v>建筑结构</v>
      </c>
      <c r="R35" s="774" t="s">
        <v>17</v>
      </c>
      <c r="S35" s="775">
        <f t="shared" si="12"/>
        <v>100</v>
      </c>
      <c r="T35" s="774" t="s">
        <v>17</v>
      </c>
      <c r="U35" s="775">
        <f t="shared" si="13"/>
        <v>100</v>
      </c>
      <c r="V35" s="774" t="s">
        <v>17</v>
      </c>
      <c r="W35" s="775">
        <f t="shared" si="14"/>
        <v>100</v>
      </c>
      <c r="X35" s="1813"/>
      <c r="Y35" s="3183"/>
      <c r="Z35" s="1814" t="str">
        <f t="shared" si="15"/>
        <v>建筑结构</v>
      </c>
      <c r="AA35" s="1811">
        <f t="shared" si="3"/>
        <v>1</v>
      </c>
      <c r="AB35" s="1811">
        <f t="shared" si="4"/>
        <v>1</v>
      </c>
      <c r="AC35" s="2677">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1"/>
      <c r="Q36" s="1810" t="str">
        <f t="shared" si="11"/>
        <v>公共部分装修</v>
      </c>
      <c r="R36" s="774" t="s">
        <v>17</v>
      </c>
      <c r="S36" s="775">
        <f t="shared" si="12"/>
        <v>100</v>
      </c>
      <c r="T36" s="774" t="s">
        <v>17</v>
      </c>
      <c r="U36" s="775">
        <f t="shared" si="13"/>
        <v>100</v>
      </c>
      <c r="V36" s="774" t="s">
        <v>17</v>
      </c>
      <c r="W36" s="775">
        <f t="shared" si="14"/>
        <v>100</v>
      </c>
      <c r="X36" s="1813"/>
      <c r="Y36" s="3183"/>
      <c r="Z36" s="1814" t="str">
        <f t="shared" si="15"/>
        <v>公共部分装修</v>
      </c>
      <c r="AA36" s="1811">
        <f t="shared" si="3"/>
        <v>1</v>
      </c>
      <c r="AB36" s="1811">
        <f t="shared" si="4"/>
        <v>1</v>
      </c>
      <c r="AC36" s="2677">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1"/>
      <c r="Q37" s="1810" t="str">
        <f t="shared" si="11"/>
        <v>成新度</v>
      </c>
      <c r="R37" s="774" t="s">
        <v>17</v>
      </c>
      <c r="S37" s="775" t="e">
        <f t="shared" si="12"/>
        <v>#N/A</v>
      </c>
      <c r="T37" s="774" t="s">
        <v>17</v>
      </c>
      <c r="U37" s="775" t="e">
        <f t="shared" si="13"/>
        <v>#N/A</v>
      </c>
      <c r="V37" s="774" t="s">
        <v>17</v>
      </c>
      <c r="W37" s="775" t="e">
        <f t="shared" si="14"/>
        <v>#N/A</v>
      </c>
      <c r="X37" s="1813"/>
      <c r="Y37" s="3183"/>
      <c r="Z37" s="1814" t="str">
        <f t="shared" si="15"/>
        <v>成新度</v>
      </c>
      <c r="AA37" s="1811" t="e">
        <f t="shared" si="3"/>
        <v>#N/A</v>
      </c>
      <c r="AB37" s="1811" t="e">
        <f t="shared" si="4"/>
        <v>#N/A</v>
      </c>
      <c r="AC37" s="2677"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1"/>
      <c r="Q38" s="1795" t="str">
        <f t="shared" si="11"/>
        <v>写字楼等级</v>
      </c>
      <c r="R38" s="770" t="s">
        <v>17</v>
      </c>
      <c r="S38" s="771">
        <f t="shared" si="12"/>
        <v>100</v>
      </c>
      <c r="T38" s="770" t="s">
        <v>17</v>
      </c>
      <c r="U38" s="771">
        <f t="shared" si="13"/>
        <v>100</v>
      </c>
      <c r="V38" s="770" t="s">
        <v>17</v>
      </c>
      <c r="W38" s="771">
        <f t="shared" si="14"/>
        <v>100</v>
      </c>
      <c r="X38" s="772"/>
      <c r="Y38" s="3183"/>
      <c r="Z38" s="55" t="str">
        <f t="shared" si="15"/>
        <v>写字楼等级</v>
      </c>
      <c r="AA38" s="773">
        <f t="shared" si="3"/>
        <v>1</v>
      </c>
      <c r="AB38" s="773">
        <f t="shared" si="4"/>
        <v>1</v>
      </c>
      <c r="AC38" s="2674">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1" t="s">
        <v>2561</v>
      </c>
      <c r="Q39" s="1810" t="str">
        <f t="shared" si="11"/>
        <v>物业管理</v>
      </c>
      <c r="R39" s="774" t="s">
        <v>17</v>
      </c>
      <c r="S39" s="775">
        <f t="shared" si="12"/>
        <v>100</v>
      </c>
      <c r="T39" s="774" t="s">
        <v>17</v>
      </c>
      <c r="U39" s="775">
        <f t="shared" si="13"/>
        <v>100</v>
      </c>
      <c r="V39" s="774" t="s">
        <v>17</v>
      </c>
      <c r="W39" s="775">
        <f t="shared" si="14"/>
        <v>100</v>
      </c>
      <c r="X39" s="1813"/>
      <c r="Y39" s="3183" t="s">
        <v>2561</v>
      </c>
      <c r="Z39" s="1814" t="str">
        <f t="shared" si="15"/>
        <v>物业管理</v>
      </c>
      <c r="AA39" s="1811">
        <f t="shared" si="3"/>
        <v>1</v>
      </c>
      <c r="AB39" s="1811">
        <f t="shared" si="4"/>
        <v>1</v>
      </c>
      <c r="AC39" s="2677">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1"/>
      <c r="Q40" s="1810" t="str">
        <f t="shared" si="11"/>
        <v>市政基础设施</v>
      </c>
      <c r="R40" s="774" t="s">
        <v>17</v>
      </c>
      <c r="S40" s="775">
        <f t="shared" si="12"/>
        <v>100</v>
      </c>
      <c r="T40" s="774" t="s">
        <v>17</v>
      </c>
      <c r="U40" s="775">
        <f t="shared" si="13"/>
        <v>100</v>
      </c>
      <c r="V40" s="774" t="s">
        <v>17</v>
      </c>
      <c r="W40" s="775">
        <f t="shared" si="14"/>
        <v>100</v>
      </c>
      <c r="X40" s="1813"/>
      <c r="Y40" s="3183"/>
      <c r="Z40" s="1814" t="str">
        <f t="shared" si="15"/>
        <v>市政基础设施</v>
      </c>
      <c r="AA40" s="1811">
        <f t="shared" si="3"/>
        <v>1</v>
      </c>
      <c r="AB40" s="1811">
        <f t="shared" si="4"/>
        <v>1</v>
      </c>
      <c r="AC40" s="2677">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1"/>
      <c r="Q41" s="1810" t="str">
        <f t="shared" si="11"/>
        <v>层高</v>
      </c>
      <c r="R41" s="774" t="s">
        <v>17</v>
      </c>
      <c r="S41" s="775">
        <f t="shared" si="12"/>
        <v>100</v>
      </c>
      <c r="T41" s="774" t="s">
        <v>17</v>
      </c>
      <c r="U41" s="775">
        <f t="shared" si="13"/>
        <v>100</v>
      </c>
      <c r="V41" s="774" t="s">
        <v>17</v>
      </c>
      <c r="W41" s="775">
        <f t="shared" si="14"/>
        <v>100</v>
      </c>
      <c r="X41" s="1813"/>
      <c r="Y41" s="3183"/>
      <c r="Z41" s="1814" t="str">
        <f t="shared" si="15"/>
        <v>层高</v>
      </c>
      <c r="AA41" s="1811">
        <f t="shared" si="3"/>
        <v>1</v>
      </c>
      <c r="AB41" s="1811">
        <f t="shared" si="4"/>
        <v>1</v>
      </c>
      <c r="AC41" s="2677">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1"/>
      <c r="Q42" s="776" t="str">
        <f t="shared" si="11"/>
        <v>单套建筑面积</v>
      </c>
      <c r="R42" s="777" t="s">
        <v>17</v>
      </c>
      <c r="S42" s="778">
        <f t="shared" si="12"/>
        <v>100</v>
      </c>
      <c r="T42" s="777" t="s">
        <v>17</v>
      </c>
      <c r="U42" s="778">
        <f t="shared" si="13"/>
        <v>100</v>
      </c>
      <c r="V42" s="777" t="s">
        <v>17</v>
      </c>
      <c r="W42" s="778">
        <f t="shared" si="14"/>
        <v>100</v>
      </c>
      <c r="X42" s="779"/>
      <c r="Y42" s="3183"/>
      <c r="Z42" s="780" t="str">
        <f t="shared" si="15"/>
        <v>单套建筑面积</v>
      </c>
      <c r="AA42" s="1811">
        <f t="shared" si="3"/>
        <v>1</v>
      </c>
      <c r="AB42" s="1811">
        <f t="shared" si="4"/>
        <v>1</v>
      </c>
      <c r="AC42" s="2677">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1"/>
      <c r="Q43" s="1810" t="str">
        <f t="shared" si="11"/>
        <v>内部装修</v>
      </c>
      <c r="R43" s="774" t="s">
        <v>17</v>
      </c>
      <c r="S43" s="775">
        <f t="shared" si="12"/>
        <v>100</v>
      </c>
      <c r="T43" s="774" t="s">
        <v>17</v>
      </c>
      <c r="U43" s="775">
        <f t="shared" si="13"/>
        <v>100</v>
      </c>
      <c r="V43" s="774" t="s">
        <v>17</v>
      </c>
      <c r="W43" s="775">
        <f t="shared" si="14"/>
        <v>100</v>
      </c>
      <c r="X43" s="1813"/>
      <c r="Y43" s="3183"/>
      <c r="Z43" s="1814" t="str">
        <f t="shared" si="15"/>
        <v>内部装修</v>
      </c>
      <c r="AA43" s="1811">
        <f t="shared" si="3"/>
        <v>1</v>
      </c>
      <c r="AB43" s="1811">
        <f t="shared" si="4"/>
        <v>1</v>
      </c>
      <c r="AC43" s="2677">
        <f t="shared" si="5"/>
        <v>1</v>
      </c>
    </row>
    <row r="44" spans="1:29" ht="15">
      <c r="A44" s="472"/>
      <c r="B44" s="422" t="s">
        <v>2572</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181"/>
      <c r="Q44" s="1810" t="str">
        <f t="shared" si="11"/>
        <v>内部装修维护情况</v>
      </c>
      <c r="R44" s="774" t="s">
        <v>17</v>
      </c>
      <c r="S44" s="775">
        <f t="shared" si="12"/>
        <v>100</v>
      </c>
      <c r="T44" s="774" t="s">
        <v>17</v>
      </c>
      <c r="U44" s="775">
        <f t="shared" si="13"/>
        <v>100</v>
      </c>
      <c r="V44" s="774" t="s">
        <v>17</v>
      </c>
      <c r="W44" s="775">
        <f t="shared" si="14"/>
        <v>100</v>
      </c>
      <c r="X44" s="1813"/>
      <c r="Y44" s="3183"/>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1"/>
      <c r="Q45" s="1795">
        <f t="shared" si="11"/>
        <v>111</v>
      </c>
      <c r="R45" s="770" t="s">
        <v>17</v>
      </c>
      <c r="S45" s="771">
        <f t="shared" si="12"/>
        <v>100</v>
      </c>
      <c r="T45" s="770" t="s">
        <v>17</v>
      </c>
      <c r="U45" s="771">
        <f t="shared" si="13"/>
        <v>100</v>
      </c>
      <c r="V45" s="770" t="s">
        <v>17</v>
      </c>
      <c r="W45" s="771">
        <f t="shared" si="14"/>
        <v>100</v>
      </c>
      <c r="X45" s="772"/>
      <c r="Y45" s="3183"/>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1"/>
      <c r="Q46" s="1810">
        <f t="shared" si="11"/>
        <v>111</v>
      </c>
      <c r="R46" s="774" t="s">
        <v>17</v>
      </c>
      <c r="S46" s="775">
        <f t="shared" si="12"/>
        <v>100</v>
      </c>
      <c r="T46" s="774" t="s">
        <v>17</v>
      </c>
      <c r="U46" s="775">
        <f t="shared" si="13"/>
        <v>100</v>
      </c>
      <c r="V46" s="774" t="s">
        <v>17</v>
      </c>
      <c r="W46" s="775">
        <f t="shared" si="14"/>
        <v>100</v>
      </c>
      <c r="X46" s="1813"/>
      <c r="Y46" s="3183"/>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2"/>
      <c r="Q47" s="1810">
        <f t="shared" si="11"/>
        <v>111</v>
      </c>
      <c r="R47" s="774" t="s">
        <v>17</v>
      </c>
      <c r="S47" s="775">
        <f t="shared" si="12"/>
        <v>100</v>
      </c>
      <c r="T47" s="774" t="s">
        <v>17</v>
      </c>
      <c r="U47" s="775">
        <f t="shared" si="13"/>
        <v>100</v>
      </c>
      <c r="V47" s="774" t="s">
        <v>17</v>
      </c>
      <c r="W47" s="775">
        <f t="shared" si="14"/>
        <v>100</v>
      </c>
      <c r="X47" s="1813"/>
      <c r="Y47" s="3184"/>
      <c r="Z47" s="1814">
        <f t="shared" si="15"/>
        <v>111</v>
      </c>
      <c r="AA47" s="1811">
        <f t="shared" si="3"/>
        <v>1</v>
      </c>
      <c r="AB47" s="1811">
        <f t="shared" si="4"/>
        <v>1</v>
      </c>
      <c r="AC47" s="2677">
        <f t="shared" si="5"/>
        <v>1</v>
      </c>
    </row>
    <row r="48" spans="1:29" ht="15">
      <c r="A48" s="479" t="s">
        <v>2573</v>
      </c>
      <c r="B48" s="480"/>
      <c r="C48" s="1407" t="s">
        <v>1</v>
      </c>
      <c r="D48" s="1408"/>
      <c r="E48" s="1409"/>
      <c r="F48" s="1410"/>
      <c r="G48" s="1411"/>
      <c r="H48" s="1412"/>
      <c r="I48" s="1409"/>
      <c r="J48" s="485"/>
      <c r="K48" s="783"/>
      <c r="L48" s="1143"/>
      <c r="M48" s="1131"/>
      <c r="N48" s="1131"/>
      <c r="O48" s="1131"/>
      <c r="P48" s="3187" t="str">
        <f>A48</f>
        <v>成交单价（元/平方米）</v>
      </c>
      <c r="Q48" s="3176"/>
      <c r="R48" s="3177">
        <f>E48</f>
        <v>0</v>
      </c>
      <c r="S48" s="3177"/>
      <c r="T48" s="3177">
        <f>G48</f>
        <v>0</v>
      </c>
      <c r="U48" s="3177"/>
      <c r="V48" s="3177">
        <f>I48</f>
        <v>0</v>
      </c>
      <c r="W48" s="3177"/>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187" t="str">
        <f>A49</f>
        <v>比较价值（元/平方米）</v>
      </c>
      <c r="Q49" s="3176"/>
      <c r="R49" s="3177" t="e">
        <f>IF(F1="售价",ROUND(PRODUCT(R48,AA7:AA47),0),ROUND(PRODUCT(R48,AA7:AA47),1))</f>
        <v>#DIV/0!</v>
      </c>
      <c r="S49" s="3177"/>
      <c r="T49" s="3177" t="e">
        <f>IF(F1="售价",ROUND(PRODUCT(T48,AB7:AB47),0),ROUND(PRODUCT(T48,AB7:AB47),1))</f>
        <v>#DIV/0!</v>
      </c>
      <c r="U49" s="3177"/>
      <c r="V49" s="3177" t="e">
        <f>IF(F1="售价",ROUND(PRODUCT(V48,AC7:AC47),0),ROUND(PRODUCT(V48,AC7:AC47),1))</f>
        <v>#DIV/0!</v>
      </c>
      <c r="W49" s="3177"/>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19" t="str">
        <f>A50</f>
        <v>估价对象XX用房的比较价值（楼面单价，元/平方米）</v>
      </c>
      <c r="Q50" s="3220"/>
      <c r="R50" s="3221" t="e">
        <f>IF(F1="售价",ROUND(AVERAGE(R49:V49),0),ROUND(AVERAGE(R49:V49),1))</f>
        <v>#DIV/0!</v>
      </c>
      <c r="S50" s="3221"/>
      <c r="T50" s="3221"/>
      <c r="U50" s="3221"/>
      <c r="V50" s="3221"/>
      <c r="W50" s="3221"/>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4"/>
      <c r="Q58" s="504"/>
    </row>
    <row r="59" spans="1:29" s="508" customFormat="1" ht="15">
      <c r="A59" s="505" t="s">
        <v>2544</v>
      </c>
      <c r="B59" s="506"/>
      <c r="C59" s="1574" t="str">
        <f>YEAR(C7)&amp;"-"&amp;MONTH(C7)</f>
        <v>2019-9</v>
      </c>
      <c r="D59" s="1575">
        <f>EDATE(C59,-1)</f>
        <v>43678</v>
      </c>
      <c r="E59" s="1575">
        <f>EDATE(D59,-1)</f>
        <v>43647</v>
      </c>
      <c r="F59" s="1575">
        <f t="shared" ref="F59:O59" si="16">EDATE(E59,-1)</f>
        <v>43617</v>
      </c>
      <c r="G59" s="1575">
        <f t="shared" si="16"/>
        <v>43586</v>
      </c>
      <c r="H59" s="1575">
        <f t="shared" si="16"/>
        <v>43556</v>
      </c>
      <c r="I59" s="1575">
        <f t="shared" si="16"/>
        <v>43525</v>
      </c>
      <c r="J59" s="1575">
        <f t="shared" si="16"/>
        <v>43497</v>
      </c>
      <c r="K59" s="1575">
        <f t="shared" si="16"/>
        <v>43466</v>
      </c>
      <c r="L59" s="1575">
        <f t="shared" si="16"/>
        <v>43435</v>
      </c>
      <c r="M59" s="1575">
        <f t="shared" si="16"/>
        <v>43405</v>
      </c>
      <c r="N59" s="1575">
        <f t="shared" si="16"/>
        <v>43374</v>
      </c>
      <c r="O59" s="1575">
        <f t="shared" si="16"/>
        <v>43344</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2581</v>
      </c>
      <c r="B61" s="516"/>
      <c r="C61" s="517"/>
      <c r="D61" s="518"/>
      <c r="E61" s="518"/>
      <c r="F61" s="518"/>
      <c r="G61" s="518"/>
      <c r="H61" s="518"/>
      <c r="I61" s="518"/>
      <c r="J61" s="518"/>
      <c r="K61" s="518"/>
      <c r="L61" s="518"/>
      <c r="M61" s="519"/>
      <c r="N61" s="518"/>
      <c r="O61" s="519"/>
      <c r="P61" s="2685"/>
      <c r="Q61" s="504"/>
    </row>
    <row r="62" spans="1:29" s="117" customFormat="1" ht="15">
      <c r="A62" s="521" t="s">
        <v>2546</v>
      </c>
      <c r="B62" s="510"/>
      <c r="C62" s="522" t="s">
        <v>2648</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2584</v>
      </c>
      <c r="B64" s="528" t="s">
        <v>2550</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2695</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2559</v>
      </c>
      <c r="B101" s="528" t="s">
        <v>2608</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2610</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2612</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2613</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2614</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2697</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2616</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9" zoomScale="90" zoomScaleNormal="90" workbookViewId="0">
      <selection activeCell="M45" sqref="M4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2" t="s">
        <v>2698</v>
      </c>
      <c r="C1" s="1620" t="s">
        <v>2526</v>
      </c>
      <c r="D1" s="1621" t="s">
        <v>6</v>
      </c>
      <c r="E1" s="1630"/>
      <c r="F1" s="2587" t="s">
        <v>3081</v>
      </c>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f>IF(C2="——",ROUND(C43*D3/10000,0),ROUND(C43*D3/10000,0)-D2)</f>
        <v>1343</v>
      </c>
      <c r="C2" s="2589" t="s">
        <v>70</v>
      </c>
      <c r="D2" s="1124" t="e">
        <f ca="1">SUMIF(INDIRECT("'"&amp;F2&amp;"'"&amp;"!A:A"),"承租人权益价值",INDIRECT("'"&amp;F2&amp;"'"&amp;"!c:c"))</f>
        <v>#REF!</v>
      </c>
      <c r="E2" s="2590" t="s">
        <v>2324</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f>IF(C2="——",C43,ROUND(B2*10000/D3,0))</f>
        <v>7792</v>
      </c>
      <c r="C3" s="400" t="s">
        <v>2640</v>
      </c>
      <c r="D3" s="399">
        <f>IF(D1="",'数据-汇总表'!E3,SUMIF('数据-汇总表'!$C19:$C33,D1,'数据-汇总表'!$E19:$E33))</f>
        <v>1723.11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1" t="s">
        <v>2642</v>
      </c>
      <c r="D4" s="3192"/>
      <c r="E4" s="3193" t="s">
        <v>2643</v>
      </c>
      <c r="F4" s="3194"/>
      <c r="G4" s="3191" t="s">
        <v>2644</v>
      </c>
      <c r="H4" s="3192"/>
      <c r="I4" s="3191" t="s">
        <v>2645</v>
      </c>
      <c r="J4" s="3192"/>
      <c r="K4" s="610" t="s">
        <v>2646</v>
      </c>
      <c r="L4" s="1130"/>
      <c r="M4" s="1131"/>
      <c r="N4" s="1131"/>
      <c r="O4" s="1131"/>
      <c r="P4" s="3195" t="s">
        <v>2647</v>
      </c>
      <c r="Q4" s="3196"/>
      <c r="R4" s="3201" t="s">
        <v>2643</v>
      </c>
      <c r="S4" s="3202"/>
      <c r="T4" s="3201" t="s">
        <v>2644</v>
      </c>
      <c r="U4" s="3202"/>
      <c r="V4" s="3207" t="s">
        <v>2645</v>
      </c>
      <c r="W4" s="3207"/>
      <c r="X4" s="1813"/>
      <c r="Y4" s="3201" t="s">
        <v>2647</v>
      </c>
      <c r="Z4" s="3202"/>
      <c r="AA4" s="3188" t="s">
        <v>2643</v>
      </c>
      <c r="AB4" s="3189" t="s">
        <v>2644</v>
      </c>
      <c r="AC4" s="3188" t="s">
        <v>2645</v>
      </c>
    </row>
    <row r="5" spans="1:29" ht="15">
      <c r="A5" s="404"/>
      <c r="B5" s="405"/>
      <c r="C5" s="3210" t="s">
        <v>2538</v>
      </c>
      <c r="D5" s="3211"/>
      <c r="E5" s="3217" t="s">
        <v>2539</v>
      </c>
      <c r="F5" s="3218"/>
      <c r="G5" s="3210" t="s">
        <v>2540</v>
      </c>
      <c r="H5" s="3211"/>
      <c r="I5" s="3210" t="s">
        <v>2541</v>
      </c>
      <c r="J5" s="3211"/>
      <c r="K5" s="610"/>
      <c r="L5" s="1130"/>
      <c r="M5" s="1131"/>
      <c r="N5" s="1131"/>
      <c r="O5" s="1131"/>
      <c r="P5" s="3197"/>
      <c r="Q5" s="3198"/>
      <c r="R5" s="3203"/>
      <c r="S5" s="3204"/>
      <c r="T5" s="3203"/>
      <c r="U5" s="3204"/>
      <c r="V5" s="3207"/>
      <c r="W5" s="3207"/>
      <c r="X5" s="1813"/>
      <c r="Y5" s="3203"/>
      <c r="Z5" s="3204"/>
      <c r="AA5" s="3189"/>
      <c r="AB5" s="3189"/>
      <c r="AC5" s="3189"/>
    </row>
    <row r="6" spans="1:29" ht="15.75" thickBot="1">
      <c r="A6" s="406"/>
      <c r="B6" s="407"/>
      <c r="C6" s="3208" t="s">
        <v>2542</v>
      </c>
      <c r="D6" s="3209"/>
      <c r="E6" s="3215" t="s">
        <v>2542</v>
      </c>
      <c r="F6" s="3216"/>
      <c r="G6" s="3208" t="s">
        <v>2542</v>
      </c>
      <c r="H6" s="3209"/>
      <c r="I6" s="3208" t="s">
        <v>2542</v>
      </c>
      <c r="J6" s="3209"/>
      <c r="K6" s="610" t="s">
        <v>2543</v>
      </c>
      <c r="L6" s="1130"/>
      <c r="M6" s="1131"/>
      <c r="N6" s="1131"/>
      <c r="O6" s="1131"/>
      <c r="P6" s="3199"/>
      <c r="Q6" s="3200"/>
      <c r="R6" s="3203"/>
      <c r="S6" s="3204"/>
      <c r="T6" s="3205"/>
      <c r="U6" s="3206"/>
      <c r="V6" s="3207"/>
      <c r="W6" s="3207"/>
      <c r="X6" s="1813"/>
      <c r="Y6" s="3205"/>
      <c r="Z6" s="3206"/>
      <c r="AA6" s="3190"/>
      <c r="AB6" s="3190"/>
      <c r="AC6" s="3190"/>
    </row>
    <row r="7" spans="1:29" s="117" customFormat="1" ht="15.75" thickBot="1">
      <c r="A7" s="408" t="s">
        <v>2544</v>
      </c>
      <c r="B7" s="409"/>
      <c r="C7" s="410">
        <f>'数据-取费表'!B2</f>
        <v>43728</v>
      </c>
      <c r="D7" s="411">
        <v>100</v>
      </c>
      <c r="E7" s="412">
        <f>C7</f>
        <v>43728</v>
      </c>
      <c r="F7" s="413">
        <f>SUMIF(52:52,YEAR(E7)&amp;"-"&amp;MONTH(E7),53:53)</f>
        <v>100</v>
      </c>
      <c r="G7" s="412">
        <f>E7</f>
        <v>43728</v>
      </c>
      <c r="H7" s="411">
        <f>SUMIF(52:52,YEAR(G7)&amp;"-"&amp;MONTH(G7),53:53)</f>
        <v>100</v>
      </c>
      <c r="I7" s="412">
        <f>G7</f>
        <v>43728</v>
      </c>
      <c r="J7" s="411">
        <f>SUMIF(52:52,YEAR(I7)&amp;"-"&amp;MONTH(I7),53:53)</f>
        <v>100</v>
      </c>
      <c r="K7" s="611"/>
      <c r="L7" s="1132"/>
      <c r="M7" s="1133"/>
      <c r="N7" s="1133"/>
      <c r="O7" s="1133"/>
      <c r="P7" s="3212" t="s">
        <v>2545</v>
      </c>
      <c r="Q7" s="3214"/>
      <c r="R7" s="770" t="s">
        <v>17</v>
      </c>
      <c r="S7" s="771">
        <f t="shared" ref="S7:S15" si="0">F7</f>
        <v>100</v>
      </c>
      <c r="T7" s="770" t="s">
        <v>17</v>
      </c>
      <c r="U7" s="771">
        <f t="shared" ref="U7:U15" si="1">H7</f>
        <v>100</v>
      </c>
      <c r="V7" s="770" t="s">
        <v>17</v>
      </c>
      <c r="W7" s="771">
        <f t="shared" ref="W7:W15" si="2">J7</f>
        <v>100</v>
      </c>
      <c r="X7" s="772"/>
      <c r="Y7" s="3212" t="s">
        <v>2545</v>
      </c>
      <c r="Z7" s="3213"/>
      <c r="AA7" s="773">
        <f>D7/F7</f>
        <v>1</v>
      </c>
      <c r="AB7" s="773">
        <f>D7/H7</f>
        <v>1</v>
      </c>
      <c r="AC7" s="773">
        <f>D7/J7</f>
        <v>1</v>
      </c>
    </row>
    <row r="8" spans="1:29" s="117" customFormat="1" ht="15.75" thickBot="1">
      <c r="A8" s="408" t="s">
        <v>2546</v>
      </c>
      <c r="B8" s="409"/>
      <c r="C8" s="414" t="s">
        <v>2547</v>
      </c>
      <c r="D8" s="411">
        <v>100</v>
      </c>
      <c r="E8" s="414" t="s">
        <v>3079</v>
      </c>
      <c r="F8" s="413">
        <f>SUMIF(55:55,E8,56:56)-SUMIF(55:55,C8,56:56)+100</f>
        <v>100</v>
      </c>
      <c r="G8" s="414" t="s">
        <v>3079</v>
      </c>
      <c r="H8" s="411">
        <f>SUMIF(55:55,G8,56:56)-SUMIF(55:55,C8,56:56)+100</f>
        <v>100</v>
      </c>
      <c r="I8" s="414" t="s">
        <v>3079</v>
      </c>
      <c r="J8" s="411">
        <f>SUMIF(55:55,I8,56:56)-SUMIF(55:55,C8,56:56)+100</f>
        <v>100</v>
      </c>
      <c r="K8" s="611"/>
      <c r="L8" s="1132"/>
      <c r="M8" s="1133"/>
      <c r="N8" s="1133"/>
      <c r="O8" s="1133"/>
      <c r="P8" s="3212" t="s">
        <v>2548</v>
      </c>
      <c r="Q8" s="3213"/>
      <c r="R8" s="770" t="s">
        <v>17</v>
      </c>
      <c r="S8" s="771">
        <f t="shared" si="0"/>
        <v>100</v>
      </c>
      <c r="T8" s="770" t="s">
        <v>17</v>
      </c>
      <c r="U8" s="771">
        <f t="shared" si="1"/>
        <v>100</v>
      </c>
      <c r="V8" s="770" t="s">
        <v>17</v>
      </c>
      <c r="W8" s="771">
        <f t="shared" si="2"/>
        <v>100</v>
      </c>
      <c r="X8" s="772"/>
      <c r="Y8" s="3212" t="s">
        <v>2548</v>
      </c>
      <c r="Z8" s="3213"/>
      <c r="AA8" s="773">
        <f t="shared" ref="AA8:AA40" si="3">D8/F8</f>
        <v>1</v>
      </c>
      <c r="AB8" s="773">
        <f t="shared" ref="AB8:AB40" si="4">D8/H8</f>
        <v>1</v>
      </c>
      <c r="AC8" s="773">
        <f t="shared" ref="AC8:AC40" si="5">D8/J8</f>
        <v>1</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6" t="s">
        <v>2551</v>
      </c>
      <c r="Q9" s="1795" t="str">
        <f t="shared" ref="Q9:Q15" si="6">B9</f>
        <v>用途</v>
      </c>
      <c r="R9" s="770" t="s">
        <v>17</v>
      </c>
      <c r="S9" s="771">
        <f t="shared" si="0"/>
        <v>100</v>
      </c>
      <c r="T9" s="770" t="s">
        <v>17</v>
      </c>
      <c r="U9" s="771">
        <f t="shared" si="1"/>
        <v>100</v>
      </c>
      <c r="V9" s="770" t="s">
        <v>17</v>
      </c>
      <c r="W9" s="771">
        <f t="shared" si="2"/>
        <v>100</v>
      </c>
      <c r="X9" s="772"/>
      <c r="Y9" s="3001"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6"/>
      <c r="Q10" s="1795"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2554</v>
      </c>
      <c r="C11" s="429"/>
      <c r="D11" s="136">
        <v>100</v>
      </c>
      <c r="E11" s="429"/>
      <c r="F11" s="136">
        <f>LOOKUP(E11,62:62,63:63)-LOOKUP(C11,62:62,63:63)+100</f>
        <v>100</v>
      </c>
      <c r="G11" s="430"/>
      <c r="H11" s="136">
        <f>LOOKUP(G11,62:62,63:63)-LOOKUP(C11,62:62,63:63)+100</f>
        <v>100</v>
      </c>
      <c r="I11" s="429"/>
      <c r="J11" s="136">
        <f>LOOKUP(I11,62:62,63:63)-LOOKUP(C11,62:62,63:63)+100</f>
        <v>100</v>
      </c>
      <c r="K11" s="612"/>
      <c r="L11" s="1138"/>
      <c r="M11" s="1131"/>
      <c r="N11" s="1131"/>
      <c r="O11" s="1139"/>
      <c r="P11" s="3176"/>
      <c r="Q11" s="1795" t="str">
        <f t="shared" si="6"/>
        <v>容积率</v>
      </c>
      <c r="R11" s="770" t="s">
        <v>17</v>
      </c>
      <c r="S11" s="771">
        <f t="shared" si="0"/>
        <v>100</v>
      </c>
      <c r="T11" s="770" t="s">
        <v>17</v>
      </c>
      <c r="U11" s="771">
        <f t="shared" si="1"/>
        <v>100</v>
      </c>
      <c r="V11" s="770" t="s">
        <v>17</v>
      </c>
      <c r="W11" s="771">
        <f t="shared" si="2"/>
        <v>100</v>
      </c>
      <c r="X11" s="772"/>
      <c r="Y11" s="3001"/>
      <c r="Z11" s="55" t="str">
        <f t="shared" si="7"/>
        <v>容积率</v>
      </c>
      <c r="AA11" s="773">
        <f t="shared" si="3"/>
        <v>1</v>
      </c>
      <c r="AB11" s="773">
        <f t="shared" si="4"/>
        <v>1</v>
      </c>
      <c r="AC11" s="773">
        <f t="shared" si="5"/>
        <v>1</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176"/>
      <c r="Q12" s="1795">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176"/>
      <c r="Q14" s="1795">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57">
      <c r="A15" s="440" t="s">
        <v>2555</v>
      </c>
      <c r="B15" s="69" t="s">
        <v>2699</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8" t="s">
        <v>2556</v>
      </c>
      <c r="Q15" s="1810" t="str">
        <f t="shared" si="6"/>
        <v>产业集聚程度</v>
      </c>
      <c r="R15" s="774" t="s">
        <v>17</v>
      </c>
      <c r="S15" s="775">
        <f t="shared" si="0"/>
        <v>100</v>
      </c>
      <c r="T15" s="774" t="s">
        <v>17</v>
      </c>
      <c r="U15" s="775">
        <f t="shared" si="1"/>
        <v>100</v>
      </c>
      <c r="V15" s="774" t="s">
        <v>17</v>
      </c>
      <c r="W15" s="775">
        <f t="shared" si="2"/>
        <v>100</v>
      </c>
      <c r="X15" s="1813"/>
      <c r="Y15" s="3178"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9"/>
      <c r="Q16" s="1810"/>
      <c r="R16" s="774"/>
      <c r="S16" s="775"/>
      <c r="T16" s="774"/>
      <c r="U16" s="775"/>
      <c r="V16" s="774"/>
      <c r="W16" s="775"/>
      <c r="X16" s="1813"/>
      <c r="Y16" s="3179"/>
      <c r="Z16" s="1814"/>
      <c r="AA16" s="1811">
        <v>1</v>
      </c>
      <c r="AB16" s="1811">
        <v>1</v>
      </c>
      <c r="AC16" s="1811">
        <v>1</v>
      </c>
    </row>
    <row r="17" spans="1:29" ht="85.5">
      <c r="A17" s="428"/>
      <c r="B17" s="451" t="s">
        <v>2091</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9"/>
      <c r="Q17" s="1810" t="str">
        <f>B17</f>
        <v>交通便捷度</v>
      </c>
      <c r="R17" s="774" t="s">
        <v>17</v>
      </c>
      <c r="S17" s="775">
        <f>F17</f>
        <v>100</v>
      </c>
      <c r="T17" s="774" t="s">
        <v>17</v>
      </c>
      <c r="U17" s="775">
        <f>H17</f>
        <v>100</v>
      </c>
      <c r="V17" s="774" t="s">
        <v>17</v>
      </c>
      <c r="W17" s="775">
        <f>J17</f>
        <v>100</v>
      </c>
      <c r="X17" s="1813"/>
      <c r="Y17" s="3179"/>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179"/>
      <c r="Q18" s="1810"/>
      <c r="R18" s="774"/>
      <c r="S18" s="775"/>
      <c r="T18" s="774"/>
      <c r="U18" s="775"/>
      <c r="V18" s="774"/>
      <c r="W18" s="775"/>
      <c r="X18" s="1813"/>
      <c r="Y18" s="3179"/>
      <c r="Z18" s="1814"/>
      <c r="AA18" s="1811">
        <v>1</v>
      </c>
      <c r="AB18" s="1811">
        <v>1</v>
      </c>
      <c r="AC18" s="1811">
        <v>1</v>
      </c>
    </row>
    <row r="19" spans="1:29" ht="42.75">
      <c r="A19" s="428"/>
      <c r="B19" s="451" t="s">
        <v>2684</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9"/>
      <c r="Q19" s="1810" t="str">
        <f>B19</f>
        <v>公共配套设施</v>
      </c>
      <c r="R19" s="774" t="s">
        <v>17</v>
      </c>
      <c r="S19" s="775">
        <f>F19</f>
        <v>100</v>
      </c>
      <c r="T19" s="774" t="s">
        <v>17</v>
      </c>
      <c r="U19" s="775">
        <f>H19</f>
        <v>100</v>
      </c>
      <c r="V19" s="774" t="s">
        <v>17</v>
      </c>
      <c r="W19" s="775">
        <f>J19</f>
        <v>100</v>
      </c>
      <c r="X19" s="1813"/>
      <c r="Y19" s="3179"/>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179"/>
      <c r="Q20" s="1810"/>
      <c r="R20" s="774"/>
      <c r="S20" s="775"/>
      <c r="T20" s="774"/>
      <c r="U20" s="775"/>
      <c r="V20" s="774"/>
      <c r="W20" s="775"/>
      <c r="X20" s="1813"/>
      <c r="Y20" s="3179"/>
      <c r="Z20" s="1814"/>
      <c r="AA20" s="1811">
        <v>1</v>
      </c>
      <c r="AB20" s="1811">
        <v>1</v>
      </c>
      <c r="AC20" s="1811">
        <v>1</v>
      </c>
    </row>
    <row r="21" spans="1:29" ht="28.5">
      <c r="A21" s="428"/>
      <c r="B21" s="1384" t="s">
        <v>2685</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9"/>
      <c r="Q21" s="1810" t="str">
        <f>B21</f>
        <v>基础设施水平</v>
      </c>
      <c r="R21" s="774" t="s">
        <v>17</v>
      </c>
      <c r="S21" s="775">
        <f>F21</f>
        <v>100</v>
      </c>
      <c r="T21" s="774" t="s">
        <v>17</v>
      </c>
      <c r="U21" s="775">
        <f>H21</f>
        <v>100</v>
      </c>
      <c r="V21" s="774" t="s">
        <v>17</v>
      </c>
      <c r="W21" s="775">
        <f>J21</f>
        <v>100</v>
      </c>
      <c r="X21" s="1813"/>
      <c r="Y21" s="3179"/>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179"/>
      <c r="Q22" s="1810"/>
      <c r="R22" s="774"/>
      <c r="S22" s="775"/>
      <c r="T22" s="774"/>
      <c r="U22" s="775"/>
      <c r="V22" s="774"/>
      <c r="W22" s="775"/>
      <c r="X22" s="1813"/>
      <c r="Y22" s="3179"/>
      <c r="Z22" s="1814"/>
      <c r="AA22" s="1811">
        <v>1</v>
      </c>
      <c r="AB22" s="1811">
        <v>1</v>
      </c>
      <c r="AC22" s="1811">
        <v>1</v>
      </c>
    </row>
    <row r="23" spans="1:29" ht="71.25">
      <c r="A23" s="428"/>
      <c r="B23" s="451" t="s">
        <v>2686</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9"/>
      <c r="Q23" s="1810" t="str">
        <f>B23</f>
        <v>环境质量</v>
      </c>
      <c r="R23" s="774" t="s">
        <v>17</v>
      </c>
      <c r="S23" s="775">
        <f>F23</f>
        <v>100</v>
      </c>
      <c r="T23" s="774" t="s">
        <v>17</v>
      </c>
      <c r="U23" s="775">
        <f>H23</f>
        <v>100</v>
      </c>
      <c r="V23" s="774" t="s">
        <v>17</v>
      </c>
      <c r="W23" s="775">
        <f>J23</f>
        <v>100</v>
      </c>
      <c r="X23" s="1813"/>
      <c r="Y23" s="3179"/>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179"/>
      <c r="Q24" s="1810"/>
      <c r="R24" s="774"/>
      <c r="S24" s="775"/>
      <c r="T24" s="774"/>
      <c r="U24" s="775"/>
      <c r="V24" s="774"/>
      <c r="W24" s="775"/>
      <c r="X24" s="1813"/>
      <c r="Y24" s="317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9"/>
      <c r="Q25" s="1810">
        <f>B25</f>
        <v>111</v>
      </c>
      <c r="R25" s="774" t="s">
        <v>17</v>
      </c>
      <c r="S25" s="775">
        <f>F25</f>
        <v>100</v>
      </c>
      <c r="T25" s="774" t="s">
        <v>17</v>
      </c>
      <c r="U25" s="775">
        <f>H25</f>
        <v>100</v>
      </c>
      <c r="V25" s="774" t="s">
        <v>17</v>
      </c>
      <c r="W25" s="775">
        <f>J25</f>
        <v>100</v>
      </c>
      <c r="X25" s="1813"/>
      <c r="Y25" s="317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9"/>
      <c r="Q26" s="1810">
        <f t="shared" ref="Q26:Q40" si="11">B26</f>
        <v>111</v>
      </c>
      <c r="R26" s="774" t="s">
        <v>17</v>
      </c>
      <c r="S26" s="775">
        <f>F26</f>
        <v>100</v>
      </c>
      <c r="T26" s="774" t="s">
        <v>17</v>
      </c>
      <c r="U26" s="775">
        <f>H26</f>
        <v>100</v>
      </c>
      <c r="V26" s="774" t="s">
        <v>17</v>
      </c>
      <c r="W26" s="775">
        <f>J26</f>
        <v>100</v>
      </c>
      <c r="X26" s="1813"/>
      <c r="Y26" s="317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9"/>
      <c r="Q27" s="1795">
        <f t="shared" si="11"/>
        <v>111</v>
      </c>
      <c r="R27" s="770" t="s">
        <v>17</v>
      </c>
      <c r="S27" s="771">
        <f>F27</f>
        <v>100</v>
      </c>
      <c r="T27" s="770" t="s">
        <v>17</v>
      </c>
      <c r="U27" s="771">
        <f>H27</f>
        <v>100</v>
      </c>
      <c r="V27" s="770" t="s">
        <v>17</v>
      </c>
      <c r="W27" s="771">
        <f>J27</f>
        <v>100</v>
      </c>
      <c r="X27" s="772"/>
      <c r="Y27" s="3179"/>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9"/>
      <c r="Q28" s="1810">
        <f t="shared" si="11"/>
        <v>111</v>
      </c>
      <c r="R28" s="774" t="s">
        <v>17</v>
      </c>
      <c r="S28" s="775">
        <f t="shared" ref="S28:S40" si="12">F28</f>
        <v>100</v>
      </c>
      <c r="T28" s="774" t="s">
        <v>17</v>
      </c>
      <c r="U28" s="775">
        <f t="shared" ref="U28:U40" si="13">H28</f>
        <v>100</v>
      </c>
      <c r="V28" s="774" t="s">
        <v>17</v>
      </c>
      <c r="W28" s="775">
        <f t="shared" ref="W28:W40" si="14">J28</f>
        <v>100</v>
      </c>
      <c r="X28" s="1813"/>
      <c r="Y28" s="3179"/>
      <c r="Z28" s="1814">
        <f t="shared" ref="Z28:Z40" si="15">Q28</f>
        <v>111</v>
      </c>
      <c r="AA28" s="1811">
        <f t="shared" si="3"/>
        <v>1</v>
      </c>
      <c r="AB28" s="1811">
        <f t="shared" si="4"/>
        <v>1</v>
      </c>
      <c r="AC28" s="1811">
        <f t="shared" si="5"/>
        <v>1</v>
      </c>
    </row>
    <row r="29" spans="1:29" ht="28.5">
      <c r="A29" s="466" t="s">
        <v>2559</v>
      </c>
      <c r="B29" s="71" t="s">
        <v>2689</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34" t="s">
        <v>2561</v>
      </c>
      <c r="Q29" s="1810" t="str">
        <f t="shared" si="11"/>
        <v>建筑类型</v>
      </c>
      <c r="R29" s="774" t="s">
        <v>17</v>
      </c>
      <c r="S29" s="775">
        <f t="shared" si="12"/>
        <v>100</v>
      </c>
      <c r="T29" s="774" t="s">
        <v>17</v>
      </c>
      <c r="U29" s="775">
        <f t="shared" si="13"/>
        <v>100</v>
      </c>
      <c r="V29" s="774" t="s">
        <v>17</v>
      </c>
      <c r="W29" s="775">
        <f t="shared" si="14"/>
        <v>100</v>
      </c>
      <c r="X29" s="1813"/>
      <c r="Y29" s="3183" t="s">
        <v>2561</v>
      </c>
      <c r="Z29" s="1814" t="str">
        <f t="shared" si="15"/>
        <v>建筑类型</v>
      </c>
      <c r="AA29" s="1811">
        <f t="shared" si="3"/>
        <v>1</v>
      </c>
      <c r="AB29" s="1811">
        <f t="shared" si="4"/>
        <v>1</v>
      </c>
      <c r="AC29" s="1811">
        <f t="shared" si="5"/>
        <v>1</v>
      </c>
    </row>
    <row r="30" spans="1:29" s="471" customFormat="1" ht="15">
      <c r="A30" s="468"/>
      <c r="B30" s="422" t="s">
        <v>2562</v>
      </c>
      <c r="C30" s="469">
        <f>'数据-汇总表'!E19</f>
        <v>1723.11</v>
      </c>
      <c r="D30" s="136">
        <v>100</v>
      </c>
      <c r="E30" s="430">
        <v>312</v>
      </c>
      <c r="F30" s="425">
        <f>LOOKUP(E30,91:91,92:92)-LOOKUP(C30,91:91,92:92)+100</f>
        <v>103</v>
      </c>
      <c r="G30" s="429">
        <v>629</v>
      </c>
      <c r="H30" s="136">
        <f>LOOKUP(G30,91:91,92:92)-LOOKUP(C30,91:91,92:92)+100</f>
        <v>102</v>
      </c>
      <c r="I30" s="429">
        <v>320</v>
      </c>
      <c r="J30" s="136">
        <f>LOOKUP(I30,91:91,92:92)-LOOKUP(C30,91:91,92:92)+100</f>
        <v>103</v>
      </c>
      <c r="K30" s="613"/>
      <c r="L30" s="1138"/>
      <c r="M30" s="1141"/>
      <c r="N30" s="1141"/>
      <c r="O30" s="1142"/>
      <c r="P30" s="3183"/>
      <c r="Q30" s="776" t="str">
        <f t="shared" si="11"/>
        <v>项目建筑规模</v>
      </c>
      <c r="R30" s="777" t="s">
        <v>17</v>
      </c>
      <c r="S30" s="778">
        <f t="shared" si="12"/>
        <v>103</v>
      </c>
      <c r="T30" s="777" t="s">
        <v>17</v>
      </c>
      <c r="U30" s="778">
        <f t="shared" si="13"/>
        <v>102</v>
      </c>
      <c r="V30" s="777" t="s">
        <v>17</v>
      </c>
      <c r="W30" s="778">
        <f t="shared" si="14"/>
        <v>103</v>
      </c>
      <c r="X30" s="779"/>
      <c r="Y30" s="3183"/>
      <c r="Z30" s="780" t="str">
        <f t="shared" si="15"/>
        <v>项目建筑规模</v>
      </c>
      <c r="AA30" s="1811">
        <f t="shared" si="3"/>
        <v>0.970873786407767</v>
      </c>
      <c r="AB30" s="1811">
        <f t="shared" si="4"/>
        <v>0.98039215686274506</v>
      </c>
      <c r="AC30" s="1811">
        <f t="shared" si="5"/>
        <v>0.970873786407767</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3"/>
      <c r="Q31" s="1810" t="str">
        <f t="shared" si="11"/>
        <v>建筑结构</v>
      </c>
      <c r="R31" s="774" t="s">
        <v>17</v>
      </c>
      <c r="S31" s="775">
        <f t="shared" si="12"/>
        <v>100</v>
      </c>
      <c r="T31" s="774" t="s">
        <v>17</v>
      </c>
      <c r="U31" s="775">
        <f t="shared" si="13"/>
        <v>100</v>
      </c>
      <c r="V31" s="774" t="s">
        <v>17</v>
      </c>
      <c r="W31" s="775">
        <f t="shared" si="14"/>
        <v>100</v>
      </c>
      <c r="X31" s="1813"/>
      <c r="Y31" s="3183"/>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3"/>
      <c r="Q32" s="1810" t="str">
        <f t="shared" si="11"/>
        <v>公共部分装修</v>
      </c>
      <c r="R32" s="774" t="s">
        <v>17</v>
      </c>
      <c r="S32" s="775">
        <f t="shared" si="12"/>
        <v>100</v>
      </c>
      <c r="T32" s="774" t="s">
        <v>17</v>
      </c>
      <c r="U32" s="775">
        <f t="shared" si="13"/>
        <v>100</v>
      </c>
      <c r="V32" s="774" t="s">
        <v>17</v>
      </c>
      <c r="W32" s="775">
        <f t="shared" si="14"/>
        <v>100</v>
      </c>
      <c r="X32" s="1813"/>
      <c r="Y32" s="3183"/>
      <c r="Z32" s="1814" t="str">
        <f t="shared" si="15"/>
        <v>公共部分装修</v>
      </c>
      <c r="AA32" s="1811">
        <f t="shared" si="3"/>
        <v>1</v>
      </c>
      <c r="AB32" s="1811">
        <f t="shared" si="4"/>
        <v>1</v>
      </c>
      <c r="AC32" s="1811">
        <f t="shared" si="5"/>
        <v>1</v>
      </c>
    </row>
    <row r="33" spans="1:29" ht="15">
      <c r="A33" s="472"/>
      <c r="B33" s="422" t="s">
        <v>2658</v>
      </c>
      <c r="C33" s="469">
        <v>95</v>
      </c>
      <c r="D33" s="435">
        <v>100</v>
      </c>
      <c r="E33" s="474">
        <v>0.95</v>
      </c>
      <c r="F33" s="461">
        <f>LOOKUP(E33,98:98,99:99)-LOOKUP(C33,98:98,99:99)+100</f>
        <v>100</v>
      </c>
      <c r="G33" s="474">
        <v>0.95</v>
      </c>
      <c r="H33" s="461">
        <f>LOOKUP(G33,98:98,99:99)-LOOKUP(C33,98:98,99:99)+100</f>
        <v>100</v>
      </c>
      <c r="I33" s="474">
        <v>0.95</v>
      </c>
      <c r="J33" s="435">
        <f>LOOKUP(I33,98:98,99:99)-LOOKUP(C33,98:98,99:99)+100</f>
        <v>100</v>
      </c>
      <c r="K33" s="612"/>
      <c r="L33" s="1140"/>
      <c r="M33" s="1131"/>
      <c r="N33" s="1131"/>
      <c r="O33" s="1139"/>
      <c r="P33" s="3183"/>
      <c r="Q33" s="1810" t="str">
        <f t="shared" si="11"/>
        <v>成新度</v>
      </c>
      <c r="R33" s="774" t="s">
        <v>17</v>
      </c>
      <c r="S33" s="775">
        <f t="shared" si="12"/>
        <v>100</v>
      </c>
      <c r="T33" s="774" t="s">
        <v>17</v>
      </c>
      <c r="U33" s="775">
        <f t="shared" si="13"/>
        <v>100</v>
      </c>
      <c r="V33" s="774" t="s">
        <v>17</v>
      </c>
      <c r="W33" s="775">
        <f t="shared" si="14"/>
        <v>100</v>
      </c>
      <c r="X33" s="1813"/>
      <c r="Y33" s="3183"/>
      <c r="Z33" s="1814" t="str">
        <f t="shared" si="15"/>
        <v>成新度</v>
      </c>
      <c r="AA33" s="1811">
        <f t="shared" si="3"/>
        <v>1</v>
      </c>
      <c r="AB33" s="1811">
        <f t="shared" si="4"/>
        <v>1</v>
      </c>
      <c r="AC33" s="1811">
        <f t="shared" si="5"/>
        <v>1</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3"/>
      <c r="Q34" s="1795" t="str">
        <f t="shared" si="11"/>
        <v>物业管理</v>
      </c>
      <c r="R34" s="770" t="s">
        <v>17</v>
      </c>
      <c r="S34" s="771">
        <f t="shared" si="12"/>
        <v>100</v>
      </c>
      <c r="T34" s="770" t="s">
        <v>17</v>
      </c>
      <c r="U34" s="771">
        <f t="shared" si="13"/>
        <v>100</v>
      </c>
      <c r="V34" s="770" t="s">
        <v>17</v>
      </c>
      <c r="W34" s="771">
        <f t="shared" si="14"/>
        <v>100</v>
      </c>
      <c r="X34" s="772"/>
      <c r="Y34" s="3183"/>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3" t="s">
        <v>2561</v>
      </c>
      <c r="Q35" s="1810" t="str">
        <f t="shared" si="11"/>
        <v>市政基础设施</v>
      </c>
      <c r="R35" s="774" t="s">
        <v>17</v>
      </c>
      <c r="S35" s="775">
        <f t="shared" si="12"/>
        <v>100</v>
      </c>
      <c r="T35" s="774" t="s">
        <v>17</v>
      </c>
      <c r="U35" s="775">
        <f t="shared" si="13"/>
        <v>100</v>
      </c>
      <c r="V35" s="774" t="s">
        <v>17</v>
      </c>
      <c r="W35" s="775">
        <f t="shared" si="14"/>
        <v>100</v>
      </c>
      <c r="X35" s="1813"/>
      <c r="Y35" s="3183"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3"/>
      <c r="Q36" s="1810" t="str">
        <f t="shared" si="11"/>
        <v>内部装修</v>
      </c>
      <c r="R36" s="774" t="s">
        <v>17</v>
      </c>
      <c r="S36" s="775">
        <f t="shared" si="12"/>
        <v>100</v>
      </c>
      <c r="T36" s="774" t="s">
        <v>17</v>
      </c>
      <c r="U36" s="775">
        <f t="shared" si="13"/>
        <v>100</v>
      </c>
      <c r="V36" s="774" t="s">
        <v>17</v>
      </c>
      <c r="W36" s="775">
        <f t="shared" si="14"/>
        <v>100</v>
      </c>
      <c r="X36" s="1813"/>
      <c r="Y36" s="3183"/>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3"/>
      <c r="Q37" s="1810" t="str">
        <f t="shared" si="11"/>
        <v>内部装修状况</v>
      </c>
      <c r="R37" s="774" t="s">
        <v>17</v>
      </c>
      <c r="S37" s="775">
        <f t="shared" si="12"/>
        <v>100</v>
      </c>
      <c r="T37" s="774" t="s">
        <v>17</v>
      </c>
      <c r="U37" s="775">
        <f t="shared" si="13"/>
        <v>100</v>
      </c>
      <c r="V37" s="774" t="s">
        <v>17</v>
      </c>
      <c r="W37" s="775">
        <f t="shared" si="14"/>
        <v>100</v>
      </c>
      <c r="X37" s="1813"/>
      <c r="Y37" s="318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3"/>
      <c r="Q38" s="776">
        <f t="shared" si="11"/>
        <v>111</v>
      </c>
      <c r="R38" s="777" t="s">
        <v>17</v>
      </c>
      <c r="S38" s="778">
        <f t="shared" si="12"/>
        <v>100</v>
      </c>
      <c r="T38" s="777" t="s">
        <v>17</v>
      </c>
      <c r="U38" s="778">
        <f t="shared" si="13"/>
        <v>100</v>
      </c>
      <c r="V38" s="777" t="s">
        <v>17</v>
      </c>
      <c r="W38" s="778">
        <f t="shared" si="14"/>
        <v>100</v>
      </c>
      <c r="X38" s="779"/>
      <c r="Y38" s="3183"/>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3"/>
      <c r="Q39" s="1810">
        <f t="shared" si="11"/>
        <v>111</v>
      </c>
      <c r="R39" s="774" t="s">
        <v>17</v>
      </c>
      <c r="S39" s="775">
        <f t="shared" si="12"/>
        <v>100</v>
      </c>
      <c r="T39" s="774" t="s">
        <v>17</v>
      </c>
      <c r="U39" s="775">
        <f t="shared" si="13"/>
        <v>100</v>
      </c>
      <c r="V39" s="774" t="s">
        <v>17</v>
      </c>
      <c r="W39" s="775">
        <f t="shared" si="14"/>
        <v>100</v>
      </c>
      <c r="X39" s="1813"/>
      <c r="Y39" s="3183"/>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4"/>
      <c r="Q40" s="1810">
        <f t="shared" si="11"/>
        <v>111</v>
      </c>
      <c r="R40" s="774" t="s">
        <v>17</v>
      </c>
      <c r="S40" s="775">
        <f t="shared" si="12"/>
        <v>100</v>
      </c>
      <c r="T40" s="774" t="s">
        <v>17</v>
      </c>
      <c r="U40" s="775">
        <f t="shared" si="13"/>
        <v>100</v>
      </c>
      <c r="V40" s="774" t="s">
        <v>17</v>
      </c>
      <c r="W40" s="775">
        <f t="shared" si="14"/>
        <v>100</v>
      </c>
      <c r="X40" s="1813"/>
      <c r="Y40" s="3184"/>
      <c r="Z40" s="1814">
        <f t="shared" si="15"/>
        <v>111</v>
      </c>
      <c r="AA40" s="1811">
        <f t="shared" si="3"/>
        <v>1</v>
      </c>
      <c r="AB40" s="1811">
        <f t="shared" si="4"/>
        <v>1</v>
      </c>
      <c r="AC40" s="1811">
        <f t="shared" si="5"/>
        <v>1</v>
      </c>
    </row>
    <row r="41" spans="1:29" ht="15">
      <c r="A41" s="479" t="s">
        <v>2573</v>
      </c>
      <c r="B41" s="480"/>
      <c r="C41" s="1407" t="s">
        <v>1</v>
      </c>
      <c r="D41" s="1408"/>
      <c r="E41" s="1409">
        <v>8000</v>
      </c>
      <c r="F41" s="1410"/>
      <c r="G41" s="1411">
        <f>E41</f>
        <v>8000</v>
      </c>
      <c r="H41" s="1412"/>
      <c r="I41" s="1409">
        <f>E41</f>
        <v>8000</v>
      </c>
      <c r="J41" s="1412"/>
      <c r="K41" s="783"/>
      <c r="L41" s="1143"/>
      <c r="M41" s="1144"/>
      <c r="N41" s="1131"/>
      <c r="O41" s="1144"/>
      <c r="P41" s="3176" t="str">
        <f>A41</f>
        <v>成交单价（元/平方米）</v>
      </c>
      <c r="Q41" s="3176"/>
      <c r="R41" s="3177">
        <f>E41</f>
        <v>8000</v>
      </c>
      <c r="S41" s="3177"/>
      <c r="T41" s="3177">
        <f>G41</f>
        <v>8000</v>
      </c>
      <c r="U41" s="3177"/>
      <c r="V41" s="3177">
        <f>I41</f>
        <v>8000</v>
      </c>
      <c r="W41" s="3177"/>
      <c r="X41" s="759"/>
      <c r="Y41" s="781"/>
      <c r="Z41" s="759"/>
      <c r="AA41" s="759"/>
      <c r="AB41" s="759"/>
      <c r="AC41" s="759"/>
    </row>
    <row r="42" spans="1:29" ht="15.75" thickBot="1">
      <c r="A42" s="486" t="s">
        <v>2665</v>
      </c>
      <c r="B42" s="487"/>
      <c r="C42" s="1413">
        <f>R43</f>
        <v>7792</v>
      </c>
      <c r="D42" s="1414"/>
      <c r="E42" s="1415">
        <f>R42</f>
        <v>7767</v>
      </c>
      <c r="F42" s="1415"/>
      <c r="G42" s="1413">
        <f>T42</f>
        <v>7843</v>
      </c>
      <c r="H42" s="1414"/>
      <c r="I42" s="1415">
        <f>V42</f>
        <v>7767</v>
      </c>
      <c r="J42" s="1414"/>
      <c r="K42" s="784"/>
      <c r="L42" s="1143"/>
      <c r="M42" s="1144"/>
      <c r="N42" s="1131"/>
      <c r="O42" s="1144"/>
      <c r="P42" s="3176" t="str">
        <f>A42</f>
        <v>比较价值（元/平方米）</v>
      </c>
      <c r="Q42" s="3176"/>
      <c r="R42" s="3177">
        <f>IF(F1="售价",ROUND(PRODUCT(R41,AA7:AA40),0),ROUND(PRODUCT(R41,AA7:AA40),1))</f>
        <v>7767</v>
      </c>
      <c r="S42" s="3177"/>
      <c r="T42" s="3177">
        <f>IF(F1="售价",ROUND(PRODUCT(T41,AB7:AB40),0),ROUND(PRODUCT(T41,AB7:AB40),1))</f>
        <v>7843</v>
      </c>
      <c r="U42" s="3177"/>
      <c r="V42" s="3177">
        <f>IF(F1="售价",ROUND(PRODUCT(V41,AC7:AC40),0),ROUND(PRODUCT(V41,AC7:AC40),1))</f>
        <v>7767</v>
      </c>
      <c r="W42" s="3177"/>
      <c r="X42" s="759"/>
      <c r="Y42" s="759"/>
      <c r="Z42" s="759"/>
      <c r="AA42" s="759"/>
      <c r="AB42" s="759"/>
      <c r="AC42" s="759"/>
    </row>
    <row r="43" spans="1:29" ht="15.75" thickBot="1">
      <c r="A43" s="492" t="s">
        <v>2666</v>
      </c>
      <c r="B43" s="493"/>
      <c r="C43" s="1417">
        <f>R43</f>
        <v>7792</v>
      </c>
      <c r="D43" s="1417"/>
      <c r="E43" s="1417"/>
      <c r="F43" s="1417"/>
      <c r="G43" s="1417"/>
      <c r="H43" s="1417"/>
      <c r="I43" s="1417"/>
      <c r="J43" s="1417"/>
      <c r="K43" s="785"/>
      <c r="L43" s="1143"/>
      <c r="M43" s="1144"/>
      <c r="N43" s="1144"/>
      <c r="O43" s="1144"/>
      <c r="P43" s="3173" t="str">
        <f>A43</f>
        <v>估价对象XX用房的比较价值（楼面单价，元/平方米）</v>
      </c>
      <c r="Q43" s="3174"/>
      <c r="R43" s="3175">
        <f>IF(F1="售价",ROUND(AVERAGE(R42:V42),0),ROUND(AVERAGE(R42:V42),1))</f>
        <v>7792</v>
      </c>
      <c r="S43" s="3175"/>
      <c r="T43" s="3175"/>
      <c r="U43" s="3175"/>
      <c r="V43" s="3175"/>
      <c r="W43" s="317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f>IF(E41&lt;E42,E42/E41-1,E41/E42-1)</f>
        <v>2.9998712501609459E-2</v>
      </c>
      <c r="F46" s="500" t="str">
        <f>IF(OR(E46&gt;=0.3,E46&lt;=-0.3),"超过30%","")</f>
        <v/>
      </c>
      <c r="G46" s="499">
        <f>IF(G41&lt;G42,G42/G41-1,G41/G42-1)</f>
        <v>2.0017850312380459E-2</v>
      </c>
      <c r="H46" s="500" t="str">
        <f>IF(OR(G46&gt;=0.3,G46&lt;=-0.3),"超过30%","")</f>
        <v/>
      </c>
      <c r="I46" s="499">
        <f>IF(I41&lt;I42,I42/I41-1,I41/I42-1)</f>
        <v>2.9998712501609459E-2</v>
      </c>
      <c r="J46" s="500" t="str">
        <f>IF(OR(I46&gt;=0.3,I46&lt;=-0.3),"超过30%","")</f>
        <v/>
      </c>
      <c r="K46" s="1105"/>
      <c r="L46" s="1106"/>
      <c r="M46" s="1144"/>
      <c r="N46" s="1144"/>
      <c r="O46" s="1144"/>
    </row>
    <row r="47" spans="1:29" ht="13.5" customHeight="1">
      <c r="A47" s="1144"/>
      <c r="B47" s="1144"/>
      <c r="C47" s="497" t="s">
        <v>2668</v>
      </c>
      <c r="D47" s="501"/>
      <c r="E47" s="499">
        <f>IF(E42&lt;G42,G42/E42-1,E42/G42-1)</f>
        <v>9.7849877687652409E-3</v>
      </c>
      <c r="F47" s="500" t="str">
        <f>IF(OR(E47&gt;=0.2,E47&lt;=-0.2),"超过20%","")</f>
        <v/>
      </c>
      <c r="G47" s="499">
        <f>IF(G42&lt;I42,I42/G42-1,G42/I42-1)</f>
        <v>9.7849877687652409E-3</v>
      </c>
      <c r="H47" s="500" t="str">
        <f>IF(OR(G47&gt;=0.2,G47&lt;=-0.2),"超过20%","")</f>
        <v/>
      </c>
      <c r="I47" s="499">
        <f>IF(I42&lt;E42,E42/I42-1,I42/E42-1)</f>
        <v>0</v>
      </c>
      <c r="J47" s="500" t="str">
        <f>IF(OR(I47&gt;=0.2,I47&lt;=-0.2),"超过20%","")</f>
        <v/>
      </c>
      <c r="K47" s="1105"/>
      <c r="L47" s="1106"/>
      <c r="M47" s="1144"/>
      <c r="N47" s="1144"/>
      <c r="O47" s="1144"/>
    </row>
    <row r="48" spans="1:29" s="502" customFormat="1" ht="13.5" customHeight="1">
      <c r="A48" s="1145"/>
      <c r="B48" s="1145"/>
      <c r="C48" s="497" t="s">
        <v>2669</v>
      </c>
      <c r="D48" s="501"/>
      <c r="E48" s="499">
        <f>IF(E41&lt;G41,G41/E41-1,E41/G41-1)</f>
        <v>0</v>
      </c>
      <c r="F48" s="500" t="str">
        <f>IF(OR(E48&gt;=0.3,E48&lt;=-0.3),"超过30%","")</f>
        <v/>
      </c>
      <c r="G48" s="499">
        <f>IF(G41&lt;I41,I41/G41-1,G41/I41-1)</f>
        <v>0</v>
      </c>
      <c r="H48" s="500" t="str">
        <f>IF(OR(G48&gt;=0.3,G48&lt;=-0.3),"超过30%","")</f>
        <v/>
      </c>
      <c r="I48" s="499">
        <f>IF(I41&lt;E41,E41/I41-1,I41/E41-1)</f>
        <v>0</v>
      </c>
      <c r="J48" s="500" t="str">
        <f>IF(OR(I48&gt;=0.3,I48&lt;=-0.3),"超过30%","")</f>
        <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2019-9</v>
      </c>
      <c r="D52" s="1575">
        <f>EDATE(C52,-1)</f>
        <v>43678</v>
      </c>
      <c r="E52" s="1575">
        <f t="shared" ref="E52:O52" si="16">EDATE(D52,-1)</f>
        <v>43647</v>
      </c>
      <c r="F52" s="1575">
        <f t="shared" si="16"/>
        <v>43617</v>
      </c>
      <c r="G52" s="1575">
        <f t="shared" si="16"/>
        <v>43586</v>
      </c>
      <c r="H52" s="1575">
        <f t="shared" si="16"/>
        <v>43556</v>
      </c>
      <c r="I52" s="1575">
        <f t="shared" si="16"/>
        <v>43525</v>
      </c>
      <c r="J52" s="1575">
        <f t="shared" si="16"/>
        <v>43497</v>
      </c>
      <c r="K52" s="1575">
        <f t="shared" si="16"/>
        <v>43466</v>
      </c>
      <c r="L52" s="1575">
        <f t="shared" si="16"/>
        <v>43435</v>
      </c>
      <c r="M52" s="1575">
        <f t="shared" si="16"/>
        <v>43405</v>
      </c>
      <c r="N52" s="1575">
        <f t="shared" si="16"/>
        <v>43374</v>
      </c>
      <c r="O52" s="1575">
        <f t="shared" si="16"/>
        <v>43344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0（含）-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v>0</v>
      </c>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29.25" thickTop="1">
      <c r="A90" s="534"/>
      <c r="B90" s="538" t="s">
        <v>2609</v>
      </c>
      <c r="C90" s="578" t="str">
        <f>C91&amp;"(含)"&amp;"-"&amp;D91</f>
        <v>0(含)-500</v>
      </c>
      <c r="D90" s="578" t="str">
        <f t="shared" ref="D90:L90" si="20">D91&amp;"(含)"&amp;"-"&amp;E91</f>
        <v>500(含)-1000</v>
      </c>
      <c r="E90" s="578" t="str">
        <f t="shared" si="20"/>
        <v>1000(含)-1500</v>
      </c>
      <c r="F90" s="578" t="str">
        <f t="shared" si="20"/>
        <v>1500(含)-2000</v>
      </c>
      <c r="G90" s="578" t="str">
        <f t="shared" si="20"/>
        <v>2000(含)-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v>0</v>
      </c>
      <c r="D91" s="595">
        <v>500</v>
      </c>
      <c r="E91" s="595">
        <v>1000</v>
      </c>
      <c r="F91" s="595">
        <v>1500</v>
      </c>
      <c r="G91" s="595">
        <v>2000</v>
      </c>
      <c r="H91" s="595"/>
      <c r="I91" s="595"/>
      <c r="J91" s="596"/>
      <c r="K91" s="596"/>
      <c r="L91" s="597"/>
      <c r="M91" s="598"/>
      <c r="N91" s="1154"/>
      <c r="O91" s="1154"/>
      <c r="P91" s="558"/>
      <c r="Q91" s="559"/>
    </row>
    <row r="92" spans="1:17" s="471" customFormat="1" ht="15.75" thickBot="1">
      <c r="A92" s="553"/>
      <c r="B92" s="543"/>
      <c r="C92" s="560">
        <v>100</v>
      </c>
      <c r="D92" s="536">
        <f>C92-1</f>
        <v>99</v>
      </c>
      <c r="E92" s="536">
        <f t="shared" ref="E92:F92" si="21">D92-1</f>
        <v>98</v>
      </c>
      <c r="F92" s="536">
        <f t="shared" si="21"/>
        <v>97</v>
      </c>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2">C94-$K31</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3">C96-$K32</f>
        <v>100</v>
      </c>
      <c r="E96" s="544">
        <f t="shared" si="23"/>
        <v>100</v>
      </c>
      <c r="F96" s="544">
        <f t="shared" si="23"/>
        <v>100</v>
      </c>
      <c r="G96" s="544">
        <f t="shared" si="23"/>
        <v>100</v>
      </c>
      <c r="H96" s="544">
        <f t="shared" si="23"/>
        <v>100</v>
      </c>
      <c r="I96" s="544">
        <f t="shared" si="23"/>
        <v>100</v>
      </c>
      <c r="J96" s="544">
        <f t="shared" si="23"/>
        <v>100</v>
      </c>
      <c r="K96" s="544">
        <f t="shared" si="23"/>
        <v>100</v>
      </c>
      <c r="L96" s="544">
        <f t="shared" si="23"/>
        <v>100</v>
      </c>
      <c r="M96" s="545">
        <f t="shared" si="23"/>
        <v>100</v>
      </c>
      <c r="N96" s="1153"/>
      <c r="O96" s="1153"/>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4">D99+$K33</f>
        <v>100</v>
      </c>
      <c r="F99" s="544">
        <f t="shared" si="24"/>
        <v>100</v>
      </c>
      <c r="G99" s="544">
        <f t="shared" si="24"/>
        <v>100</v>
      </c>
      <c r="H99" s="544">
        <f t="shared" si="24"/>
        <v>100</v>
      </c>
      <c r="I99" s="544">
        <f t="shared" si="24"/>
        <v>100</v>
      </c>
      <c r="J99" s="544">
        <f t="shared" si="24"/>
        <v>100</v>
      </c>
      <c r="K99" s="544">
        <f t="shared" si="24"/>
        <v>100</v>
      </c>
      <c r="L99" s="544">
        <f t="shared" si="24"/>
        <v>100</v>
      </c>
      <c r="M99" s="544">
        <f t="shared" si="24"/>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5">D101-$K34</f>
        <v>100</v>
      </c>
      <c r="F101" s="544">
        <f t="shared" si="25"/>
        <v>100</v>
      </c>
      <c r="G101" s="544">
        <f t="shared" si="25"/>
        <v>100</v>
      </c>
      <c r="H101" s="544">
        <f t="shared" si="25"/>
        <v>100</v>
      </c>
      <c r="I101" s="544">
        <f t="shared" si="25"/>
        <v>100</v>
      </c>
      <c r="J101" s="544">
        <f t="shared" si="25"/>
        <v>100</v>
      </c>
      <c r="K101" s="544">
        <f t="shared" si="25"/>
        <v>100</v>
      </c>
      <c r="L101" s="544">
        <f t="shared" si="25"/>
        <v>100</v>
      </c>
      <c r="M101" s="544">
        <f t="shared" si="25"/>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6">C103-$K35</f>
        <v>100</v>
      </c>
      <c r="E103" s="544">
        <f t="shared" si="26"/>
        <v>100</v>
      </c>
      <c r="F103" s="544">
        <f t="shared" si="26"/>
        <v>100</v>
      </c>
      <c r="G103" s="544">
        <f t="shared" si="26"/>
        <v>100</v>
      </c>
      <c r="H103" s="544">
        <f t="shared" si="26"/>
        <v>100</v>
      </c>
      <c r="I103" s="544">
        <f t="shared" si="26"/>
        <v>100</v>
      </c>
      <c r="J103" s="544">
        <f t="shared" si="26"/>
        <v>100</v>
      </c>
      <c r="K103" s="544">
        <f t="shared" si="26"/>
        <v>100</v>
      </c>
      <c r="L103" s="544">
        <f t="shared" si="26"/>
        <v>100</v>
      </c>
      <c r="M103" s="545">
        <f t="shared" si="26"/>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7">C107-$K37</f>
        <v>100</v>
      </c>
      <c r="E107" s="544">
        <f t="shared" si="27"/>
        <v>100</v>
      </c>
      <c r="F107" s="544">
        <f t="shared" si="27"/>
        <v>100</v>
      </c>
      <c r="G107" s="544">
        <f t="shared" si="27"/>
        <v>100</v>
      </c>
      <c r="H107" s="544">
        <f t="shared" si="27"/>
        <v>100</v>
      </c>
      <c r="I107" s="544">
        <f t="shared" si="27"/>
        <v>100</v>
      </c>
      <c r="J107" s="544">
        <f t="shared" si="27"/>
        <v>100</v>
      </c>
      <c r="K107" s="544">
        <f t="shared" si="27"/>
        <v>100</v>
      </c>
      <c r="L107" s="544">
        <f t="shared" si="27"/>
        <v>100</v>
      </c>
      <c r="M107" s="544">
        <f t="shared" si="27"/>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估价对象为北京市出让国有建设用地使用权及在建建筑物房地产，为所有。根据《国有土地使用证》[]，估价对象（分摊）出让国有建设用地使用权面积为0平方米，建筑面积为1723.11平方米。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工业项目，该项目尚在开发建设中。根据《国有土地使用证》[]，估价对象（分摊）出让国有建设用地使用权面积为0平方米，规划建筑面积为1723.11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2019年9月20日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20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本次评估采用的主估价方法为比较法和收益法。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7"/>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89"/>
      <c r="D2" s="1124" t="e">
        <f ca="1">SUMIF(INDIRECT("'"&amp;F2&amp;"'"&amp;"!A:A"),"承租人权益价值",INDIRECT("'"&amp;F2&amp;"'"&amp;"!c:c"))</f>
        <v>#REF!</v>
      </c>
      <c r="E2" s="2590" t="s">
        <v>2324</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191" t="s">
        <v>2642</v>
      </c>
      <c r="D4" s="3192"/>
      <c r="E4" s="3193" t="s">
        <v>2643</v>
      </c>
      <c r="F4" s="3194"/>
      <c r="G4" s="3191" t="s">
        <v>2644</v>
      </c>
      <c r="H4" s="3192"/>
      <c r="I4" s="3191" t="s">
        <v>2645</v>
      </c>
      <c r="J4" s="3192"/>
      <c r="K4" s="610" t="s">
        <v>2646</v>
      </c>
      <c r="L4" s="1130"/>
      <c r="M4" s="1131"/>
      <c r="N4" s="1131"/>
      <c r="O4" s="1131"/>
      <c r="P4" s="3195" t="s">
        <v>2647</v>
      </c>
      <c r="Q4" s="3196"/>
      <c r="R4" s="3201" t="s">
        <v>2643</v>
      </c>
      <c r="S4" s="3202"/>
      <c r="T4" s="3201" t="s">
        <v>2644</v>
      </c>
      <c r="U4" s="3202"/>
      <c r="V4" s="3207" t="s">
        <v>2645</v>
      </c>
      <c r="W4" s="3207"/>
      <c r="X4" s="1813"/>
      <c r="Y4" s="3201" t="s">
        <v>2647</v>
      </c>
      <c r="Z4" s="3202"/>
      <c r="AA4" s="3188" t="s">
        <v>2643</v>
      </c>
      <c r="AB4" s="3189" t="s">
        <v>2644</v>
      </c>
      <c r="AC4" s="3188" t="s">
        <v>2645</v>
      </c>
    </row>
    <row r="5" spans="1:29" ht="15">
      <c r="A5" s="404"/>
      <c r="B5" s="405"/>
      <c r="C5" s="3210" t="s">
        <v>2538</v>
      </c>
      <c r="D5" s="3211"/>
      <c r="E5" s="3217" t="s">
        <v>2539</v>
      </c>
      <c r="F5" s="3218"/>
      <c r="G5" s="3210" t="s">
        <v>2540</v>
      </c>
      <c r="H5" s="3211"/>
      <c r="I5" s="3210" t="s">
        <v>2541</v>
      </c>
      <c r="J5" s="3211"/>
      <c r="K5" s="610"/>
      <c r="L5" s="1130"/>
      <c r="M5" s="1131"/>
      <c r="N5" s="1131"/>
      <c r="O5" s="1131"/>
      <c r="P5" s="3197"/>
      <c r="Q5" s="3198"/>
      <c r="R5" s="3203"/>
      <c r="S5" s="3204"/>
      <c r="T5" s="3203"/>
      <c r="U5" s="3204"/>
      <c r="V5" s="3207"/>
      <c r="W5" s="3207"/>
      <c r="X5" s="1813"/>
      <c r="Y5" s="3203"/>
      <c r="Z5" s="3204"/>
      <c r="AA5" s="3189"/>
      <c r="AB5" s="3189"/>
      <c r="AC5" s="3189"/>
    </row>
    <row r="6" spans="1:29" ht="15.75" thickBot="1">
      <c r="A6" s="406"/>
      <c r="B6" s="407"/>
      <c r="C6" s="3208" t="s">
        <v>2542</v>
      </c>
      <c r="D6" s="3209"/>
      <c r="E6" s="3215" t="s">
        <v>2542</v>
      </c>
      <c r="F6" s="3216"/>
      <c r="G6" s="3208" t="s">
        <v>2542</v>
      </c>
      <c r="H6" s="3209"/>
      <c r="I6" s="3208" t="s">
        <v>2542</v>
      </c>
      <c r="J6" s="3209"/>
      <c r="K6" s="610" t="s">
        <v>2543</v>
      </c>
      <c r="L6" s="1130"/>
      <c r="M6" s="1131"/>
      <c r="N6" s="1131"/>
      <c r="O6" s="1131"/>
      <c r="P6" s="3199"/>
      <c r="Q6" s="3200"/>
      <c r="R6" s="3203"/>
      <c r="S6" s="3204"/>
      <c r="T6" s="3205"/>
      <c r="U6" s="3206"/>
      <c r="V6" s="3207"/>
      <c r="W6" s="3207"/>
      <c r="X6" s="1813"/>
      <c r="Y6" s="3205"/>
      <c r="Z6" s="3206"/>
      <c r="AA6" s="3190"/>
      <c r="AB6" s="3190"/>
      <c r="AC6" s="3190"/>
    </row>
    <row r="7" spans="1:29" s="117" customFormat="1" ht="15.75" thickBot="1">
      <c r="A7" s="408" t="s">
        <v>2544</v>
      </c>
      <c r="B7" s="409"/>
      <c r="C7" s="410">
        <f>'数据-取费表'!B2</f>
        <v>43728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2" t="s">
        <v>2545</v>
      </c>
      <c r="Q7" s="3214"/>
      <c r="R7" s="770" t="s">
        <v>17</v>
      </c>
      <c r="S7" s="771">
        <f t="shared" ref="S7:S14" si="0">F7</f>
        <v>0</v>
      </c>
      <c r="T7" s="770" t="s">
        <v>17</v>
      </c>
      <c r="U7" s="771">
        <f t="shared" ref="U7:U14" si="1">H7</f>
        <v>0</v>
      </c>
      <c r="V7" s="770" t="s">
        <v>17</v>
      </c>
      <c r="W7" s="771">
        <f t="shared" ref="W7:W14" si="2">J7</f>
        <v>0</v>
      </c>
      <c r="X7" s="772"/>
      <c r="Y7" s="3212" t="s">
        <v>2545</v>
      </c>
      <c r="Z7" s="3213"/>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2" t="s">
        <v>2548</v>
      </c>
      <c r="Q8" s="3213"/>
      <c r="R8" s="770" t="s">
        <v>17</v>
      </c>
      <c r="S8" s="771">
        <f t="shared" si="0"/>
        <v>0</v>
      </c>
      <c r="T8" s="770" t="s">
        <v>17</v>
      </c>
      <c r="U8" s="771">
        <f t="shared" si="1"/>
        <v>0</v>
      </c>
      <c r="V8" s="770" t="s">
        <v>17</v>
      </c>
      <c r="W8" s="771">
        <f t="shared" si="2"/>
        <v>0</v>
      </c>
      <c r="X8" s="772"/>
      <c r="Y8" s="3212" t="s">
        <v>2548</v>
      </c>
      <c r="Z8" s="3213"/>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6" t="s">
        <v>2551</v>
      </c>
      <c r="Q9" s="1795" t="str">
        <f t="shared" ref="Q9:Q14" si="6">B9</f>
        <v>用途</v>
      </c>
      <c r="R9" s="770" t="s">
        <v>17</v>
      </c>
      <c r="S9" s="771">
        <f t="shared" si="0"/>
        <v>100</v>
      </c>
      <c r="T9" s="770" t="s">
        <v>17</v>
      </c>
      <c r="U9" s="771">
        <f t="shared" si="1"/>
        <v>100</v>
      </c>
      <c r="V9" s="770" t="s">
        <v>17</v>
      </c>
      <c r="W9" s="771">
        <f t="shared" si="2"/>
        <v>100</v>
      </c>
      <c r="X9" s="772"/>
      <c r="Y9" s="3001"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6"/>
      <c r="Q10" s="1795"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6"/>
      <c r="Q11" s="1795">
        <f t="shared" si="6"/>
        <v>111</v>
      </c>
      <c r="R11" s="770" t="s">
        <v>17</v>
      </c>
      <c r="S11" s="771">
        <f t="shared" si="0"/>
        <v>100</v>
      </c>
      <c r="T11" s="770" t="s">
        <v>17</v>
      </c>
      <c r="U11" s="771">
        <f t="shared" si="1"/>
        <v>100</v>
      </c>
      <c r="V11" s="770" t="s">
        <v>17</v>
      </c>
      <c r="W11" s="771">
        <f t="shared" si="2"/>
        <v>100</v>
      </c>
      <c r="X11" s="772"/>
      <c r="Y11" s="300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6"/>
      <c r="Q12" s="1795">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6"/>
      <c r="Q13" s="1795">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85.5">
      <c r="A14" s="401" t="s">
        <v>2555</v>
      </c>
      <c r="B14" s="629" t="s">
        <v>2705</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8" t="s">
        <v>2556</v>
      </c>
      <c r="Q14" s="1810" t="str">
        <f t="shared" si="6"/>
        <v>交通便捷度</v>
      </c>
      <c r="R14" s="774" t="s">
        <v>17</v>
      </c>
      <c r="S14" s="775">
        <f t="shared" si="0"/>
        <v>100</v>
      </c>
      <c r="T14" s="774" t="s">
        <v>17</v>
      </c>
      <c r="U14" s="775">
        <f t="shared" si="1"/>
        <v>100</v>
      </c>
      <c r="V14" s="774" t="s">
        <v>17</v>
      </c>
      <c r="W14" s="775">
        <f t="shared" si="2"/>
        <v>100</v>
      </c>
      <c r="X14" s="1813"/>
      <c r="Y14" s="3178"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9"/>
      <c r="Q15" s="1810"/>
      <c r="R15" s="774"/>
      <c r="S15" s="775"/>
      <c r="T15" s="774"/>
      <c r="U15" s="775"/>
      <c r="V15" s="774"/>
      <c r="W15" s="775"/>
      <c r="X15" s="1813"/>
      <c r="Y15" s="3179"/>
      <c r="Z15" s="1814"/>
      <c r="AA15" s="1811">
        <v>1</v>
      </c>
      <c r="AB15" s="1811">
        <v>1</v>
      </c>
      <c r="AC15" s="1811">
        <v>1</v>
      </c>
    </row>
    <row r="16" spans="1:29" ht="42.75">
      <c r="A16" s="404"/>
      <c r="B16" s="631" t="s">
        <v>2684</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9"/>
      <c r="Q16" s="1810" t="str">
        <f>B16</f>
        <v>公共配套设施</v>
      </c>
      <c r="R16" s="774" t="s">
        <v>17</v>
      </c>
      <c r="S16" s="775">
        <f>F16</f>
        <v>100</v>
      </c>
      <c r="T16" s="774" t="s">
        <v>17</v>
      </c>
      <c r="U16" s="775">
        <f>H16</f>
        <v>100</v>
      </c>
      <c r="V16" s="774" t="s">
        <v>17</v>
      </c>
      <c r="W16" s="775">
        <f>J16</f>
        <v>100</v>
      </c>
      <c r="X16" s="1813"/>
      <c r="Y16" s="3179"/>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179"/>
      <c r="Q17" s="1810"/>
      <c r="R17" s="774"/>
      <c r="S17" s="775"/>
      <c r="T17" s="774"/>
      <c r="U17" s="775"/>
      <c r="V17" s="774"/>
      <c r="W17" s="775"/>
      <c r="X17" s="1813"/>
      <c r="Y17" s="3179"/>
      <c r="Z17" s="1814"/>
      <c r="AA17" s="1811">
        <v>1</v>
      </c>
      <c r="AB17" s="1811">
        <v>1</v>
      </c>
      <c r="AC17" s="1811">
        <v>1</v>
      </c>
    </row>
    <row r="18" spans="1:29" ht="28.5">
      <c r="A18" s="404"/>
      <c r="B18" s="633" t="s">
        <v>2685</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9"/>
      <c r="Q18" s="1810" t="str">
        <f>B18</f>
        <v>基础设施水平</v>
      </c>
      <c r="R18" s="774" t="s">
        <v>17</v>
      </c>
      <c r="S18" s="775">
        <f>F18</f>
        <v>100</v>
      </c>
      <c r="T18" s="774" t="s">
        <v>17</v>
      </c>
      <c r="U18" s="775">
        <f>H18</f>
        <v>100</v>
      </c>
      <c r="V18" s="774" t="s">
        <v>17</v>
      </c>
      <c r="W18" s="775">
        <f>J18</f>
        <v>100</v>
      </c>
      <c r="X18" s="1813"/>
      <c r="Y18" s="3179"/>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179"/>
      <c r="Q19" s="1810"/>
      <c r="R19" s="774"/>
      <c r="S19" s="775"/>
      <c r="T19" s="774"/>
      <c r="U19" s="775"/>
      <c r="V19" s="774"/>
      <c r="W19" s="775"/>
      <c r="X19" s="1813"/>
      <c r="Y19" s="3179"/>
      <c r="Z19" s="1814"/>
      <c r="AA19" s="1811">
        <v>1</v>
      </c>
      <c r="AB19" s="1811">
        <v>1</v>
      </c>
      <c r="AC19" s="1811">
        <v>1</v>
      </c>
    </row>
    <row r="20" spans="1:29" ht="57">
      <c r="A20" s="404"/>
      <c r="B20" s="631" t="s">
        <v>2706</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9"/>
      <c r="Q20" s="1810" t="str">
        <f>B20</f>
        <v>自然及人文环境</v>
      </c>
      <c r="R20" s="774" t="s">
        <v>17</v>
      </c>
      <c r="S20" s="775">
        <f>F20</f>
        <v>100</v>
      </c>
      <c r="T20" s="774" t="s">
        <v>17</v>
      </c>
      <c r="U20" s="775">
        <f>H20</f>
        <v>100</v>
      </c>
      <c r="V20" s="774" t="s">
        <v>17</v>
      </c>
      <c r="W20" s="775">
        <f>J20</f>
        <v>100</v>
      </c>
      <c r="X20" s="1813"/>
      <c r="Y20" s="317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9"/>
      <c r="Q21" s="1810"/>
      <c r="R21" s="774"/>
      <c r="S21" s="775"/>
      <c r="T21" s="774"/>
      <c r="U21" s="775"/>
      <c r="V21" s="774"/>
      <c r="W21" s="775"/>
      <c r="X21" s="1813"/>
      <c r="Y21" s="3179"/>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9"/>
      <c r="Q22" s="1810" t="str">
        <f>B22</f>
        <v>楼层</v>
      </c>
      <c r="R22" s="774" t="s">
        <v>17</v>
      </c>
      <c r="S22" s="775">
        <f>F22</f>
        <v>100</v>
      </c>
      <c r="T22" s="774" t="s">
        <v>17</v>
      </c>
      <c r="U22" s="775">
        <f>H22</f>
        <v>100</v>
      </c>
      <c r="V22" s="774" t="s">
        <v>17</v>
      </c>
      <c r="W22" s="775">
        <f>J22</f>
        <v>100</v>
      </c>
      <c r="X22" s="1813"/>
      <c r="Y22" s="317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9"/>
      <c r="Q23" s="1810">
        <f>B23</f>
        <v>111</v>
      </c>
      <c r="R23" s="774" t="s">
        <v>17</v>
      </c>
      <c r="S23" s="775">
        <f>F23</f>
        <v>100</v>
      </c>
      <c r="T23" s="774" t="s">
        <v>17</v>
      </c>
      <c r="U23" s="775">
        <f>H23</f>
        <v>100</v>
      </c>
      <c r="V23" s="774" t="s">
        <v>17</v>
      </c>
      <c r="W23" s="775">
        <f>J23</f>
        <v>100</v>
      </c>
      <c r="X23" s="1813"/>
      <c r="Y23" s="317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9"/>
      <c r="Q24" s="1810">
        <f t="shared" ref="Q24:Q36" si="11">B24</f>
        <v>111</v>
      </c>
      <c r="R24" s="774" t="s">
        <v>17</v>
      </c>
      <c r="S24" s="775">
        <f>F24</f>
        <v>100</v>
      </c>
      <c r="T24" s="774" t="s">
        <v>17</v>
      </c>
      <c r="U24" s="775">
        <f>H24</f>
        <v>100</v>
      </c>
      <c r="V24" s="774" t="s">
        <v>17</v>
      </c>
      <c r="W24" s="775">
        <f>J24</f>
        <v>100</v>
      </c>
      <c r="X24" s="1813"/>
      <c r="Y24" s="3179"/>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9"/>
      <c r="Q25" s="1795">
        <f t="shared" si="11"/>
        <v>111</v>
      </c>
      <c r="R25" s="770" t="s">
        <v>17</v>
      </c>
      <c r="S25" s="771">
        <f>F25</f>
        <v>100</v>
      </c>
      <c r="T25" s="770" t="s">
        <v>17</v>
      </c>
      <c r="U25" s="771">
        <f>H25</f>
        <v>100</v>
      </c>
      <c r="V25" s="770" t="s">
        <v>17</v>
      </c>
      <c r="W25" s="771">
        <f>J25</f>
        <v>100</v>
      </c>
      <c r="X25" s="772"/>
      <c r="Y25" s="3179"/>
      <c r="Z25" s="55">
        <f>Q25</f>
        <v>111</v>
      </c>
      <c r="AA25" s="1811">
        <f>D25/F25</f>
        <v>1</v>
      </c>
      <c r="AB25" s="1811">
        <f>D25/H25</f>
        <v>1</v>
      </c>
      <c r="AC25" s="1811">
        <f>D25/J25</f>
        <v>1</v>
      </c>
    </row>
    <row r="26" spans="1:29" ht="28.5">
      <c r="A26" s="652" t="s">
        <v>2559</v>
      </c>
      <c r="B26" s="70" t="s">
        <v>2708</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4"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3"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3"/>
      <c r="Q27" s="776" t="str">
        <f t="shared" si="11"/>
        <v>项目停车位配比</v>
      </c>
      <c r="R27" s="777" t="s">
        <v>17</v>
      </c>
      <c r="S27" s="778">
        <f t="shared" si="12"/>
        <v>100</v>
      </c>
      <c r="T27" s="777" t="s">
        <v>17</v>
      </c>
      <c r="U27" s="778">
        <f t="shared" si="13"/>
        <v>100</v>
      </c>
      <c r="V27" s="777" t="s">
        <v>17</v>
      </c>
      <c r="W27" s="778">
        <f t="shared" si="14"/>
        <v>100</v>
      </c>
      <c r="X27" s="779"/>
      <c r="Y27" s="3183"/>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3"/>
      <c r="Q28" s="1810" t="str">
        <f t="shared" si="11"/>
        <v>公共部分装修</v>
      </c>
      <c r="R28" s="774" t="s">
        <v>17</v>
      </c>
      <c r="S28" s="775">
        <f t="shared" si="12"/>
        <v>100</v>
      </c>
      <c r="T28" s="774" t="s">
        <v>17</v>
      </c>
      <c r="U28" s="775">
        <f t="shared" si="13"/>
        <v>100</v>
      </c>
      <c r="V28" s="774" t="s">
        <v>17</v>
      </c>
      <c r="W28" s="775">
        <f t="shared" si="14"/>
        <v>100</v>
      </c>
      <c r="X28" s="1813"/>
      <c r="Y28" s="3183"/>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3"/>
      <c r="Q29" s="1810" t="str">
        <f t="shared" si="11"/>
        <v>成新率</v>
      </c>
      <c r="R29" s="774" t="s">
        <v>17</v>
      </c>
      <c r="S29" s="775" t="e">
        <f t="shared" si="12"/>
        <v>#N/A</v>
      </c>
      <c r="T29" s="774" t="s">
        <v>17</v>
      </c>
      <c r="U29" s="775" t="e">
        <f t="shared" si="13"/>
        <v>#N/A</v>
      </c>
      <c r="V29" s="774" t="s">
        <v>17</v>
      </c>
      <c r="W29" s="775" t="e">
        <f t="shared" si="14"/>
        <v>#N/A</v>
      </c>
      <c r="X29" s="1813"/>
      <c r="Y29" s="3183"/>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3"/>
      <c r="Q30" s="1810" t="str">
        <f t="shared" si="11"/>
        <v>物业等级</v>
      </c>
      <c r="R30" s="774" t="s">
        <v>17</v>
      </c>
      <c r="S30" s="775">
        <f t="shared" si="12"/>
        <v>100</v>
      </c>
      <c r="T30" s="774" t="s">
        <v>17</v>
      </c>
      <c r="U30" s="775">
        <f t="shared" si="13"/>
        <v>100</v>
      </c>
      <c r="V30" s="774" t="s">
        <v>17</v>
      </c>
      <c r="W30" s="775">
        <f t="shared" si="14"/>
        <v>100</v>
      </c>
      <c r="X30" s="1813"/>
      <c r="Y30" s="3183"/>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3"/>
      <c r="Q31" s="1795" t="str">
        <f t="shared" si="11"/>
        <v>停车位面积</v>
      </c>
      <c r="R31" s="770" t="s">
        <v>17</v>
      </c>
      <c r="S31" s="771" t="e">
        <f t="shared" si="12"/>
        <v>#N/A</v>
      </c>
      <c r="T31" s="770" t="s">
        <v>17</v>
      </c>
      <c r="U31" s="771" t="e">
        <f t="shared" si="13"/>
        <v>#N/A</v>
      </c>
      <c r="V31" s="770" t="s">
        <v>17</v>
      </c>
      <c r="W31" s="771" t="e">
        <f t="shared" si="14"/>
        <v>#N/A</v>
      </c>
      <c r="X31" s="772"/>
      <c r="Y31" s="3183"/>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3" t="s">
        <v>2561</v>
      </c>
      <c r="Q32" s="1810" t="str">
        <f t="shared" si="11"/>
        <v>车位类型</v>
      </c>
      <c r="R32" s="774" t="s">
        <v>17</v>
      </c>
      <c r="S32" s="775">
        <f t="shared" si="12"/>
        <v>100</v>
      </c>
      <c r="T32" s="774" t="s">
        <v>17</v>
      </c>
      <c r="U32" s="775">
        <f t="shared" si="13"/>
        <v>100</v>
      </c>
      <c r="V32" s="774" t="s">
        <v>17</v>
      </c>
      <c r="W32" s="775">
        <f t="shared" si="14"/>
        <v>100</v>
      </c>
      <c r="X32" s="1813"/>
      <c r="Y32" s="3183"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3"/>
      <c r="Q33" s="1810" t="str">
        <f t="shared" si="11"/>
        <v>是否直接入户</v>
      </c>
      <c r="R33" s="774" t="s">
        <v>17</v>
      </c>
      <c r="S33" s="775">
        <f t="shared" si="12"/>
        <v>100</v>
      </c>
      <c r="T33" s="774" t="s">
        <v>17</v>
      </c>
      <c r="U33" s="775">
        <f t="shared" si="13"/>
        <v>100</v>
      </c>
      <c r="V33" s="774" t="s">
        <v>17</v>
      </c>
      <c r="W33" s="775">
        <f t="shared" si="14"/>
        <v>100</v>
      </c>
      <c r="X33" s="1813"/>
      <c r="Y33" s="318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3"/>
      <c r="Q34" s="1810">
        <f t="shared" si="11"/>
        <v>111</v>
      </c>
      <c r="R34" s="774" t="s">
        <v>17</v>
      </c>
      <c r="S34" s="775">
        <f t="shared" si="12"/>
        <v>100</v>
      </c>
      <c r="T34" s="774" t="s">
        <v>17</v>
      </c>
      <c r="U34" s="775">
        <f t="shared" si="13"/>
        <v>100</v>
      </c>
      <c r="V34" s="774" t="s">
        <v>17</v>
      </c>
      <c r="W34" s="775">
        <f t="shared" si="14"/>
        <v>100</v>
      </c>
      <c r="X34" s="1813"/>
      <c r="Y34" s="318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3"/>
      <c r="Q35" s="776">
        <f t="shared" si="11"/>
        <v>111</v>
      </c>
      <c r="R35" s="777" t="s">
        <v>17</v>
      </c>
      <c r="S35" s="778">
        <f t="shared" si="12"/>
        <v>100</v>
      </c>
      <c r="T35" s="777" t="s">
        <v>17</v>
      </c>
      <c r="U35" s="778">
        <f t="shared" si="13"/>
        <v>100</v>
      </c>
      <c r="V35" s="777" t="s">
        <v>17</v>
      </c>
      <c r="W35" s="778">
        <f t="shared" si="14"/>
        <v>100</v>
      </c>
      <c r="X35" s="779"/>
      <c r="Y35" s="3183"/>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3"/>
      <c r="Q36" s="1810">
        <f t="shared" si="11"/>
        <v>111</v>
      </c>
      <c r="R36" s="774" t="s">
        <v>17</v>
      </c>
      <c r="S36" s="775">
        <f t="shared" si="12"/>
        <v>100</v>
      </c>
      <c r="T36" s="774" t="s">
        <v>17</v>
      </c>
      <c r="U36" s="775">
        <f t="shared" si="13"/>
        <v>100</v>
      </c>
      <c r="V36" s="774" t="s">
        <v>17</v>
      </c>
      <c r="W36" s="775">
        <f t="shared" si="14"/>
        <v>100</v>
      </c>
      <c r="X36" s="1813"/>
      <c r="Y36" s="3183"/>
      <c r="Z36" s="1814">
        <f t="shared" si="15"/>
        <v>111</v>
      </c>
      <c r="AA36" s="1811">
        <f t="shared" si="3"/>
        <v>1</v>
      </c>
      <c r="AB36" s="1811">
        <f t="shared" si="4"/>
        <v>1</v>
      </c>
      <c r="AC36" s="1811">
        <f t="shared" si="5"/>
        <v>1</v>
      </c>
    </row>
    <row r="37" spans="1:29" ht="15">
      <c r="A37" s="479" t="s">
        <v>2716</v>
      </c>
      <c r="B37" s="2698" t="s">
        <v>2717</v>
      </c>
      <c r="C37" s="1407" t="s">
        <v>1</v>
      </c>
      <c r="D37" s="1408"/>
      <c r="E37" s="1409"/>
      <c r="F37" s="1410"/>
      <c r="G37" s="1411"/>
      <c r="H37" s="1412"/>
      <c r="I37" s="1409"/>
      <c r="J37" s="1412"/>
      <c r="K37" s="619"/>
      <c r="L37" s="1143"/>
      <c r="M37" s="1144"/>
      <c r="N37" s="1131"/>
      <c r="O37" s="1144"/>
      <c r="P37" s="3176" t="str">
        <f>A37</f>
        <v>成交单价</v>
      </c>
      <c r="Q37" s="3176"/>
      <c r="R37" s="3177">
        <f>E37</f>
        <v>0</v>
      </c>
      <c r="S37" s="3177"/>
      <c r="T37" s="3177">
        <f>G37</f>
        <v>0</v>
      </c>
      <c r="U37" s="3177"/>
      <c r="V37" s="3177">
        <f>I37</f>
        <v>0</v>
      </c>
      <c r="W37" s="3177"/>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6" t="str">
        <f>A38</f>
        <v>比较价值（元/平方米）</v>
      </c>
      <c r="Q38" s="3176"/>
      <c r="R38" s="3177" t="e">
        <f>IF(F1="售价",ROUND(PRODUCT(R37,AA7:AA36),0),ROUND(PRODUCT(R37,AA7:AA36),1))</f>
        <v>#DIV/0!</v>
      </c>
      <c r="S38" s="3177"/>
      <c r="T38" s="3177" t="e">
        <f>IF(F1="售价",ROUND(PRODUCT(T37,AB7:AB36),0),ROUND(PRODUCT(T37,AB7:AB36),1))</f>
        <v>#DIV/0!</v>
      </c>
      <c r="U38" s="3177"/>
      <c r="V38" s="3177" t="e">
        <f>IF(F1="售价",ROUND(PRODUCT(V37,AC7:AC36),0),ROUND(PRODUCT(V37,AC7:AC36),1))</f>
        <v>#DIV/0!</v>
      </c>
      <c r="W38" s="3177"/>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173" t="str">
        <f>A39</f>
        <v>估价对象XX用房的比较价值（楼面单价，元/平方米）</v>
      </c>
      <c r="Q39" s="3174"/>
      <c r="R39" s="3175" t="e">
        <f>IF(F1="售价",ROUND(AVERAGE(R38:V38),0),ROUND(AVERAGE(R38:V38),1))</f>
        <v>#DIV/0!</v>
      </c>
      <c r="S39" s="3175"/>
      <c r="T39" s="3175"/>
      <c r="U39" s="3175"/>
      <c r="V39" s="3175"/>
      <c r="W39" s="317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2019-9</v>
      </c>
      <c r="D48" s="1575">
        <f>EDATE(C48,-1)</f>
        <v>43678</v>
      </c>
      <c r="E48" s="1575">
        <f t="shared" ref="E48:O48" si="16">EDATE(D48,-1)</f>
        <v>43647</v>
      </c>
      <c r="F48" s="1575">
        <f t="shared" si="16"/>
        <v>43617</v>
      </c>
      <c r="G48" s="1575">
        <f t="shared" si="16"/>
        <v>43586</v>
      </c>
      <c r="H48" s="1575">
        <f t="shared" si="16"/>
        <v>43556</v>
      </c>
      <c r="I48" s="1575">
        <f t="shared" si="16"/>
        <v>43525</v>
      </c>
      <c r="J48" s="1575">
        <f t="shared" si="16"/>
        <v>43497</v>
      </c>
      <c r="K48" s="1575">
        <f t="shared" si="16"/>
        <v>43466</v>
      </c>
      <c r="L48" s="1575">
        <f t="shared" si="16"/>
        <v>43435</v>
      </c>
      <c r="M48" s="1575">
        <f t="shared" si="16"/>
        <v>43405</v>
      </c>
      <c r="N48" s="1575">
        <f t="shared" si="16"/>
        <v>43374</v>
      </c>
      <c r="O48" s="1575">
        <f t="shared" si="16"/>
        <v>43344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7"/>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89"/>
      <c r="D2" s="1124" t="e">
        <f ca="1">SUMIF(INDIRECT("'"&amp;F2&amp;"'"&amp;"!A:A"),"承租人权益价值",INDIRECT("'"&amp;F2&amp;"'"&amp;"!c:c"))</f>
        <v>#REF!</v>
      </c>
      <c r="E2" s="2590" t="s">
        <v>2324</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1" t="s">
        <v>2642</v>
      </c>
      <c r="D4" s="3192"/>
      <c r="E4" s="3193" t="s">
        <v>2643</v>
      </c>
      <c r="F4" s="3194"/>
      <c r="G4" s="3191" t="s">
        <v>2644</v>
      </c>
      <c r="H4" s="3192"/>
      <c r="I4" s="3191" t="s">
        <v>2645</v>
      </c>
      <c r="J4" s="3192"/>
      <c r="K4" s="610" t="s">
        <v>2646</v>
      </c>
      <c r="L4" s="1130"/>
      <c r="M4" s="1131"/>
      <c r="N4" s="1131"/>
      <c r="O4" s="1131"/>
      <c r="P4" s="3195" t="s">
        <v>2647</v>
      </c>
      <c r="Q4" s="3196"/>
      <c r="R4" s="3201" t="s">
        <v>2643</v>
      </c>
      <c r="S4" s="3202"/>
      <c r="T4" s="3201" t="s">
        <v>2644</v>
      </c>
      <c r="U4" s="3202"/>
      <c r="V4" s="3207" t="s">
        <v>2645</v>
      </c>
      <c r="W4" s="3207"/>
      <c r="X4" s="1813"/>
      <c r="Y4" s="3201" t="s">
        <v>2647</v>
      </c>
      <c r="Z4" s="3202"/>
      <c r="AA4" s="3188" t="s">
        <v>2643</v>
      </c>
      <c r="AB4" s="3189" t="s">
        <v>2644</v>
      </c>
      <c r="AC4" s="3188" t="s">
        <v>2645</v>
      </c>
    </row>
    <row r="5" spans="1:29" ht="15">
      <c r="A5" s="404"/>
      <c r="B5" s="405"/>
      <c r="C5" s="3210" t="s">
        <v>2538</v>
      </c>
      <c r="D5" s="3211"/>
      <c r="E5" s="3217" t="s">
        <v>2539</v>
      </c>
      <c r="F5" s="3218"/>
      <c r="G5" s="3210" t="s">
        <v>2540</v>
      </c>
      <c r="H5" s="3211"/>
      <c r="I5" s="3210" t="s">
        <v>2541</v>
      </c>
      <c r="J5" s="3211"/>
      <c r="K5" s="610"/>
      <c r="L5" s="1130"/>
      <c r="M5" s="1131"/>
      <c r="N5" s="1131"/>
      <c r="O5" s="1131"/>
      <c r="P5" s="3197"/>
      <c r="Q5" s="3198"/>
      <c r="R5" s="3203"/>
      <c r="S5" s="3204"/>
      <c r="T5" s="3203"/>
      <c r="U5" s="3204"/>
      <c r="V5" s="3207"/>
      <c r="W5" s="3207"/>
      <c r="X5" s="1813"/>
      <c r="Y5" s="3203"/>
      <c r="Z5" s="3204"/>
      <c r="AA5" s="3189"/>
      <c r="AB5" s="3189"/>
      <c r="AC5" s="3189"/>
    </row>
    <row r="6" spans="1:29" ht="15.75" thickBot="1">
      <c r="A6" s="406"/>
      <c r="B6" s="407"/>
      <c r="C6" s="3208" t="s">
        <v>2542</v>
      </c>
      <c r="D6" s="3209"/>
      <c r="E6" s="3215" t="s">
        <v>2542</v>
      </c>
      <c r="F6" s="3216"/>
      <c r="G6" s="3208" t="s">
        <v>2542</v>
      </c>
      <c r="H6" s="3209"/>
      <c r="I6" s="3208" t="s">
        <v>2542</v>
      </c>
      <c r="J6" s="3209"/>
      <c r="K6" s="610" t="s">
        <v>2543</v>
      </c>
      <c r="L6" s="1130"/>
      <c r="M6" s="1131"/>
      <c r="N6" s="1131"/>
      <c r="O6" s="1131"/>
      <c r="P6" s="3199"/>
      <c r="Q6" s="3200"/>
      <c r="R6" s="3203"/>
      <c r="S6" s="3204"/>
      <c r="T6" s="3205"/>
      <c r="U6" s="3206"/>
      <c r="V6" s="3207"/>
      <c r="W6" s="3207"/>
      <c r="X6" s="1813"/>
      <c r="Y6" s="3205"/>
      <c r="Z6" s="3206"/>
      <c r="AA6" s="3190"/>
      <c r="AB6" s="3190"/>
      <c r="AC6" s="3190"/>
    </row>
    <row r="7" spans="1:29" s="117" customFormat="1" ht="15.75" thickBot="1">
      <c r="A7" s="408" t="s">
        <v>2544</v>
      </c>
      <c r="B7" s="409"/>
      <c r="C7" s="410">
        <f>'数据-取费表'!B2</f>
        <v>43728</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212" t="s">
        <v>2545</v>
      </c>
      <c r="Q7" s="3214"/>
      <c r="R7" s="770" t="s">
        <v>17</v>
      </c>
      <c r="S7" s="771">
        <f t="shared" ref="S7:S14" si="0">F7</f>
        <v>0</v>
      </c>
      <c r="T7" s="770" t="s">
        <v>17</v>
      </c>
      <c r="U7" s="771">
        <f t="shared" ref="U7:U14" si="1">H7</f>
        <v>0</v>
      </c>
      <c r="V7" s="770" t="s">
        <v>17</v>
      </c>
      <c r="W7" s="771">
        <f t="shared" ref="W7:W14" si="2">J7</f>
        <v>0</v>
      </c>
      <c r="X7" s="772"/>
      <c r="Y7" s="3212" t="s">
        <v>2545</v>
      </c>
      <c r="Z7" s="3213"/>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2" t="s">
        <v>2548</v>
      </c>
      <c r="Q8" s="3213"/>
      <c r="R8" s="770" t="s">
        <v>17</v>
      </c>
      <c r="S8" s="771">
        <f t="shared" si="0"/>
        <v>0</v>
      </c>
      <c r="T8" s="770" t="s">
        <v>17</v>
      </c>
      <c r="U8" s="771">
        <f t="shared" si="1"/>
        <v>0</v>
      </c>
      <c r="V8" s="770" t="s">
        <v>17</v>
      </c>
      <c r="W8" s="771">
        <f t="shared" si="2"/>
        <v>0</v>
      </c>
      <c r="X8" s="772"/>
      <c r="Y8" s="3212" t="s">
        <v>2548</v>
      </c>
      <c r="Z8" s="3213"/>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6" t="s">
        <v>2551</v>
      </c>
      <c r="Q9" s="1795" t="str">
        <f t="shared" ref="Q9:Q14" si="6">B9</f>
        <v>用途</v>
      </c>
      <c r="R9" s="770" t="s">
        <v>17</v>
      </c>
      <c r="S9" s="771">
        <f t="shared" si="0"/>
        <v>100</v>
      </c>
      <c r="T9" s="770" t="s">
        <v>17</v>
      </c>
      <c r="U9" s="771">
        <f t="shared" si="1"/>
        <v>100</v>
      </c>
      <c r="V9" s="770" t="s">
        <v>17</v>
      </c>
      <c r="W9" s="771">
        <f t="shared" si="2"/>
        <v>100</v>
      </c>
      <c r="X9" s="772"/>
      <c r="Y9" s="3001"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6"/>
      <c r="Q10" s="1795"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6"/>
      <c r="Q11" s="1795">
        <f t="shared" si="6"/>
        <v>111</v>
      </c>
      <c r="R11" s="770" t="s">
        <v>17</v>
      </c>
      <c r="S11" s="771">
        <f t="shared" si="0"/>
        <v>100</v>
      </c>
      <c r="T11" s="770" t="s">
        <v>17</v>
      </c>
      <c r="U11" s="771">
        <f t="shared" si="1"/>
        <v>100</v>
      </c>
      <c r="V11" s="770" t="s">
        <v>17</v>
      </c>
      <c r="W11" s="771">
        <f t="shared" si="2"/>
        <v>100</v>
      </c>
      <c r="X11" s="772"/>
      <c r="Y11" s="3001"/>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6"/>
      <c r="Q12" s="1795">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85.5">
      <c r="A14" s="440" t="s">
        <v>2555</v>
      </c>
      <c r="B14" s="69" t="s">
        <v>2705</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8" t="s">
        <v>2556</v>
      </c>
      <c r="Q14" s="1810" t="str">
        <f t="shared" si="6"/>
        <v>交通便捷度</v>
      </c>
      <c r="R14" s="774" t="s">
        <v>17</v>
      </c>
      <c r="S14" s="775">
        <f t="shared" si="0"/>
        <v>100</v>
      </c>
      <c r="T14" s="774" t="s">
        <v>17</v>
      </c>
      <c r="U14" s="775">
        <f t="shared" si="1"/>
        <v>100</v>
      </c>
      <c r="V14" s="774" t="s">
        <v>17</v>
      </c>
      <c r="W14" s="775">
        <f t="shared" si="2"/>
        <v>100</v>
      </c>
      <c r="X14" s="1813"/>
      <c r="Y14" s="3178"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9"/>
      <c r="Q15" s="1810"/>
      <c r="R15" s="774"/>
      <c r="S15" s="775"/>
      <c r="T15" s="774"/>
      <c r="U15" s="775"/>
      <c r="V15" s="774"/>
      <c r="W15" s="775"/>
      <c r="X15" s="1813"/>
      <c r="Y15" s="3179"/>
      <c r="Z15" s="1814"/>
      <c r="AA15" s="1811">
        <v>1</v>
      </c>
      <c r="AB15" s="1811">
        <v>1</v>
      </c>
      <c r="AC15" s="1811">
        <v>1</v>
      </c>
    </row>
    <row r="16" spans="1:29" ht="42.75">
      <c r="A16" s="428"/>
      <c r="B16" s="451" t="s">
        <v>2684</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9"/>
      <c r="Q16" s="1810" t="str">
        <f>B16</f>
        <v>公共配套设施</v>
      </c>
      <c r="R16" s="774" t="s">
        <v>17</v>
      </c>
      <c r="S16" s="775">
        <f>F16</f>
        <v>100</v>
      </c>
      <c r="T16" s="774" t="s">
        <v>17</v>
      </c>
      <c r="U16" s="775">
        <f>H16</f>
        <v>100</v>
      </c>
      <c r="V16" s="774" t="s">
        <v>17</v>
      </c>
      <c r="W16" s="775">
        <f>J16</f>
        <v>100</v>
      </c>
      <c r="X16" s="1813"/>
      <c r="Y16" s="3179"/>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179"/>
      <c r="Q17" s="1810"/>
      <c r="R17" s="774"/>
      <c r="S17" s="775"/>
      <c r="T17" s="774"/>
      <c r="U17" s="775"/>
      <c r="V17" s="774"/>
      <c r="W17" s="775"/>
      <c r="X17" s="1813"/>
      <c r="Y17" s="3179"/>
      <c r="Z17" s="1814"/>
      <c r="AA17" s="1811">
        <v>1</v>
      </c>
      <c r="AB17" s="1811">
        <v>1</v>
      </c>
      <c r="AC17" s="1811">
        <v>1</v>
      </c>
    </row>
    <row r="18" spans="1:29" ht="28.5">
      <c r="A18" s="428"/>
      <c r="B18" s="1384" t="s">
        <v>2685</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9"/>
      <c r="Q18" s="1810" t="str">
        <f>B18</f>
        <v>基础设施水平</v>
      </c>
      <c r="R18" s="774" t="s">
        <v>17</v>
      </c>
      <c r="S18" s="775">
        <f>F18</f>
        <v>100</v>
      </c>
      <c r="T18" s="774" t="s">
        <v>17</v>
      </c>
      <c r="U18" s="775">
        <f>H18</f>
        <v>100</v>
      </c>
      <c r="V18" s="774" t="s">
        <v>17</v>
      </c>
      <c r="W18" s="775">
        <f>J18</f>
        <v>100</v>
      </c>
      <c r="X18" s="1813"/>
      <c r="Y18" s="3179"/>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179"/>
      <c r="Q19" s="1810"/>
      <c r="R19" s="774"/>
      <c r="S19" s="775"/>
      <c r="T19" s="774"/>
      <c r="U19" s="775"/>
      <c r="V19" s="774"/>
      <c r="W19" s="775"/>
      <c r="X19" s="1813"/>
      <c r="Y19" s="3179"/>
      <c r="Z19" s="1814"/>
      <c r="AA19" s="1811">
        <v>1</v>
      </c>
      <c r="AB19" s="1811">
        <v>1</v>
      </c>
      <c r="AC19" s="1811">
        <v>1</v>
      </c>
    </row>
    <row r="20" spans="1:29" ht="57">
      <c r="A20" s="428"/>
      <c r="B20" s="451" t="s">
        <v>2706</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9"/>
      <c r="Q20" s="1810" t="str">
        <f>B20</f>
        <v>自然及人文环境</v>
      </c>
      <c r="R20" s="774" t="s">
        <v>17</v>
      </c>
      <c r="S20" s="775">
        <f>F20</f>
        <v>100</v>
      </c>
      <c r="T20" s="774" t="s">
        <v>17</v>
      </c>
      <c r="U20" s="775">
        <f>H20</f>
        <v>100</v>
      </c>
      <c r="V20" s="774" t="s">
        <v>17</v>
      </c>
      <c r="W20" s="775">
        <f>J20</f>
        <v>100</v>
      </c>
      <c r="X20" s="1813"/>
      <c r="Y20" s="317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9"/>
      <c r="Q21" s="1810"/>
      <c r="R21" s="774"/>
      <c r="S21" s="775"/>
      <c r="T21" s="774"/>
      <c r="U21" s="775"/>
      <c r="V21" s="774"/>
      <c r="W21" s="775"/>
      <c r="X21" s="1813"/>
      <c r="Y21" s="3179"/>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9"/>
      <c r="Q22" s="1810" t="str">
        <f>B22</f>
        <v>楼层</v>
      </c>
      <c r="R22" s="774" t="s">
        <v>17</v>
      </c>
      <c r="S22" s="775">
        <f>F22</f>
        <v>100</v>
      </c>
      <c r="T22" s="774" t="s">
        <v>17</v>
      </c>
      <c r="U22" s="775">
        <f>H22</f>
        <v>100</v>
      </c>
      <c r="V22" s="774" t="s">
        <v>17</v>
      </c>
      <c r="W22" s="775">
        <f>J22</f>
        <v>100</v>
      </c>
      <c r="X22" s="1813"/>
      <c r="Y22" s="3179"/>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9"/>
      <c r="Q23" s="1810">
        <f>B23</f>
        <v>111</v>
      </c>
      <c r="R23" s="774" t="s">
        <v>17</v>
      </c>
      <c r="S23" s="775">
        <f>F23</f>
        <v>100</v>
      </c>
      <c r="T23" s="774" t="s">
        <v>17</v>
      </c>
      <c r="U23" s="775">
        <f>H23</f>
        <v>100</v>
      </c>
      <c r="V23" s="774" t="s">
        <v>17</v>
      </c>
      <c r="W23" s="775">
        <f>J23</f>
        <v>100</v>
      </c>
      <c r="X23" s="1813"/>
      <c r="Y23" s="3179"/>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9"/>
      <c r="Q24" s="1810">
        <f t="shared" ref="Q24:Q34" si="11">B24</f>
        <v>111</v>
      </c>
      <c r="R24" s="774" t="s">
        <v>17</v>
      </c>
      <c r="S24" s="775">
        <f>F24</f>
        <v>100</v>
      </c>
      <c r="T24" s="774" t="s">
        <v>17</v>
      </c>
      <c r="U24" s="775">
        <f>H24</f>
        <v>100</v>
      </c>
      <c r="V24" s="774" t="s">
        <v>17</v>
      </c>
      <c r="W24" s="775">
        <f>J24</f>
        <v>100</v>
      </c>
      <c r="X24" s="1813"/>
      <c r="Y24" s="3179"/>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179"/>
      <c r="Q25" s="1795">
        <f t="shared" si="11"/>
        <v>111</v>
      </c>
      <c r="R25" s="770" t="s">
        <v>17</v>
      </c>
      <c r="S25" s="771">
        <f>F25</f>
        <v>100</v>
      </c>
      <c r="T25" s="770" t="s">
        <v>17</v>
      </c>
      <c r="U25" s="771">
        <f>H25</f>
        <v>100</v>
      </c>
      <c r="V25" s="770" t="s">
        <v>17</v>
      </c>
      <c r="W25" s="771">
        <f>J25</f>
        <v>100</v>
      </c>
      <c r="X25" s="772"/>
      <c r="Y25" s="3179"/>
      <c r="Z25" s="55">
        <f>Q25</f>
        <v>111</v>
      </c>
      <c r="AA25" s="1811">
        <f>D25/F25</f>
        <v>1</v>
      </c>
      <c r="AB25" s="1811">
        <f>D25/H25</f>
        <v>1</v>
      </c>
      <c r="AC25" s="1811">
        <f>D25/J25</f>
        <v>1</v>
      </c>
    </row>
    <row r="26" spans="1:29" ht="28.5">
      <c r="A26" s="466" t="s">
        <v>2559</v>
      </c>
      <c r="B26" s="71" t="s">
        <v>2710</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234"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3"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3"/>
      <c r="Q27" s="776" t="str">
        <f t="shared" si="11"/>
        <v>成新率</v>
      </c>
      <c r="R27" s="777" t="s">
        <v>17</v>
      </c>
      <c r="S27" s="778" t="e">
        <f t="shared" si="12"/>
        <v>#N/A</v>
      </c>
      <c r="T27" s="777" t="s">
        <v>17</v>
      </c>
      <c r="U27" s="778" t="e">
        <f t="shared" si="13"/>
        <v>#N/A</v>
      </c>
      <c r="V27" s="777" t="s">
        <v>17</v>
      </c>
      <c r="W27" s="778" t="e">
        <f t="shared" si="14"/>
        <v>#N/A</v>
      </c>
      <c r="X27" s="779"/>
      <c r="Y27" s="3183"/>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3"/>
      <c r="Q28" s="1810" t="str">
        <f t="shared" si="11"/>
        <v>物业等级</v>
      </c>
      <c r="R28" s="774" t="s">
        <v>17</v>
      </c>
      <c r="S28" s="775">
        <f t="shared" si="12"/>
        <v>100</v>
      </c>
      <c r="T28" s="774" t="s">
        <v>17</v>
      </c>
      <c r="U28" s="775">
        <f t="shared" si="13"/>
        <v>100</v>
      </c>
      <c r="V28" s="774" t="s">
        <v>17</v>
      </c>
      <c r="W28" s="775">
        <f t="shared" si="14"/>
        <v>100</v>
      </c>
      <c r="X28" s="1813"/>
      <c r="Y28" s="3183"/>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3"/>
      <c r="Q29" s="1810" t="str">
        <f t="shared" si="11"/>
        <v>有无电梯</v>
      </c>
      <c r="R29" s="774" t="s">
        <v>17</v>
      </c>
      <c r="S29" s="775">
        <f t="shared" si="12"/>
        <v>100</v>
      </c>
      <c r="T29" s="774" t="s">
        <v>17</v>
      </c>
      <c r="U29" s="775">
        <f t="shared" si="13"/>
        <v>100</v>
      </c>
      <c r="V29" s="774" t="s">
        <v>17</v>
      </c>
      <c r="W29" s="775">
        <f t="shared" si="14"/>
        <v>100</v>
      </c>
      <c r="X29" s="1813"/>
      <c r="Y29" s="3183"/>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3"/>
      <c r="Q30" s="1810" t="str">
        <f t="shared" si="11"/>
        <v>建筑面积</v>
      </c>
      <c r="R30" s="774" t="s">
        <v>17</v>
      </c>
      <c r="S30" s="775" t="e">
        <f t="shared" si="12"/>
        <v>#N/A</v>
      </c>
      <c r="T30" s="774" t="s">
        <v>17</v>
      </c>
      <c r="U30" s="775" t="e">
        <f t="shared" si="13"/>
        <v>#N/A</v>
      </c>
      <c r="V30" s="774" t="s">
        <v>17</v>
      </c>
      <c r="W30" s="775" t="e">
        <f t="shared" si="14"/>
        <v>#N/A</v>
      </c>
      <c r="X30" s="1813"/>
      <c r="Y30" s="3183"/>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3"/>
      <c r="Q31" s="1795" t="str">
        <f t="shared" si="11"/>
        <v>是否封闭</v>
      </c>
      <c r="R31" s="770" t="s">
        <v>17</v>
      </c>
      <c r="S31" s="771">
        <f t="shared" si="12"/>
        <v>100</v>
      </c>
      <c r="T31" s="770" t="s">
        <v>17</v>
      </c>
      <c r="U31" s="771">
        <f t="shared" si="13"/>
        <v>100</v>
      </c>
      <c r="V31" s="770" t="s">
        <v>17</v>
      </c>
      <c r="W31" s="771">
        <f t="shared" si="14"/>
        <v>100</v>
      </c>
      <c r="X31" s="772"/>
      <c r="Y31" s="3183"/>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3" t="s">
        <v>2561</v>
      </c>
      <c r="Q32" s="1810">
        <f t="shared" si="11"/>
        <v>111</v>
      </c>
      <c r="R32" s="774" t="s">
        <v>17</v>
      </c>
      <c r="S32" s="775">
        <f t="shared" si="12"/>
        <v>100</v>
      </c>
      <c r="T32" s="774" t="s">
        <v>17</v>
      </c>
      <c r="U32" s="775">
        <f t="shared" si="13"/>
        <v>100</v>
      </c>
      <c r="V32" s="774" t="s">
        <v>17</v>
      </c>
      <c r="W32" s="775">
        <f t="shared" si="14"/>
        <v>100</v>
      </c>
      <c r="X32" s="1813"/>
      <c r="Y32" s="3183" t="s">
        <v>2561</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3"/>
      <c r="Q33" s="1810">
        <f t="shared" si="11"/>
        <v>111</v>
      </c>
      <c r="R33" s="774" t="s">
        <v>17</v>
      </c>
      <c r="S33" s="775">
        <f t="shared" si="12"/>
        <v>100</v>
      </c>
      <c r="T33" s="774" t="s">
        <v>17</v>
      </c>
      <c r="U33" s="775">
        <f t="shared" si="13"/>
        <v>100</v>
      </c>
      <c r="V33" s="774" t="s">
        <v>17</v>
      </c>
      <c r="W33" s="775">
        <f t="shared" si="14"/>
        <v>100</v>
      </c>
      <c r="X33" s="1813"/>
      <c r="Y33" s="3183"/>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183"/>
      <c r="Q34" s="1810">
        <f t="shared" si="11"/>
        <v>111</v>
      </c>
      <c r="R34" s="774" t="s">
        <v>17</v>
      </c>
      <c r="S34" s="775">
        <f t="shared" si="12"/>
        <v>100</v>
      </c>
      <c r="T34" s="774" t="s">
        <v>17</v>
      </c>
      <c r="U34" s="775">
        <f t="shared" si="13"/>
        <v>100</v>
      </c>
      <c r="V34" s="774" t="s">
        <v>17</v>
      </c>
      <c r="W34" s="775">
        <f t="shared" si="14"/>
        <v>100</v>
      </c>
      <c r="X34" s="1813"/>
      <c r="Y34" s="3183"/>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176" t="str">
        <f>A35</f>
        <v>成交单价（元/平方米）</v>
      </c>
      <c r="Q35" s="3176"/>
      <c r="R35" s="3177">
        <f>E35</f>
        <v>0</v>
      </c>
      <c r="S35" s="3177"/>
      <c r="T35" s="3177">
        <f>G35</f>
        <v>0</v>
      </c>
      <c r="U35" s="3177"/>
      <c r="V35" s="3177">
        <f>I35</f>
        <v>0</v>
      </c>
      <c r="W35" s="3177"/>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176" t="str">
        <f>A36</f>
        <v>比较价值（元/平方米）</v>
      </c>
      <c r="Q36" s="3176"/>
      <c r="R36" s="3177" t="e">
        <f>IF(F1="售价",ROUND(PRODUCT(R35,AA7:AA34),0),ROUND(PRODUCT(R35,AA7:AA34),1))</f>
        <v>#DIV/0!</v>
      </c>
      <c r="S36" s="3177"/>
      <c r="T36" s="3177" t="e">
        <f>IF(F1="售价",ROUND(PRODUCT(T35,AB7:AB34),0),ROUND(PRODUCT(T35,AB7:AB34),1))</f>
        <v>#DIV/0!</v>
      </c>
      <c r="U36" s="3177"/>
      <c r="V36" s="3177" t="e">
        <f>IF(F1="售价",ROUND(PRODUCT(V35,AC7:AC34),0),ROUND(PRODUCT(V35,AC7:AC34),1))</f>
        <v>#DIV/0!</v>
      </c>
      <c r="W36" s="3177"/>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173" t="str">
        <f>A37</f>
        <v>估价对象XX用房的比较价值（楼面单价，元/平方米）</v>
      </c>
      <c r="Q37" s="3174"/>
      <c r="R37" s="3175" t="e">
        <f>IF(F1="售价",ROUND(AVERAGE(R36:V36),0),ROUND(AVERAGE(R36:V36),1))</f>
        <v>#DIV/0!</v>
      </c>
      <c r="S37" s="3175"/>
      <c r="T37" s="3175"/>
      <c r="U37" s="3175"/>
      <c r="V37" s="3175"/>
      <c r="W37" s="317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2019-9</v>
      </c>
      <c r="D46" s="1575">
        <f>EDATE(C46,-1)</f>
        <v>43678</v>
      </c>
      <c r="E46" s="1575">
        <f t="shared" ref="E46:O46" si="16">EDATE(D46,-1)</f>
        <v>43647</v>
      </c>
      <c r="F46" s="1575">
        <f t="shared" si="16"/>
        <v>43617</v>
      </c>
      <c r="G46" s="1575">
        <f t="shared" si="16"/>
        <v>43586</v>
      </c>
      <c r="H46" s="1575">
        <f t="shared" si="16"/>
        <v>43556</v>
      </c>
      <c r="I46" s="1575">
        <f t="shared" si="16"/>
        <v>43525</v>
      </c>
      <c r="J46" s="1575">
        <f t="shared" si="16"/>
        <v>43497</v>
      </c>
      <c r="K46" s="1575">
        <f t="shared" si="16"/>
        <v>43466</v>
      </c>
      <c r="L46" s="1575">
        <f t="shared" si="16"/>
        <v>43435</v>
      </c>
      <c r="M46" s="1575">
        <f t="shared" si="16"/>
        <v>43405</v>
      </c>
      <c r="N46" s="1575">
        <f t="shared" si="16"/>
        <v>43374</v>
      </c>
      <c r="O46" s="1575">
        <f t="shared" si="16"/>
        <v>43344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D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191" t="s">
        <v>2642</v>
      </c>
      <c r="D4" s="3192"/>
      <c r="E4" s="3193" t="s">
        <v>2643</v>
      </c>
      <c r="F4" s="3194"/>
      <c r="G4" s="3191" t="s">
        <v>2644</v>
      </c>
      <c r="H4" s="3192"/>
      <c r="I4" s="3191" t="s">
        <v>2645</v>
      </c>
      <c r="J4" s="3192"/>
      <c r="K4" s="610" t="s">
        <v>2646</v>
      </c>
      <c r="L4" s="1130"/>
      <c r="M4" s="1131"/>
      <c r="N4" s="1131"/>
      <c r="O4" s="1131"/>
      <c r="P4" s="3195" t="s">
        <v>2647</v>
      </c>
      <c r="Q4" s="3196"/>
      <c r="R4" s="3201" t="s">
        <v>2643</v>
      </c>
      <c r="S4" s="3202"/>
      <c r="T4" s="3201" t="s">
        <v>2644</v>
      </c>
      <c r="U4" s="3202"/>
      <c r="V4" s="3207" t="s">
        <v>2645</v>
      </c>
      <c r="W4" s="3207"/>
      <c r="X4" s="1813"/>
      <c r="Y4" s="3201" t="s">
        <v>2647</v>
      </c>
      <c r="Z4" s="3202"/>
      <c r="AA4" s="3188" t="s">
        <v>2643</v>
      </c>
      <c r="AB4" s="3189" t="s">
        <v>2644</v>
      </c>
      <c r="AC4" s="3188" t="s">
        <v>2645</v>
      </c>
    </row>
    <row r="5" spans="1:30" ht="15">
      <c r="A5" s="404"/>
      <c r="B5" s="405"/>
      <c r="C5" s="3210" t="s">
        <v>2538</v>
      </c>
      <c r="D5" s="3211"/>
      <c r="E5" s="3217" t="s">
        <v>2539</v>
      </c>
      <c r="F5" s="3218"/>
      <c r="G5" s="3210" t="s">
        <v>2540</v>
      </c>
      <c r="H5" s="3211"/>
      <c r="I5" s="3210" t="s">
        <v>2541</v>
      </c>
      <c r="J5" s="3211"/>
      <c r="K5" s="610"/>
      <c r="L5" s="1130"/>
      <c r="M5" s="1131"/>
      <c r="N5" s="1131"/>
      <c r="O5" s="1131"/>
      <c r="P5" s="3197"/>
      <c r="Q5" s="3198"/>
      <c r="R5" s="3203"/>
      <c r="S5" s="3204"/>
      <c r="T5" s="3203"/>
      <c r="U5" s="3204"/>
      <c r="V5" s="3207"/>
      <c r="W5" s="3207"/>
      <c r="X5" s="1813"/>
      <c r="Y5" s="3203"/>
      <c r="Z5" s="3204"/>
      <c r="AA5" s="3189"/>
      <c r="AB5" s="3189"/>
      <c r="AC5" s="3189"/>
    </row>
    <row r="6" spans="1:30" ht="15.75" thickBot="1">
      <c r="A6" s="406"/>
      <c r="B6" s="407"/>
      <c r="C6" s="3208" t="s">
        <v>2542</v>
      </c>
      <c r="D6" s="3209"/>
      <c r="E6" s="3215" t="s">
        <v>2542</v>
      </c>
      <c r="F6" s="3216"/>
      <c r="G6" s="3208" t="s">
        <v>2542</v>
      </c>
      <c r="H6" s="3209"/>
      <c r="I6" s="3208" t="s">
        <v>2542</v>
      </c>
      <c r="J6" s="3209"/>
      <c r="K6" s="610" t="s">
        <v>2543</v>
      </c>
      <c r="L6" s="1130"/>
      <c r="M6" s="1131"/>
      <c r="N6" s="1131"/>
      <c r="O6" s="1131"/>
      <c r="P6" s="3199"/>
      <c r="Q6" s="3200"/>
      <c r="R6" s="3203"/>
      <c r="S6" s="3204"/>
      <c r="T6" s="3205"/>
      <c r="U6" s="3206"/>
      <c r="V6" s="3207"/>
      <c r="W6" s="3207"/>
      <c r="X6" s="1813"/>
      <c r="Y6" s="3205"/>
      <c r="Z6" s="3206"/>
      <c r="AA6" s="3190"/>
      <c r="AB6" s="3190"/>
      <c r="AC6" s="3190"/>
    </row>
    <row r="7" spans="1:30" s="117" customFormat="1" ht="15.75" thickBot="1">
      <c r="A7" s="408" t="s">
        <v>2544</v>
      </c>
      <c r="B7" s="409"/>
      <c r="C7" s="410">
        <f>'数据-取费表'!B2</f>
        <v>43728</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212" t="s">
        <v>2545</v>
      </c>
      <c r="Q7" s="3214"/>
      <c r="R7" s="770" t="s">
        <v>17</v>
      </c>
      <c r="S7" s="771">
        <f t="shared" ref="S7:S15" si="0">F7</f>
        <v>0</v>
      </c>
      <c r="T7" s="770" t="s">
        <v>17</v>
      </c>
      <c r="U7" s="771">
        <f t="shared" ref="U7:U15" si="1">H7</f>
        <v>0</v>
      </c>
      <c r="V7" s="770" t="s">
        <v>17</v>
      </c>
      <c r="W7" s="771">
        <f t="shared" ref="W7:W15" si="2">J7</f>
        <v>0</v>
      </c>
      <c r="X7" s="772"/>
      <c r="Y7" s="3212" t="s">
        <v>2545</v>
      </c>
      <c r="Z7" s="3213"/>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2" t="s">
        <v>2548</v>
      </c>
      <c r="Q8" s="3213"/>
      <c r="R8" s="770" t="s">
        <v>17</v>
      </c>
      <c r="S8" s="771">
        <f t="shared" si="0"/>
        <v>0</v>
      </c>
      <c r="T8" s="770" t="s">
        <v>17</v>
      </c>
      <c r="U8" s="771">
        <f t="shared" si="1"/>
        <v>0</v>
      </c>
      <c r="V8" s="770" t="s">
        <v>17</v>
      </c>
      <c r="W8" s="771">
        <f t="shared" si="2"/>
        <v>0</v>
      </c>
      <c r="X8" s="772"/>
      <c r="Y8" s="3212" t="s">
        <v>2548</v>
      </c>
      <c r="Z8" s="3213"/>
      <c r="AA8" s="773" t="e">
        <f t="shared" ref="AA8:AA45" si="3">D8/F8</f>
        <v>#DIV/0!</v>
      </c>
      <c r="AB8" s="773" t="e">
        <f t="shared" ref="AB8:AB45" si="4">D8/H8</f>
        <v>#DIV/0!</v>
      </c>
      <c r="AC8" s="773" t="e">
        <f t="shared" ref="AC8:AC45" si="5">D8/J8</f>
        <v>#DIV/0!</v>
      </c>
    </row>
    <row r="9" spans="1:30" s="117" customFormat="1">
      <c r="A9" s="415" t="s">
        <v>2549</v>
      </c>
      <c r="B9" s="71" t="s">
        <v>2550</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176" t="s">
        <v>2551</v>
      </c>
      <c r="Q9" s="1795" t="str">
        <f t="shared" ref="Q9:Q15" si="6">B9</f>
        <v>用途</v>
      </c>
      <c r="R9" s="770" t="s">
        <v>17</v>
      </c>
      <c r="S9" s="771">
        <f t="shared" si="0"/>
        <v>100</v>
      </c>
      <c r="T9" s="770" t="s">
        <v>17</v>
      </c>
      <c r="U9" s="771">
        <f t="shared" si="1"/>
        <v>100</v>
      </c>
      <c r="V9" s="770" t="s">
        <v>17</v>
      </c>
      <c r="W9" s="771">
        <f t="shared" si="2"/>
        <v>100</v>
      </c>
      <c r="X9" s="772"/>
      <c r="Y9" s="3001"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117</v>
      </c>
      <c r="G10" s="463"/>
      <c r="H10" s="136">
        <f>ROUND(100/'数据-取费表'!G16,0)</f>
        <v>117</v>
      </c>
      <c r="I10" s="463"/>
      <c r="J10" s="136">
        <f>ROUND(100/'数据-取费表'!G16,0)</f>
        <v>117</v>
      </c>
      <c r="K10" s="672"/>
      <c r="L10" s="1135"/>
      <c r="M10" s="1136"/>
      <c r="N10" s="1136"/>
      <c r="O10" s="1137"/>
      <c r="P10" s="3176"/>
      <c r="Q10" s="1795" t="str">
        <f t="shared" si="6"/>
        <v>土地使用年限（年）</v>
      </c>
      <c r="R10" s="770" t="s">
        <v>17</v>
      </c>
      <c r="S10" s="771">
        <f t="shared" si="0"/>
        <v>117</v>
      </c>
      <c r="T10" s="770" t="s">
        <v>17</v>
      </c>
      <c r="U10" s="771">
        <f t="shared" si="1"/>
        <v>117</v>
      </c>
      <c r="V10" s="770" t="s">
        <v>17</v>
      </c>
      <c r="W10" s="771">
        <f t="shared" si="2"/>
        <v>117</v>
      </c>
      <c r="X10" s="772"/>
      <c r="Y10" s="3001"/>
      <c r="Z10" s="55" t="str">
        <f t="shared" si="7"/>
        <v>土地使用年限（年）</v>
      </c>
      <c r="AA10" s="773">
        <f t="shared" si="3"/>
        <v>0.85470085470085466</v>
      </c>
      <c r="AB10" s="773">
        <f t="shared" si="4"/>
        <v>0.85470085470085466</v>
      </c>
      <c r="AC10" s="773">
        <f t="shared" si="5"/>
        <v>0.85470085470085466</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6"/>
      <c r="Q11" s="1795"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30" s="117" customFormat="1" ht="15">
      <c r="A12" s="431"/>
      <c r="B12" s="2603"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6"/>
      <c r="Q12" s="1795" t="str">
        <f t="shared" si="6"/>
        <v>配建</v>
      </c>
      <c r="R12" s="770" t="s">
        <v>17</v>
      </c>
      <c r="S12" s="771">
        <f t="shared" si="0"/>
        <v>100</v>
      </c>
      <c r="T12" s="770" t="s">
        <v>17</v>
      </c>
      <c r="U12" s="771">
        <f t="shared" si="1"/>
        <v>100</v>
      </c>
      <c r="V12" s="770" t="s">
        <v>17</v>
      </c>
      <c r="W12" s="771">
        <f t="shared" si="2"/>
        <v>100</v>
      </c>
      <c r="X12" s="772"/>
      <c r="Y12" s="3001"/>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01"/>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6"/>
      <c r="Q14" s="1795">
        <f t="shared" si="6"/>
        <v>111</v>
      </c>
      <c r="R14" s="770" t="s">
        <v>17</v>
      </c>
      <c r="S14" s="771">
        <f t="shared" si="0"/>
        <v>100</v>
      </c>
      <c r="T14" s="770" t="s">
        <v>17</v>
      </c>
      <c r="U14" s="771">
        <f t="shared" si="1"/>
        <v>100</v>
      </c>
      <c r="V14" s="770" t="s">
        <v>17</v>
      </c>
      <c r="W14" s="771">
        <f t="shared" si="2"/>
        <v>100</v>
      </c>
      <c r="X14" s="772"/>
      <c r="Y14" s="3001"/>
      <c r="Z14" s="55">
        <f t="shared" si="7"/>
        <v>111</v>
      </c>
      <c r="AA14" s="773">
        <f>D14/F14</f>
        <v>1</v>
      </c>
      <c r="AB14" s="773">
        <f>D14/H14</f>
        <v>1</v>
      </c>
      <c r="AC14" s="773">
        <f>D14/J14</f>
        <v>1</v>
      </c>
    </row>
    <row r="15" spans="1:30" ht="99.75">
      <c r="A15" s="440" t="s">
        <v>2555</v>
      </c>
      <c r="B15" s="69" t="s">
        <v>2079</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8" t="s">
        <v>2556</v>
      </c>
      <c r="Q15" s="1810" t="str">
        <f t="shared" si="6"/>
        <v>居住社区成熟度</v>
      </c>
      <c r="R15" s="774" t="s">
        <v>17</v>
      </c>
      <c r="S15" s="775">
        <f t="shared" si="0"/>
        <v>100</v>
      </c>
      <c r="T15" s="774" t="s">
        <v>17</v>
      </c>
      <c r="U15" s="775">
        <f t="shared" si="1"/>
        <v>100</v>
      </c>
      <c r="V15" s="774" t="s">
        <v>17</v>
      </c>
      <c r="W15" s="775">
        <f t="shared" si="2"/>
        <v>100</v>
      </c>
      <c r="X15" s="1813"/>
      <c r="Y15" s="3178" t="s">
        <v>2556</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179"/>
      <c r="Q16" s="1810"/>
      <c r="R16" s="774"/>
      <c r="S16" s="775"/>
      <c r="T16" s="774"/>
      <c r="U16" s="775"/>
      <c r="V16" s="774"/>
      <c r="W16" s="775"/>
      <c r="X16" s="1813"/>
      <c r="Y16" s="3179"/>
      <c r="Z16" s="1814"/>
      <c r="AA16" s="1811">
        <v>1</v>
      </c>
      <c r="AB16" s="1811">
        <v>1</v>
      </c>
      <c r="AC16" s="1811">
        <v>1</v>
      </c>
    </row>
    <row r="17" spans="1:29" ht="71.25">
      <c r="A17" s="428"/>
      <c r="B17" s="451" t="s">
        <v>2649</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9"/>
      <c r="Q17" s="1810" t="str">
        <f>B17</f>
        <v>商业繁华度</v>
      </c>
      <c r="R17" s="774" t="s">
        <v>17</v>
      </c>
      <c r="S17" s="775">
        <f>F17</f>
        <v>100</v>
      </c>
      <c r="T17" s="774" t="s">
        <v>17</v>
      </c>
      <c r="U17" s="775">
        <f>H17</f>
        <v>100</v>
      </c>
      <c r="V17" s="774" t="s">
        <v>17</v>
      </c>
      <c r="W17" s="775">
        <f>J17</f>
        <v>100</v>
      </c>
      <c r="X17" s="1813"/>
      <c r="Y17" s="3179"/>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179"/>
      <c r="Q18" s="1810"/>
      <c r="R18" s="774"/>
      <c r="S18" s="775"/>
      <c r="T18" s="774"/>
      <c r="U18" s="775"/>
      <c r="V18" s="774"/>
      <c r="W18" s="775"/>
      <c r="X18" s="1813"/>
      <c r="Y18" s="3179"/>
      <c r="Z18" s="1814"/>
      <c r="AA18" s="1811">
        <v>1</v>
      </c>
      <c r="AB18" s="1811">
        <v>1</v>
      </c>
      <c r="AC18" s="1811">
        <v>1</v>
      </c>
    </row>
    <row r="19" spans="1:29" ht="71.25">
      <c r="A19" s="428"/>
      <c r="B19" s="451" t="s">
        <v>2683</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9"/>
      <c r="Q19" s="1810" t="str">
        <f>B19</f>
        <v>办公集聚程度</v>
      </c>
      <c r="R19" s="774" t="s">
        <v>17</v>
      </c>
      <c r="S19" s="775">
        <f>F19</f>
        <v>100</v>
      </c>
      <c r="T19" s="774" t="s">
        <v>17</v>
      </c>
      <c r="U19" s="775">
        <f>H19</f>
        <v>100</v>
      </c>
      <c r="V19" s="774" t="s">
        <v>17</v>
      </c>
      <c r="W19" s="775">
        <f>J19</f>
        <v>100</v>
      </c>
      <c r="X19" s="1813"/>
      <c r="Y19" s="3179"/>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179"/>
      <c r="Q20" s="1810"/>
      <c r="R20" s="774"/>
      <c r="S20" s="775"/>
      <c r="T20" s="774"/>
      <c r="U20" s="775"/>
      <c r="V20" s="774"/>
      <c r="W20" s="775"/>
      <c r="X20" s="1813"/>
      <c r="Y20" s="3179"/>
      <c r="Z20" s="1814"/>
      <c r="AA20" s="1811">
        <v>1</v>
      </c>
      <c r="AB20" s="1811">
        <v>1</v>
      </c>
      <c r="AC20" s="1811">
        <v>1</v>
      </c>
    </row>
    <row r="21" spans="1:29" ht="85.5">
      <c r="A21" s="428"/>
      <c r="B21" s="451" t="s">
        <v>2705</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9"/>
      <c r="Q21" s="1810" t="str">
        <f>B21</f>
        <v>交通便捷度</v>
      </c>
      <c r="R21" s="774" t="s">
        <v>17</v>
      </c>
      <c r="S21" s="775">
        <f>F21</f>
        <v>100</v>
      </c>
      <c r="T21" s="774" t="s">
        <v>17</v>
      </c>
      <c r="U21" s="775">
        <f>H21</f>
        <v>100</v>
      </c>
      <c r="V21" s="774" t="s">
        <v>17</v>
      </c>
      <c r="W21" s="775">
        <f>J21</f>
        <v>100</v>
      </c>
      <c r="X21" s="1813"/>
      <c r="Y21" s="3179"/>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179"/>
      <c r="Q22" s="1810"/>
      <c r="R22" s="774"/>
      <c r="S22" s="775"/>
      <c r="T22" s="774"/>
      <c r="U22" s="775"/>
      <c r="V22" s="774"/>
      <c r="W22" s="775"/>
      <c r="X22" s="1813"/>
      <c r="Y22" s="3179"/>
      <c r="Z22" s="1814"/>
      <c r="AA22" s="1811">
        <v>1</v>
      </c>
      <c r="AB22" s="1811">
        <v>1</v>
      </c>
      <c r="AC22" s="1811">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9"/>
      <c r="Q23" s="1810" t="str">
        <f t="shared" ref="Q23:Q37" si="8">B23</f>
        <v>区域土地利用方向</v>
      </c>
      <c r="R23" s="774" t="s">
        <v>17</v>
      </c>
      <c r="S23" s="775">
        <f>F23</f>
        <v>100</v>
      </c>
      <c r="T23" s="774" t="s">
        <v>17</v>
      </c>
      <c r="U23" s="775">
        <f>H23</f>
        <v>100</v>
      </c>
      <c r="V23" s="774" t="s">
        <v>17</v>
      </c>
      <c r="W23" s="775">
        <f>J23</f>
        <v>100</v>
      </c>
      <c r="X23" s="1813"/>
      <c r="Y23" s="3179"/>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179"/>
      <c r="Q24" s="1810"/>
      <c r="R24" s="774"/>
      <c r="S24" s="775"/>
      <c r="T24" s="774"/>
      <c r="U24" s="775"/>
      <c r="V24" s="774"/>
      <c r="W24" s="775"/>
      <c r="X24" s="1813"/>
      <c r="Y24" s="3179"/>
      <c r="Z24" s="1814"/>
      <c r="AA24" s="1811"/>
      <c r="AB24" s="1811"/>
      <c r="AC24" s="1811"/>
    </row>
    <row r="25" spans="1:29" ht="57">
      <c r="A25" s="404"/>
      <c r="B25" s="1384" t="s">
        <v>2745</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9"/>
      <c r="Q25" s="1810" t="str">
        <f t="shared" si="8"/>
        <v>自然及人文环境状况</v>
      </c>
      <c r="R25" s="774" t="s">
        <v>17</v>
      </c>
      <c r="S25" s="775">
        <f>F25</f>
        <v>100</v>
      </c>
      <c r="T25" s="774" t="s">
        <v>17</v>
      </c>
      <c r="U25" s="775">
        <f>H25</f>
        <v>100</v>
      </c>
      <c r="V25" s="774" t="s">
        <v>17</v>
      </c>
      <c r="W25" s="775">
        <f>J25</f>
        <v>100</v>
      </c>
      <c r="X25" s="1813"/>
      <c r="Y25" s="3179"/>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179"/>
      <c r="Q26" s="1810"/>
      <c r="R26" s="774"/>
      <c r="S26" s="775"/>
      <c r="T26" s="774"/>
      <c r="U26" s="775"/>
      <c r="V26" s="774"/>
      <c r="W26" s="775"/>
      <c r="X26" s="1813"/>
      <c r="Y26" s="3179"/>
      <c r="Z26" s="1814"/>
      <c r="AA26" s="1811">
        <v>1</v>
      </c>
      <c r="AB26" s="1811">
        <v>1</v>
      </c>
      <c r="AC26" s="1811">
        <v>1</v>
      </c>
    </row>
    <row r="27" spans="1:29" s="117" customFormat="1" ht="42.75">
      <c r="A27" s="649"/>
      <c r="B27" s="1384" t="s">
        <v>2650</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9"/>
      <c r="Q27" s="1795" t="str">
        <f t="shared" si="8"/>
        <v>公共配套设施</v>
      </c>
      <c r="R27" s="770" t="s">
        <v>17</v>
      </c>
      <c r="S27" s="771">
        <f>F27</f>
        <v>100</v>
      </c>
      <c r="T27" s="770" t="s">
        <v>17</v>
      </c>
      <c r="U27" s="771">
        <f>H27</f>
        <v>100</v>
      </c>
      <c r="V27" s="770" t="s">
        <v>17</v>
      </c>
      <c r="W27" s="771">
        <f>J27</f>
        <v>100</v>
      </c>
      <c r="X27" s="772"/>
      <c r="Y27" s="3179"/>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179"/>
      <c r="Q28" s="1795"/>
      <c r="R28" s="770"/>
      <c r="S28" s="771"/>
      <c r="T28" s="770"/>
      <c r="U28" s="771"/>
      <c r="V28" s="770"/>
      <c r="W28" s="771"/>
      <c r="X28" s="772"/>
      <c r="Y28" s="3179"/>
      <c r="Z28" s="55"/>
      <c r="AA28" s="1811">
        <v>1</v>
      </c>
      <c r="AB28" s="1811">
        <v>1</v>
      </c>
      <c r="AC28" s="1811">
        <v>1</v>
      </c>
    </row>
    <row r="29" spans="1:29" s="117" customFormat="1" ht="28.5">
      <c r="A29" s="649"/>
      <c r="B29" s="1384" t="s">
        <v>2651</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9"/>
      <c r="Q29" s="1795" t="str">
        <f t="shared" ref="Q29" si="9">B29</f>
        <v>基础设施水平</v>
      </c>
      <c r="R29" s="770" t="s">
        <v>17</v>
      </c>
      <c r="S29" s="771">
        <f>F29</f>
        <v>100</v>
      </c>
      <c r="T29" s="770" t="s">
        <v>17</v>
      </c>
      <c r="U29" s="771">
        <f>H29</f>
        <v>100</v>
      </c>
      <c r="V29" s="770" t="s">
        <v>17</v>
      </c>
      <c r="W29" s="771">
        <f>J29</f>
        <v>100</v>
      </c>
      <c r="X29" s="772"/>
      <c r="Y29" s="3179"/>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179"/>
      <c r="Q30" s="1795"/>
      <c r="R30" s="770"/>
      <c r="S30" s="771"/>
      <c r="T30" s="770"/>
      <c r="U30" s="771"/>
      <c r="V30" s="770"/>
      <c r="W30" s="771"/>
      <c r="X30" s="772"/>
      <c r="Y30" s="3179"/>
      <c r="Z30" s="55"/>
      <c r="AA30" s="1811">
        <v>1</v>
      </c>
      <c r="AB30" s="1811">
        <v>1</v>
      </c>
      <c r="AC30" s="1811">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9"/>
      <c r="Z31" s="1814" t="str">
        <f t="shared" ref="Z31:Z45" si="13">Q31</f>
        <v>临街状况</v>
      </c>
      <c r="AA31" s="1811">
        <f t="shared" si="3"/>
        <v>1</v>
      </c>
      <c r="AB31" s="1811">
        <f t="shared" si="4"/>
        <v>1</v>
      </c>
      <c r="AC31" s="1811">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9"/>
      <c r="Q32" s="1810" t="str">
        <f t="shared" si="8"/>
        <v>毗邻道路的类型与等级</v>
      </c>
      <c r="R32" s="774" t="s">
        <v>17</v>
      </c>
      <c r="S32" s="775">
        <f t="shared" si="10"/>
        <v>100</v>
      </c>
      <c r="T32" s="774" t="s">
        <v>17</v>
      </c>
      <c r="U32" s="775">
        <f t="shared" si="11"/>
        <v>100</v>
      </c>
      <c r="V32" s="774" t="s">
        <v>17</v>
      </c>
      <c r="W32" s="775">
        <f t="shared" si="12"/>
        <v>100</v>
      </c>
      <c r="X32" s="1813"/>
      <c r="Y32" s="3179"/>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179"/>
      <c r="Q33" s="1810"/>
      <c r="R33" s="774"/>
      <c r="S33" s="775"/>
      <c r="T33" s="774"/>
      <c r="U33" s="775"/>
      <c r="V33" s="774"/>
      <c r="W33" s="775"/>
      <c r="X33" s="1813"/>
      <c r="Y33" s="3179"/>
      <c r="Z33" s="1814"/>
      <c r="AA33" s="1811">
        <v>1</v>
      </c>
      <c r="AB33" s="1811">
        <v>1</v>
      </c>
      <c r="AC33" s="1811">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9"/>
      <c r="Q34" s="1810" t="str">
        <f t="shared" si="8"/>
        <v>土地级别</v>
      </c>
      <c r="R34" s="774" t="s">
        <v>17</v>
      </c>
      <c r="S34" s="775">
        <f t="shared" si="10"/>
        <v>100</v>
      </c>
      <c r="T34" s="774" t="s">
        <v>17</v>
      </c>
      <c r="U34" s="775">
        <f t="shared" si="11"/>
        <v>100</v>
      </c>
      <c r="V34" s="774" t="s">
        <v>17</v>
      </c>
      <c r="W34" s="775">
        <f t="shared" si="12"/>
        <v>100</v>
      </c>
      <c r="X34" s="1813"/>
      <c r="Y34" s="3179"/>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9"/>
      <c r="Q35" s="1810">
        <f t="shared" si="8"/>
        <v>111</v>
      </c>
      <c r="R35" s="774" t="s">
        <v>17</v>
      </c>
      <c r="S35" s="775">
        <f t="shared" si="10"/>
        <v>100</v>
      </c>
      <c r="T35" s="774" t="s">
        <v>17</v>
      </c>
      <c r="U35" s="775">
        <f t="shared" si="11"/>
        <v>100</v>
      </c>
      <c r="V35" s="774" t="s">
        <v>17</v>
      </c>
      <c r="W35" s="775">
        <f t="shared" si="12"/>
        <v>100</v>
      </c>
      <c r="X35" s="1813"/>
      <c r="Y35" s="3179"/>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4" t="s">
        <v>2561</v>
      </c>
      <c r="Q36" s="1810">
        <f t="shared" si="8"/>
        <v>111</v>
      </c>
      <c r="R36" s="774" t="s">
        <v>17</v>
      </c>
      <c r="S36" s="775">
        <f t="shared" si="10"/>
        <v>100</v>
      </c>
      <c r="T36" s="774" t="s">
        <v>17</v>
      </c>
      <c r="U36" s="775">
        <f t="shared" si="11"/>
        <v>100</v>
      </c>
      <c r="V36" s="774" t="s">
        <v>17</v>
      </c>
      <c r="W36" s="775">
        <f t="shared" si="12"/>
        <v>100</v>
      </c>
      <c r="X36" s="1813"/>
      <c r="Y36" s="3183" t="s">
        <v>2561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3"/>
      <c r="Q37" s="1810">
        <f t="shared" si="8"/>
        <v>111</v>
      </c>
      <c r="R37" s="777" t="s">
        <v>17</v>
      </c>
      <c r="S37" s="778">
        <f t="shared" si="10"/>
        <v>100</v>
      </c>
      <c r="T37" s="777" t="s">
        <v>17</v>
      </c>
      <c r="U37" s="778">
        <f t="shared" si="11"/>
        <v>100</v>
      </c>
      <c r="V37" s="777" t="s">
        <v>17</v>
      </c>
      <c r="W37" s="778">
        <f t="shared" si="12"/>
        <v>100</v>
      </c>
      <c r="X37" s="779"/>
      <c r="Y37" s="3183"/>
      <c r="Z37" s="780">
        <f t="shared" si="13"/>
        <v>111</v>
      </c>
      <c r="AA37" s="1811">
        <f t="shared" si="3"/>
        <v>1</v>
      </c>
      <c r="AB37" s="1811">
        <f t="shared" si="4"/>
        <v>1</v>
      </c>
      <c r="AC37" s="1811">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3"/>
      <c r="Q38" s="1810" t="str">
        <f>B38</f>
        <v>宗地面积</v>
      </c>
      <c r="R38" s="774" t="s">
        <v>17</v>
      </c>
      <c r="S38" s="775" t="e">
        <f t="shared" si="10"/>
        <v>#N/A</v>
      </c>
      <c r="T38" s="774" t="s">
        <v>17</v>
      </c>
      <c r="U38" s="775" t="e">
        <f t="shared" si="11"/>
        <v>#N/A</v>
      </c>
      <c r="V38" s="774" t="s">
        <v>17</v>
      </c>
      <c r="W38" s="775" t="e">
        <f t="shared" si="12"/>
        <v>#N/A</v>
      </c>
      <c r="X38" s="1813"/>
      <c r="Y38" s="3183"/>
      <c r="Z38" s="1814" t="str">
        <f t="shared" si="13"/>
        <v>宗地面积</v>
      </c>
      <c r="AA38" s="1811" t="e">
        <f t="shared" si="3"/>
        <v>#N/A</v>
      </c>
      <c r="AB38" s="1811" t="e">
        <f t="shared" si="4"/>
        <v>#N/A</v>
      </c>
      <c r="AC38" s="1811" t="e">
        <f t="shared" si="5"/>
        <v>#N/A</v>
      </c>
    </row>
    <row r="39" spans="1:29" ht="15">
      <c r="A39" s="472"/>
      <c r="B39" s="422" t="s">
        <v>2748</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183"/>
      <c r="Q39" s="1810" t="str">
        <f t="shared" ref="Q39:Q45" si="14">B39</f>
        <v>宗地形状</v>
      </c>
      <c r="R39" s="774" t="s">
        <v>17</v>
      </c>
      <c r="S39" s="775">
        <f t="shared" si="10"/>
        <v>100</v>
      </c>
      <c r="T39" s="774" t="s">
        <v>17</v>
      </c>
      <c r="U39" s="775">
        <f t="shared" si="11"/>
        <v>100</v>
      </c>
      <c r="V39" s="774" t="s">
        <v>17</v>
      </c>
      <c r="W39" s="775">
        <f t="shared" si="12"/>
        <v>100</v>
      </c>
      <c r="X39" s="1813"/>
      <c r="Y39" s="3183"/>
      <c r="Z39" s="1814" t="str">
        <f t="shared" si="13"/>
        <v>宗地形状</v>
      </c>
      <c r="AA39" s="1811">
        <f t="shared" si="3"/>
        <v>1</v>
      </c>
      <c r="AB39" s="1811">
        <f t="shared" si="4"/>
        <v>1</v>
      </c>
      <c r="AC39" s="1811">
        <f t="shared" si="5"/>
        <v>1</v>
      </c>
    </row>
    <row r="40" spans="1:29" ht="15">
      <c r="A40" s="472"/>
      <c r="B40" s="422" t="s">
        <v>2749</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183"/>
      <c r="Q40" s="1810" t="str">
        <f t="shared" si="14"/>
        <v>临街宽度及深度</v>
      </c>
      <c r="R40" s="774" t="s">
        <v>17</v>
      </c>
      <c r="S40" s="775">
        <f t="shared" si="10"/>
        <v>100</v>
      </c>
      <c r="T40" s="774" t="s">
        <v>17</v>
      </c>
      <c r="U40" s="775">
        <f t="shared" si="11"/>
        <v>100</v>
      </c>
      <c r="V40" s="774" t="s">
        <v>17</v>
      </c>
      <c r="W40" s="775">
        <f t="shared" si="12"/>
        <v>100</v>
      </c>
      <c r="X40" s="1813"/>
      <c r="Y40" s="3183"/>
      <c r="Z40" s="1814" t="str">
        <f t="shared" si="13"/>
        <v>临街宽度及深度</v>
      </c>
      <c r="AA40" s="1811">
        <f t="shared" si="3"/>
        <v>1</v>
      </c>
      <c r="AB40" s="1811">
        <f t="shared" si="4"/>
        <v>1</v>
      </c>
      <c r="AC40" s="1811">
        <f t="shared" si="5"/>
        <v>1</v>
      </c>
    </row>
    <row r="41" spans="1:29" s="117" customFormat="1" ht="15">
      <c r="A41" s="473"/>
      <c r="B41" s="422" t="s">
        <v>2750</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183"/>
      <c r="Q41" s="1810" t="str">
        <f t="shared" si="14"/>
        <v>宗地开发程度</v>
      </c>
      <c r="R41" s="770" t="s">
        <v>17</v>
      </c>
      <c r="S41" s="771">
        <f t="shared" si="10"/>
        <v>100</v>
      </c>
      <c r="T41" s="770" t="s">
        <v>17</v>
      </c>
      <c r="U41" s="771">
        <f t="shared" si="11"/>
        <v>100</v>
      </c>
      <c r="V41" s="770" t="s">
        <v>17</v>
      </c>
      <c r="W41" s="771">
        <f t="shared" si="12"/>
        <v>100</v>
      </c>
      <c r="X41" s="772"/>
      <c r="Y41" s="3183"/>
      <c r="Z41" s="55" t="str">
        <f t="shared" si="13"/>
        <v>宗地开发程度</v>
      </c>
      <c r="AA41" s="773">
        <f t="shared" si="3"/>
        <v>1</v>
      </c>
      <c r="AB41" s="773">
        <f t="shared" si="4"/>
        <v>1</v>
      </c>
      <c r="AC41" s="773">
        <f t="shared" si="5"/>
        <v>1</v>
      </c>
    </row>
    <row r="42" spans="1:29" ht="15">
      <c r="A42" s="472"/>
      <c r="B42" s="422" t="s">
        <v>2751</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183" t="s">
        <v>2561</v>
      </c>
      <c r="Q42" s="1810" t="str">
        <f t="shared" si="14"/>
        <v>工程地质条件</v>
      </c>
      <c r="R42" s="774" t="s">
        <v>17</v>
      </c>
      <c r="S42" s="775">
        <f t="shared" si="10"/>
        <v>100</v>
      </c>
      <c r="T42" s="774" t="s">
        <v>17</v>
      </c>
      <c r="U42" s="775">
        <f t="shared" si="11"/>
        <v>100</v>
      </c>
      <c r="V42" s="774" t="s">
        <v>17</v>
      </c>
      <c r="W42" s="775">
        <f t="shared" si="12"/>
        <v>100</v>
      </c>
      <c r="X42" s="1813"/>
      <c r="Y42" s="3183" t="s">
        <v>2561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3"/>
      <c r="Q43" s="1810">
        <f t="shared" si="14"/>
        <v>111</v>
      </c>
      <c r="R43" s="774" t="s">
        <v>17</v>
      </c>
      <c r="S43" s="775">
        <f t="shared" si="10"/>
        <v>100</v>
      </c>
      <c r="T43" s="774" t="s">
        <v>17</v>
      </c>
      <c r="U43" s="775">
        <f t="shared" si="11"/>
        <v>100</v>
      </c>
      <c r="V43" s="774" t="s">
        <v>17</v>
      </c>
      <c r="W43" s="775">
        <f t="shared" si="12"/>
        <v>100</v>
      </c>
      <c r="X43" s="1813"/>
      <c r="Y43" s="318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3"/>
      <c r="Q44" s="1810">
        <f t="shared" si="14"/>
        <v>111</v>
      </c>
      <c r="R44" s="774" t="s">
        <v>17</v>
      </c>
      <c r="S44" s="775">
        <f t="shared" si="10"/>
        <v>100</v>
      </c>
      <c r="T44" s="774" t="s">
        <v>17</v>
      </c>
      <c r="U44" s="775">
        <f t="shared" si="11"/>
        <v>100</v>
      </c>
      <c r="V44" s="774" t="s">
        <v>17</v>
      </c>
      <c r="W44" s="775">
        <f t="shared" si="12"/>
        <v>100</v>
      </c>
      <c r="X44" s="1813"/>
      <c r="Y44" s="3183"/>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3"/>
      <c r="Q45" s="1810">
        <f t="shared" si="14"/>
        <v>111</v>
      </c>
      <c r="R45" s="777" t="s">
        <v>17</v>
      </c>
      <c r="S45" s="778">
        <f t="shared" si="10"/>
        <v>100</v>
      </c>
      <c r="T45" s="777" t="s">
        <v>17</v>
      </c>
      <c r="U45" s="778">
        <f t="shared" si="11"/>
        <v>100</v>
      </c>
      <c r="V45" s="777" t="s">
        <v>17</v>
      </c>
      <c r="W45" s="778">
        <f t="shared" si="12"/>
        <v>100</v>
      </c>
      <c r="X45" s="779"/>
      <c r="Y45" s="3183"/>
      <c r="Z45" s="780">
        <f t="shared" si="13"/>
        <v>111</v>
      </c>
      <c r="AA45" s="1811">
        <f t="shared" si="3"/>
        <v>1</v>
      </c>
      <c r="AB45" s="1811">
        <f t="shared" si="4"/>
        <v>1</v>
      </c>
      <c r="AC45" s="1811">
        <f t="shared" si="5"/>
        <v>1</v>
      </c>
    </row>
    <row r="46" spans="1:29" ht="15">
      <c r="A46" s="479" t="s">
        <v>2716</v>
      </c>
      <c r="B46" s="2707" t="s">
        <v>2752</v>
      </c>
      <c r="C46" s="682" t="s">
        <v>1</v>
      </c>
      <c r="D46" s="481"/>
      <c r="E46" s="482"/>
      <c r="F46" s="483"/>
      <c r="G46" s="484"/>
      <c r="H46" s="485"/>
      <c r="I46" s="482"/>
      <c r="J46" s="485"/>
      <c r="K46" s="783"/>
      <c r="L46" s="1143"/>
      <c r="M46" s="1144"/>
      <c r="N46" s="1131"/>
      <c r="O46" s="1144"/>
      <c r="P46" s="3176" t="str">
        <f>A46</f>
        <v>成交单价</v>
      </c>
      <c r="Q46" s="3176"/>
      <c r="R46" s="3207">
        <f>E46</f>
        <v>0</v>
      </c>
      <c r="S46" s="3207"/>
      <c r="T46" s="3207">
        <f>G46</f>
        <v>0</v>
      </c>
      <c r="U46" s="3207"/>
      <c r="V46" s="3207">
        <f>I46</f>
        <v>0</v>
      </c>
      <c r="W46" s="3207"/>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176" t="str">
        <f>A47</f>
        <v>比较价值（元/平方米）</v>
      </c>
      <c r="Q47" s="3176"/>
      <c r="R47" s="3235" t="e">
        <f>ROUND(PRODUCT(R46,AA7:AA45),0)</f>
        <v>#DIV/0!</v>
      </c>
      <c r="S47" s="3235"/>
      <c r="T47" s="3235" t="e">
        <f>ROUND(PRODUCT(T46,AB7:AB45),0)</f>
        <v>#DIV/0!</v>
      </c>
      <c r="U47" s="3235"/>
      <c r="V47" s="3235" t="e">
        <f>ROUND(PRODUCT(V46,AC7:AC45),0)</f>
        <v>#DIV/0!</v>
      </c>
      <c r="W47" s="3235"/>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173" t="str">
        <f>A48</f>
        <v>估价对象XX用房的比较价值（楼面单价，元/平方米）</v>
      </c>
      <c r="Q48" s="3174"/>
      <c r="R48" s="3236" t="e">
        <f>ROUND(AVERAGE(R47:V47),0)</f>
        <v>#DIV/0!</v>
      </c>
      <c r="S48" s="3236"/>
      <c r="T48" s="3236"/>
      <c r="U48" s="3236"/>
      <c r="V48" s="3236"/>
      <c r="W48" s="323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8" t="s">
        <v>2756</v>
      </c>
      <c r="D55" s="2709" t="s">
        <v>2757</v>
      </c>
      <c r="E55" s="686" t="s">
        <v>2758</v>
      </c>
      <c r="F55" s="1107" t="s">
        <v>2759</v>
      </c>
      <c r="G55" s="3191" t="s">
        <v>2760</v>
      </c>
      <c r="H55" s="3237"/>
      <c r="I55" s="144" t="s">
        <v>2761</v>
      </c>
      <c r="J55" s="2710">
        <f>项目基本情况!F35</f>
        <v>0</v>
      </c>
      <c r="K55" s="2711" t="s">
        <v>2762</v>
      </c>
      <c r="L55" s="1106"/>
      <c r="M55" s="1144"/>
      <c r="N55" s="1144"/>
      <c r="O55" s="1144"/>
    </row>
    <row r="56" spans="1:15" s="692" customFormat="1">
      <c r="A56" s="688" t="s">
        <v>2763</v>
      </c>
      <c r="B56" s="689" t="e">
        <f>C48</f>
        <v>#DIV/0!</v>
      </c>
      <c r="C56" s="690">
        <v>1</v>
      </c>
      <c r="D56" s="1163">
        <v>1</v>
      </c>
      <c r="E56" s="690">
        <f>'数据-汇总表'!E8+'数据-汇总表'!E9</f>
        <v>1292.3325</v>
      </c>
      <c r="F56" s="1103" t="e">
        <f t="shared" ref="F56:F65" si="15">ROUND(B56*E56/10000,0)</f>
        <v>#DIV/0!</v>
      </c>
      <c r="G56" s="3187"/>
      <c r="H56" s="3176"/>
      <c r="I56" s="1108">
        <v>1</v>
      </c>
      <c r="J56" s="1111">
        <v>1</v>
      </c>
      <c r="K56" s="1145"/>
      <c r="L56" s="941"/>
      <c r="M56" s="941"/>
      <c r="N56" s="941"/>
      <c r="O56" s="941"/>
    </row>
    <row r="57" spans="1:15" s="692" customFormat="1">
      <c r="A57" s="693" t="s">
        <v>2764</v>
      </c>
      <c r="B57" s="262" t="e">
        <f>ROUND($C$48*C57*D57,0)</f>
        <v>#DIV/0!</v>
      </c>
      <c r="C57" s="200">
        <f t="shared" ref="C57:C65" si="16">IF($C$55="北京市系数",I57,J57)</f>
        <v>0</v>
      </c>
      <c r="D57" s="1164">
        <v>0.25</v>
      </c>
      <c r="E57" s="694"/>
      <c r="F57" s="1103" t="e">
        <f t="shared" si="15"/>
        <v>#DIV/0!</v>
      </c>
      <c r="G57" s="3238" t="s">
        <v>2765</v>
      </c>
      <c r="H57" s="1104">
        <f>项目基本情况!B37</f>
        <v>0</v>
      </c>
      <c r="I57" s="1108">
        <f>SUMIF(修正!A45:A56,H57,修正!B45:B56)</f>
        <v>0</v>
      </c>
      <c r="J57" s="1112"/>
      <c r="K57" s="1144"/>
      <c r="L57" s="941"/>
      <c r="M57" s="941"/>
      <c r="N57" s="941"/>
      <c r="O57" s="941"/>
    </row>
    <row r="58" spans="1:15" s="692" customFormat="1">
      <c r="A58" s="693" t="s">
        <v>2766</v>
      </c>
      <c r="B58" s="262" t="e">
        <f t="shared" ref="B58:B65" si="17">ROUND($C$48*C58*D58,0)</f>
        <v>#DIV/0!</v>
      </c>
      <c r="C58" s="200">
        <f t="shared" si="16"/>
        <v>0</v>
      </c>
      <c r="D58" s="1164">
        <v>0.25</v>
      </c>
      <c r="E58" s="694"/>
      <c r="F58" s="1103" t="e">
        <f t="shared" si="15"/>
        <v>#DIV/0!</v>
      </c>
      <c r="G58" s="3238"/>
      <c r="H58" s="1104">
        <f>项目基本情况!B37</f>
        <v>0</v>
      </c>
      <c r="I58" s="1108">
        <f>SUMIF(修正!A45:A56,H58,修正!C45:C56)</f>
        <v>0</v>
      </c>
      <c r="J58" s="1112"/>
      <c r="K58" s="1145"/>
      <c r="L58" s="941"/>
      <c r="M58" s="941"/>
      <c r="N58" s="941"/>
      <c r="O58" s="941"/>
    </row>
    <row r="59" spans="1:15" s="692" customFormat="1">
      <c r="A59" s="693" t="s">
        <v>2767</v>
      </c>
      <c r="B59" s="262" t="e">
        <f t="shared" si="17"/>
        <v>#DIV/0!</v>
      </c>
      <c r="C59" s="200">
        <f t="shared" si="16"/>
        <v>0</v>
      </c>
      <c r="D59" s="1164">
        <v>0.25</v>
      </c>
      <c r="E59" s="694"/>
      <c r="F59" s="1103" t="e">
        <f t="shared" si="15"/>
        <v>#DIV/0!</v>
      </c>
      <c r="G59" s="3238"/>
      <c r="H59" s="1104">
        <f>项目基本情况!B37</f>
        <v>0</v>
      </c>
      <c r="I59" s="1108">
        <f>SUMIF(修正!A45:A56,H59,修正!D45:D56)</f>
        <v>0</v>
      </c>
      <c r="J59" s="1112"/>
      <c r="K59" s="1144"/>
      <c r="L59" s="941"/>
      <c r="M59" s="941"/>
      <c r="N59" s="941"/>
      <c r="O59" s="941"/>
    </row>
    <row r="60" spans="1:15" s="692" customFormat="1">
      <c r="A60" s="693" t="s">
        <v>2768</v>
      </c>
      <c r="B60" s="262" t="e">
        <f t="shared" si="17"/>
        <v>#DIV/0!</v>
      </c>
      <c r="C60" s="200">
        <f t="shared" si="16"/>
        <v>0</v>
      </c>
      <c r="D60" s="1164">
        <v>0.25</v>
      </c>
      <c r="E60" s="694"/>
      <c r="F60" s="1103" t="e">
        <f t="shared" si="15"/>
        <v>#DIV/0!</v>
      </c>
      <c r="G60" s="3238"/>
      <c r="H60" s="1104">
        <f>项目基本情况!B37</f>
        <v>0</v>
      </c>
      <c r="I60" s="1108">
        <f>SUMIF(修正!A45:A56,H60,修正!E45:E56)</f>
        <v>0</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712"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0</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v>
      </c>
      <c r="D63" s="1164">
        <v>0.25</v>
      </c>
      <c r="E63" s="261">
        <f>'数据-汇总表'!E13</f>
        <v>0</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v>
      </c>
      <c r="D64" s="1164">
        <v>0.25</v>
      </c>
      <c r="E64" s="261">
        <f>'数据-汇总表'!E14</f>
        <v>0</v>
      </c>
      <c r="F64" s="1103" t="e">
        <f t="shared" si="15"/>
        <v>#DIV/0!</v>
      </c>
      <c r="G64" s="2712" t="s">
        <v>2765</v>
      </c>
      <c r="H64" s="1104">
        <f>项目基本情况!B37</f>
        <v>0</v>
      </c>
      <c r="I64" s="1108">
        <f>SUMIF(修正!A45:A56,H64,修正!H45:H56)</f>
        <v>0</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0</v>
      </c>
      <c r="F65" s="1103" t="e">
        <f t="shared" si="15"/>
        <v>#DIV/0!</v>
      </c>
      <c r="G65" s="2713"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1292.3325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4" t="s">
        <v>2778</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5" t="s">
        <v>2779</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D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1" t="s">
        <v>2642</v>
      </c>
      <c r="D4" s="3192"/>
      <c r="E4" s="3193" t="s">
        <v>2643</v>
      </c>
      <c r="F4" s="3194"/>
      <c r="G4" s="3191" t="s">
        <v>2644</v>
      </c>
      <c r="H4" s="3192"/>
      <c r="I4" s="3191" t="s">
        <v>2645</v>
      </c>
      <c r="J4" s="3192"/>
      <c r="K4" s="610" t="s">
        <v>2646</v>
      </c>
      <c r="L4" s="1130"/>
      <c r="M4" s="1131"/>
      <c r="N4" s="1131"/>
      <c r="O4" s="1131"/>
      <c r="P4" s="3195" t="s">
        <v>2647</v>
      </c>
      <c r="Q4" s="3196"/>
      <c r="R4" s="3201" t="s">
        <v>2643</v>
      </c>
      <c r="S4" s="3202"/>
      <c r="T4" s="3201" t="s">
        <v>2644</v>
      </c>
      <c r="U4" s="3202"/>
      <c r="V4" s="3207" t="s">
        <v>2645</v>
      </c>
      <c r="W4" s="3207"/>
      <c r="X4" s="1813"/>
      <c r="Y4" s="3201" t="s">
        <v>2647</v>
      </c>
      <c r="Z4" s="3202"/>
      <c r="AA4" s="3188" t="s">
        <v>2643</v>
      </c>
      <c r="AB4" s="3189" t="s">
        <v>2644</v>
      </c>
      <c r="AC4" s="3188" t="s">
        <v>2645</v>
      </c>
    </row>
    <row r="5" spans="1:29" ht="15">
      <c r="A5" s="404"/>
      <c r="B5" s="405"/>
      <c r="C5" s="3210" t="s">
        <v>2538</v>
      </c>
      <c r="D5" s="3211"/>
      <c r="E5" s="3217" t="s">
        <v>2539</v>
      </c>
      <c r="F5" s="3218"/>
      <c r="G5" s="3210" t="s">
        <v>2540</v>
      </c>
      <c r="H5" s="3211"/>
      <c r="I5" s="3210" t="s">
        <v>2541</v>
      </c>
      <c r="J5" s="3211"/>
      <c r="K5" s="610"/>
      <c r="L5" s="1130"/>
      <c r="M5" s="1131"/>
      <c r="N5" s="1131"/>
      <c r="O5" s="1131"/>
      <c r="P5" s="3197"/>
      <c r="Q5" s="3198"/>
      <c r="R5" s="3203"/>
      <c r="S5" s="3204"/>
      <c r="T5" s="3203"/>
      <c r="U5" s="3204"/>
      <c r="V5" s="3207"/>
      <c r="W5" s="3207"/>
      <c r="X5" s="1813"/>
      <c r="Y5" s="3203"/>
      <c r="Z5" s="3204"/>
      <c r="AA5" s="3189"/>
      <c r="AB5" s="3189"/>
      <c r="AC5" s="3189"/>
    </row>
    <row r="6" spans="1:29" ht="15.75" thickBot="1">
      <c r="A6" s="406"/>
      <c r="B6" s="407"/>
      <c r="C6" s="3239" t="s">
        <v>2793</v>
      </c>
      <c r="D6" s="3240"/>
      <c r="E6" s="3241" t="s">
        <v>2793</v>
      </c>
      <c r="F6" s="3242"/>
      <c r="G6" s="3239" t="s">
        <v>2793</v>
      </c>
      <c r="H6" s="3240"/>
      <c r="I6" s="3239" t="s">
        <v>2793</v>
      </c>
      <c r="J6" s="3240"/>
      <c r="K6" s="610" t="s">
        <v>2543</v>
      </c>
      <c r="L6" s="1130"/>
      <c r="M6" s="1131"/>
      <c r="N6" s="1131"/>
      <c r="O6" s="1131"/>
      <c r="P6" s="3199"/>
      <c r="Q6" s="3200"/>
      <c r="R6" s="3203"/>
      <c r="S6" s="3204"/>
      <c r="T6" s="3205"/>
      <c r="U6" s="3206"/>
      <c r="V6" s="3207"/>
      <c r="W6" s="3207"/>
      <c r="X6" s="1813"/>
      <c r="Y6" s="3205"/>
      <c r="Z6" s="3206"/>
      <c r="AA6" s="3190"/>
      <c r="AB6" s="3190"/>
      <c r="AC6" s="3190"/>
    </row>
    <row r="7" spans="1:29" s="117" customFormat="1" ht="15.75" thickBot="1">
      <c r="A7" s="408" t="s">
        <v>2544</v>
      </c>
      <c r="B7" s="409"/>
      <c r="C7" s="410">
        <f>'数据-取费表'!B2</f>
        <v>43728</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212" t="s">
        <v>2545</v>
      </c>
      <c r="Q7" s="3214"/>
      <c r="R7" s="770" t="s">
        <v>17</v>
      </c>
      <c r="S7" s="771">
        <f t="shared" ref="S7:S15" si="0">F7</f>
        <v>0</v>
      </c>
      <c r="T7" s="770" t="s">
        <v>17</v>
      </c>
      <c r="U7" s="771">
        <f t="shared" ref="U7:U15" si="1">H7</f>
        <v>0</v>
      </c>
      <c r="V7" s="770" t="s">
        <v>17</v>
      </c>
      <c r="W7" s="771">
        <f t="shared" ref="W7:W15" si="2">J7</f>
        <v>0</v>
      </c>
      <c r="X7" s="772"/>
      <c r="Y7" s="3212" t="s">
        <v>2545</v>
      </c>
      <c r="Z7" s="3213"/>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2" t="s">
        <v>2548</v>
      </c>
      <c r="Q8" s="3213"/>
      <c r="R8" s="770" t="s">
        <v>17</v>
      </c>
      <c r="S8" s="771">
        <f t="shared" si="0"/>
        <v>0</v>
      </c>
      <c r="T8" s="770" t="s">
        <v>17</v>
      </c>
      <c r="U8" s="771">
        <f t="shared" si="1"/>
        <v>0</v>
      </c>
      <c r="V8" s="770" t="s">
        <v>17</v>
      </c>
      <c r="W8" s="771">
        <f t="shared" si="2"/>
        <v>0</v>
      </c>
      <c r="X8" s="772"/>
      <c r="Y8" s="3212" t="s">
        <v>2548</v>
      </c>
      <c r="Z8" s="3213"/>
      <c r="AA8" s="773" t="e">
        <f t="shared" ref="AA8:AA40" si="3">D8/F8</f>
        <v>#DIV/0!</v>
      </c>
      <c r="AB8" s="773" t="e">
        <f t="shared" ref="AB8:AB40" si="4">D8/H8</f>
        <v>#DIV/0!</v>
      </c>
      <c r="AC8" s="773" t="e">
        <f t="shared" ref="AC8:AC40" si="5">D8/J8</f>
        <v>#DIV/0!</v>
      </c>
    </row>
    <row r="9" spans="1:29" s="117" customFormat="1">
      <c r="A9" s="415" t="s">
        <v>2549</v>
      </c>
      <c r="B9" s="71" t="s">
        <v>2550</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176" t="s">
        <v>2551</v>
      </c>
      <c r="Q9" s="1795" t="str">
        <f t="shared" ref="Q9:Q15" si="6">B9</f>
        <v>用途</v>
      </c>
      <c r="R9" s="770" t="s">
        <v>17</v>
      </c>
      <c r="S9" s="771">
        <f t="shared" si="0"/>
        <v>100</v>
      </c>
      <c r="T9" s="770" t="s">
        <v>17</v>
      </c>
      <c r="U9" s="771">
        <f t="shared" si="1"/>
        <v>100</v>
      </c>
      <c r="V9" s="770" t="s">
        <v>17</v>
      </c>
      <c r="W9" s="771">
        <f t="shared" si="2"/>
        <v>100</v>
      </c>
      <c r="X9" s="772"/>
      <c r="Y9" s="3001"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117</v>
      </c>
      <c r="G10" s="432"/>
      <c r="H10" s="136">
        <f>ROUND(100/'数据-取费表'!G16,0)</f>
        <v>117</v>
      </c>
      <c r="I10" s="432"/>
      <c r="J10" s="136">
        <f>ROUND(100/'数据-取费表'!G16,0)</f>
        <v>117</v>
      </c>
      <c r="K10" s="672"/>
      <c r="L10" s="1135"/>
      <c r="M10" s="1136"/>
      <c r="N10" s="1136"/>
      <c r="O10" s="1137"/>
      <c r="P10" s="3176"/>
      <c r="Q10" s="1795" t="str">
        <f t="shared" si="6"/>
        <v>土地使用年限（年）</v>
      </c>
      <c r="R10" s="770" t="s">
        <v>17</v>
      </c>
      <c r="S10" s="771">
        <f t="shared" si="0"/>
        <v>117</v>
      </c>
      <c r="T10" s="770" t="s">
        <v>17</v>
      </c>
      <c r="U10" s="771">
        <f t="shared" si="1"/>
        <v>117</v>
      </c>
      <c r="V10" s="770" t="s">
        <v>17</v>
      </c>
      <c r="W10" s="771">
        <f t="shared" si="2"/>
        <v>117</v>
      </c>
      <c r="X10" s="772"/>
      <c r="Y10" s="3001"/>
      <c r="Z10" s="55" t="str">
        <f t="shared" si="7"/>
        <v>土地使用年限（年）</v>
      </c>
      <c r="AA10" s="773">
        <f t="shared" si="3"/>
        <v>0.85470085470085466</v>
      </c>
      <c r="AB10" s="773">
        <f t="shared" si="4"/>
        <v>0.85470085470085466</v>
      </c>
      <c r="AC10" s="773">
        <f t="shared" si="5"/>
        <v>0.85470085470085466</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6"/>
      <c r="Q11" s="1795"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6"/>
      <c r="Q12" s="1795">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6"/>
      <c r="Q14" s="1795">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57">
      <c r="A15" s="440" t="s">
        <v>2555</v>
      </c>
      <c r="B15" s="629" t="s">
        <v>2794</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8" t="s">
        <v>2556</v>
      </c>
      <c r="Q15" s="1810" t="str">
        <f t="shared" si="6"/>
        <v>产业集聚程度</v>
      </c>
      <c r="R15" s="774" t="s">
        <v>17</v>
      </c>
      <c r="S15" s="775">
        <f t="shared" si="0"/>
        <v>100</v>
      </c>
      <c r="T15" s="774" t="s">
        <v>17</v>
      </c>
      <c r="U15" s="775">
        <f t="shared" si="1"/>
        <v>100</v>
      </c>
      <c r="V15" s="774" t="s">
        <v>17</v>
      </c>
      <c r="W15" s="775">
        <f t="shared" si="2"/>
        <v>100</v>
      </c>
      <c r="X15" s="1813"/>
      <c r="Y15" s="3178" t="s">
        <v>2556</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179"/>
      <c r="Q16" s="1810"/>
      <c r="R16" s="774"/>
      <c r="S16" s="775"/>
      <c r="T16" s="774"/>
      <c r="U16" s="775"/>
      <c r="V16" s="774"/>
      <c r="W16" s="775"/>
      <c r="X16" s="1813"/>
      <c r="Y16" s="3179"/>
      <c r="Z16" s="1814"/>
      <c r="AA16" s="1811">
        <v>1</v>
      </c>
      <c r="AB16" s="1811">
        <v>1</v>
      </c>
      <c r="AC16" s="1811">
        <v>1</v>
      </c>
    </row>
    <row r="17" spans="1:29" ht="85.5">
      <c r="A17" s="428"/>
      <c r="B17" s="631" t="s">
        <v>2705</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9"/>
      <c r="Q17" s="1810" t="str">
        <f>B17</f>
        <v>交通便捷度</v>
      </c>
      <c r="R17" s="774" t="s">
        <v>17</v>
      </c>
      <c r="S17" s="775">
        <f>F17</f>
        <v>100</v>
      </c>
      <c r="T17" s="774" t="s">
        <v>17</v>
      </c>
      <c r="U17" s="775">
        <f>H17</f>
        <v>100</v>
      </c>
      <c r="V17" s="774" t="s">
        <v>17</v>
      </c>
      <c r="W17" s="775">
        <f>J17</f>
        <v>100</v>
      </c>
      <c r="X17" s="1813"/>
      <c r="Y17" s="3179"/>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179"/>
      <c r="Q18" s="1810"/>
      <c r="R18" s="774"/>
      <c r="S18" s="775"/>
      <c r="T18" s="774"/>
      <c r="U18" s="775"/>
      <c r="V18" s="774"/>
      <c r="W18" s="775"/>
      <c r="X18" s="1813"/>
      <c r="Y18" s="3179"/>
      <c r="Z18" s="1814"/>
      <c r="AA18" s="1811">
        <v>1</v>
      </c>
      <c r="AB18" s="1811">
        <v>1</v>
      </c>
      <c r="AC18" s="1811">
        <v>1</v>
      </c>
    </row>
    <row r="19" spans="1:29" ht="15">
      <c r="A19" s="428"/>
      <c r="B19" s="631" t="s">
        <v>2744</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9"/>
      <c r="Q19" s="1810" t="str">
        <f t="shared" ref="Q19:Q33" si="8">B19</f>
        <v>区域土地利用方向</v>
      </c>
      <c r="R19" s="774" t="s">
        <v>17</v>
      </c>
      <c r="S19" s="775">
        <f>F19</f>
        <v>100</v>
      </c>
      <c r="T19" s="774" t="s">
        <v>17</v>
      </c>
      <c r="U19" s="775">
        <f>H19</f>
        <v>100</v>
      </c>
      <c r="V19" s="774" t="s">
        <v>17</v>
      </c>
      <c r="W19" s="775">
        <f>J19</f>
        <v>100</v>
      </c>
      <c r="X19" s="1813"/>
      <c r="Y19" s="3179"/>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179"/>
      <c r="Q20" s="1810"/>
      <c r="R20" s="774"/>
      <c r="S20" s="775"/>
      <c r="T20" s="774"/>
      <c r="U20" s="775"/>
      <c r="V20" s="774"/>
      <c r="W20" s="775"/>
      <c r="X20" s="1813"/>
      <c r="Y20" s="3179"/>
      <c r="Z20" s="1814"/>
      <c r="AA20" s="1811"/>
      <c r="AB20" s="1811"/>
      <c r="AC20" s="1811"/>
    </row>
    <row r="21" spans="1:29" ht="71.25">
      <c r="A21" s="404"/>
      <c r="B21" s="631" t="s">
        <v>2795</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9"/>
      <c r="Q21" s="1810" t="str">
        <f t="shared" si="8"/>
        <v>环境状况</v>
      </c>
      <c r="R21" s="774" t="s">
        <v>17</v>
      </c>
      <c r="S21" s="775">
        <f>F21</f>
        <v>100</v>
      </c>
      <c r="T21" s="774" t="s">
        <v>17</v>
      </c>
      <c r="U21" s="775">
        <f>H21</f>
        <v>100</v>
      </c>
      <c r="V21" s="774" t="s">
        <v>17</v>
      </c>
      <c r="W21" s="775">
        <f>J21</f>
        <v>100</v>
      </c>
      <c r="X21" s="1813"/>
      <c r="Y21" s="3179"/>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179"/>
      <c r="Q22" s="1810"/>
      <c r="R22" s="774"/>
      <c r="S22" s="775"/>
      <c r="T22" s="774"/>
      <c r="U22" s="775"/>
      <c r="V22" s="774"/>
      <c r="W22" s="775"/>
      <c r="X22" s="1813"/>
      <c r="Y22" s="3179"/>
      <c r="Z22" s="1814"/>
      <c r="AA22" s="1811">
        <v>1</v>
      </c>
      <c r="AB22" s="1811">
        <v>1</v>
      </c>
      <c r="AC22" s="1811">
        <v>1</v>
      </c>
    </row>
    <row r="23" spans="1:29" s="117" customFormat="1" ht="42.75">
      <c r="A23" s="649"/>
      <c r="B23" s="633" t="s">
        <v>2650</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9"/>
      <c r="Q23" s="1795" t="str">
        <f t="shared" si="8"/>
        <v>公共配套设施</v>
      </c>
      <c r="R23" s="770" t="s">
        <v>17</v>
      </c>
      <c r="S23" s="771">
        <f>F23</f>
        <v>100</v>
      </c>
      <c r="T23" s="770" t="s">
        <v>17</v>
      </c>
      <c r="U23" s="771">
        <f>H23</f>
        <v>100</v>
      </c>
      <c r="V23" s="770" t="s">
        <v>17</v>
      </c>
      <c r="W23" s="771">
        <f>J23</f>
        <v>100</v>
      </c>
      <c r="X23" s="772"/>
      <c r="Y23" s="3179"/>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179"/>
      <c r="Q24" s="1795"/>
      <c r="R24" s="770"/>
      <c r="S24" s="771"/>
      <c r="T24" s="770"/>
      <c r="U24" s="771"/>
      <c r="V24" s="770"/>
      <c r="W24" s="771"/>
      <c r="X24" s="772"/>
      <c r="Y24" s="3179"/>
      <c r="Z24" s="55"/>
      <c r="AA24" s="773">
        <v>1</v>
      </c>
      <c r="AB24" s="773">
        <v>1</v>
      </c>
      <c r="AC24" s="773">
        <v>1</v>
      </c>
    </row>
    <row r="25" spans="1:29" s="117" customFormat="1" ht="28.5">
      <c r="A25" s="649"/>
      <c r="B25" s="633" t="s">
        <v>2651</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9"/>
      <c r="Q25" s="1795" t="str">
        <f t="shared" ref="Q25" si="9">B25</f>
        <v>基础设施水平</v>
      </c>
      <c r="R25" s="770" t="s">
        <v>17</v>
      </c>
      <c r="S25" s="771">
        <f>F25</f>
        <v>100</v>
      </c>
      <c r="T25" s="770" t="s">
        <v>17</v>
      </c>
      <c r="U25" s="771">
        <f>H25</f>
        <v>100</v>
      </c>
      <c r="V25" s="770" t="s">
        <v>17</v>
      </c>
      <c r="W25" s="771">
        <f>J25</f>
        <v>100</v>
      </c>
      <c r="X25" s="772"/>
      <c r="Y25" s="3179"/>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179"/>
      <c r="Q26" s="1795"/>
      <c r="R26" s="770"/>
      <c r="S26" s="771"/>
      <c r="T26" s="770"/>
      <c r="U26" s="771"/>
      <c r="V26" s="770"/>
      <c r="W26" s="771"/>
      <c r="X26" s="772"/>
      <c r="Y26" s="3179"/>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9"/>
      <c r="Z27" s="1814" t="str">
        <f t="shared" ref="Z27:Z40" si="13">Q27</f>
        <v>临街状况</v>
      </c>
      <c r="AA27" s="1811">
        <f t="shared" si="3"/>
        <v>1</v>
      </c>
      <c r="AB27" s="1811">
        <f t="shared" si="4"/>
        <v>1</v>
      </c>
      <c r="AC27" s="1811">
        <f t="shared" si="5"/>
        <v>1</v>
      </c>
    </row>
    <row r="28" spans="1:29" ht="27">
      <c r="A28" s="428"/>
      <c r="B28" s="633" t="s">
        <v>2687</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9"/>
      <c r="Q28" s="1810" t="str">
        <f t="shared" si="8"/>
        <v>毗邻道路的类型与等级</v>
      </c>
      <c r="R28" s="774" t="s">
        <v>17</v>
      </c>
      <c r="S28" s="775">
        <f t="shared" si="10"/>
        <v>100</v>
      </c>
      <c r="T28" s="774" t="s">
        <v>17</v>
      </c>
      <c r="U28" s="775">
        <f t="shared" si="11"/>
        <v>100</v>
      </c>
      <c r="V28" s="774" t="s">
        <v>17</v>
      </c>
      <c r="W28" s="775">
        <f t="shared" si="12"/>
        <v>100</v>
      </c>
      <c r="X28" s="1813"/>
      <c r="Y28" s="3179"/>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179"/>
      <c r="Q29" s="1810"/>
      <c r="R29" s="774"/>
      <c r="S29" s="775"/>
      <c r="T29" s="774"/>
      <c r="U29" s="775"/>
      <c r="V29" s="774"/>
      <c r="W29" s="775"/>
      <c r="X29" s="1813"/>
      <c r="Y29" s="3179"/>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9"/>
      <c r="Q30" s="1810" t="str">
        <f t="shared" si="8"/>
        <v>土地级别</v>
      </c>
      <c r="R30" s="774" t="s">
        <v>17</v>
      </c>
      <c r="S30" s="775">
        <f t="shared" si="10"/>
        <v>100</v>
      </c>
      <c r="T30" s="774" t="s">
        <v>17</v>
      </c>
      <c r="U30" s="775">
        <f t="shared" si="11"/>
        <v>100</v>
      </c>
      <c r="V30" s="774" t="s">
        <v>17</v>
      </c>
      <c r="W30" s="775">
        <f t="shared" si="12"/>
        <v>100</v>
      </c>
      <c r="X30" s="1813"/>
      <c r="Y30" s="3179"/>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9"/>
      <c r="Q31" s="1810">
        <f t="shared" si="8"/>
        <v>111</v>
      </c>
      <c r="R31" s="774" t="s">
        <v>17</v>
      </c>
      <c r="S31" s="775">
        <f t="shared" si="10"/>
        <v>100</v>
      </c>
      <c r="T31" s="774" t="s">
        <v>17</v>
      </c>
      <c r="U31" s="775">
        <f t="shared" si="11"/>
        <v>100</v>
      </c>
      <c r="V31" s="774" t="s">
        <v>17</v>
      </c>
      <c r="W31" s="775">
        <f t="shared" si="12"/>
        <v>100</v>
      </c>
      <c r="X31" s="1813"/>
      <c r="Y31" s="3179"/>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4" t="s">
        <v>2561</v>
      </c>
      <c r="Q32" s="1810">
        <f t="shared" si="8"/>
        <v>111</v>
      </c>
      <c r="R32" s="774" t="s">
        <v>17</v>
      </c>
      <c r="S32" s="775">
        <f t="shared" si="10"/>
        <v>100</v>
      </c>
      <c r="T32" s="774" t="s">
        <v>17</v>
      </c>
      <c r="U32" s="775">
        <f t="shared" si="11"/>
        <v>100</v>
      </c>
      <c r="V32" s="774" t="s">
        <v>17</v>
      </c>
      <c r="W32" s="775">
        <f t="shared" si="12"/>
        <v>100</v>
      </c>
      <c r="X32" s="1813"/>
      <c r="Y32" s="3183" t="s">
        <v>2561</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3"/>
      <c r="Q33" s="1810">
        <f t="shared" si="8"/>
        <v>111</v>
      </c>
      <c r="R33" s="777" t="s">
        <v>17</v>
      </c>
      <c r="S33" s="778">
        <f t="shared" si="10"/>
        <v>100</v>
      </c>
      <c r="T33" s="777" t="s">
        <v>17</v>
      </c>
      <c r="U33" s="778">
        <f t="shared" si="11"/>
        <v>100</v>
      </c>
      <c r="V33" s="777" t="s">
        <v>17</v>
      </c>
      <c r="W33" s="778">
        <f t="shared" si="12"/>
        <v>100</v>
      </c>
      <c r="X33" s="779"/>
      <c r="Y33" s="3183"/>
      <c r="Z33" s="780">
        <f t="shared" si="13"/>
        <v>111</v>
      </c>
      <c r="AA33" s="1811">
        <f t="shared" si="3"/>
        <v>1</v>
      </c>
      <c r="AB33" s="1811">
        <f t="shared" si="4"/>
        <v>1</v>
      </c>
      <c r="AC33" s="1811">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3"/>
      <c r="Q34" s="1810" t="str">
        <f>B34</f>
        <v>宗地面积</v>
      </c>
      <c r="R34" s="774" t="s">
        <v>17</v>
      </c>
      <c r="S34" s="775" t="e">
        <f t="shared" si="10"/>
        <v>#N/A</v>
      </c>
      <c r="T34" s="774" t="s">
        <v>17</v>
      </c>
      <c r="U34" s="775" t="e">
        <f t="shared" si="11"/>
        <v>#N/A</v>
      </c>
      <c r="V34" s="774" t="s">
        <v>17</v>
      </c>
      <c r="W34" s="775" t="e">
        <f t="shared" si="12"/>
        <v>#N/A</v>
      </c>
      <c r="X34" s="1813"/>
      <c r="Y34" s="3183"/>
      <c r="Z34" s="1814" t="str">
        <f t="shared" si="13"/>
        <v>宗地面积</v>
      </c>
      <c r="AA34" s="1811" t="e">
        <f t="shared" si="3"/>
        <v>#N/A</v>
      </c>
      <c r="AB34" s="1811" t="e">
        <f t="shared" si="4"/>
        <v>#N/A</v>
      </c>
      <c r="AC34" s="1811" t="e">
        <f t="shared" si="5"/>
        <v>#N/A</v>
      </c>
    </row>
    <row r="35" spans="1:29" ht="15">
      <c r="A35" s="472"/>
      <c r="B35" s="422" t="s">
        <v>2748</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183"/>
      <c r="Q35" s="1810" t="str">
        <f t="shared" ref="Q35:Q40" si="14">B35</f>
        <v>宗地形状</v>
      </c>
      <c r="R35" s="774" t="s">
        <v>17</v>
      </c>
      <c r="S35" s="775">
        <f t="shared" si="10"/>
        <v>100</v>
      </c>
      <c r="T35" s="774" t="s">
        <v>17</v>
      </c>
      <c r="U35" s="775">
        <f t="shared" si="11"/>
        <v>100</v>
      </c>
      <c r="V35" s="774" t="s">
        <v>17</v>
      </c>
      <c r="W35" s="775">
        <f t="shared" si="12"/>
        <v>100</v>
      </c>
      <c r="X35" s="1813"/>
      <c r="Y35" s="3183"/>
      <c r="Z35" s="1814" t="str">
        <f t="shared" si="13"/>
        <v>宗地形状</v>
      </c>
      <c r="AA35" s="1811">
        <f t="shared" si="3"/>
        <v>1</v>
      </c>
      <c r="AB35" s="1811">
        <f t="shared" si="4"/>
        <v>1</v>
      </c>
      <c r="AC35" s="1811">
        <f t="shared" si="5"/>
        <v>1</v>
      </c>
    </row>
    <row r="36" spans="1:29" s="117" customFormat="1" ht="15">
      <c r="A36" s="473"/>
      <c r="B36" s="422" t="s">
        <v>2750</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183"/>
      <c r="Q36" s="1810" t="str">
        <f t="shared" si="14"/>
        <v>宗地开发程度</v>
      </c>
      <c r="R36" s="770" t="s">
        <v>17</v>
      </c>
      <c r="S36" s="771">
        <f t="shared" si="10"/>
        <v>100</v>
      </c>
      <c r="T36" s="770" t="s">
        <v>17</v>
      </c>
      <c r="U36" s="771">
        <f t="shared" si="11"/>
        <v>100</v>
      </c>
      <c r="V36" s="770" t="s">
        <v>17</v>
      </c>
      <c r="W36" s="771">
        <f t="shared" si="12"/>
        <v>100</v>
      </c>
      <c r="X36" s="772"/>
      <c r="Y36" s="3183"/>
      <c r="Z36" s="55" t="str">
        <f t="shared" si="13"/>
        <v>宗地开发程度</v>
      </c>
      <c r="AA36" s="773">
        <f t="shared" si="3"/>
        <v>1</v>
      </c>
      <c r="AB36" s="773">
        <f t="shared" si="4"/>
        <v>1</v>
      </c>
      <c r="AC36" s="773">
        <f t="shared" si="5"/>
        <v>1</v>
      </c>
    </row>
    <row r="37" spans="1:29" ht="15">
      <c r="A37" s="472"/>
      <c r="B37" s="422" t="s">
        <v>2751</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183" t="s">
        <v>2561</v>
      </c>
      <c r="Q37" s="1810" t="str">
        <f t="shared" si="14"/>
        <v>工程地质条件</v>
      </c>
      <c r="R37" s="774" t="s">
        <v>17</v>
      </c>
      <c r="S37" s="775">
        <f t="shared" si="10"/>
        <v>100</v>
      </c>
      <c r="T37" s="774" t="s">
        <v>17</v>
      </c>
      <c r="U37" s="775">
        <f t="shared" si="11"/>
        <v>100</v>
      </c>
      <c r="V37" s="774" t="s">
        <v>17</v>
      </c>
      <c r="W37" s="775">
        <f t="shared" si="12"/>
        <v>100</v>
      </c>
      <c r="X37" s="1813"/>
      <c r="Y37" s="3183"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3"/>
      <c r="Q38" s="1810">
        <f t="shared" si="14"/>
        <v>111</v>
      </c>
      <c r="R38" s="774" t="s">
        <v>17</v>
      </c>
      <c r="S38" s="775">
        <f t="shared" si="10"/>
        <v>100</v>
      </c>
      <c r="T38" s="774" t="s">
        <v>17</v>
      </c>
      <c r="U38" s="775">
        <f t="shared" si="11"/>
        <v>100</v>
      </c>
      <c r="V38" s="774" t="s">
        <v>17</v>
      </c>
      <c r="W38" s="775">
        <f t="shared" si="12"/>
        <v>100</v>
      </c>
      <c r="X38" s="1813"/>
      <c r="Y38" s="3183"/>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3"/>
      <c r="Q39" s="1810">
        <f t="shared" si="14"/>
        <v>111</v>
      </c>
      <c r="R39" s="774" t="s">
        <v>17</v>
      </c>
      <c r="S39" s="775">
        <f t="shared" si="10"/>
        <v>100</v>
      </c>
      <c r="T39" s="774" t="s">
        <v>17</v>
      </c>
      <c r="U39" s="775">
        <f t="shared" si="11"/>
        <v>100</v>
      </c>
      <c r="V39" s="774" t="s">
        <v>17</v>
      </c>
      <c r="W39" s="775">
        <f t="shared" si="12"/>
        <v>100</v>
      </c>
      <c r="X39" s="1813"/>
      <c r="Y39" s="3183"/>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3"/>
      <c r="Q40" s="1810">
        <f t="shared" si="14"/>
        <v>111</v>
      </c>
      <c r="R40" s="777" t="s">
        <v>17</v>
      </c>
      <c r="S40" s="778">
        <f t="shared" si="10"/>
        <v>100</v>
      </c>
      <c r="T40" s="777" t="s">
        <v>17</v>
      </c>
      <c r="U40" s="778">
        <f t="shared" si="11"/>
        <v>100</v>
      </c>
      <c r="V40" s="777" t="s">
        <v>17</v>
      </c>
      <c r="W40" s="778">
        <f t="shared" si="12"/>
        <v>100</v>
      </c>
      <c r="X40" s="779"/>
      <c r="Y40" s="3183"/>
      <c r="Z40" s="780">
        <f t="shared" si="13"/>
        <v>111</v>
      </c>
      <c r="AA40" s="1811">
        <f t="shared" si="3"/>
        <v>1</v>
      </c>
      <c r="AB40" s="1811">
        <f t="shared" si="4"/>
        <v>1</v>
      </c>
      <c r="AC40" s="1811">
        <f t="shared" si="5"/>
        <v>1</v>
      </c>
    </row>
    <row r="41" spans="1:29" ht="15">
      <c r="A41" s="479" t="s">
        <v>2716</v>
      </c>
      <c r="B41" s="2707" t="s">
        <v>2796</v>
      </c>
      <c r="C41" s="682" t="s">
        <v>1</v>
      </c>
      <c r="D41" s="481"/>
      <c r="E41" s="482"/>
      <c r="F41" s="483"/>
      <c r="G41" s="484"/>
      <c r="H41" s="485"/>
      <c r="I41" s="482"/>
      <c r="J41" s="485"/>
      <c r="K41" s="783"/>
      <c r="L41" s="1143"/>
      <c r="M41" s="1131"/>
      <c r="N41" s="1131"/>
      <c r="O41" s="1144"/>
      <c r="P41" s="3176" t="str">
        <f>A41</f>
        <v>成交单价</v>
      </c>
      <c r="Q41" s="3176"/>
      <c r="R41" s="3207">
        <f>E41</f>
        <v>0</v>
      </c>
      <c r="S41" s="3207"/>
      <c r="T41" s="3207">
        <f>G41</f>
        <v>0</v>
      </c>
      <c r="U41" s="3207"/>
      <c r="V41" s="3207">
        <f>I41</f>
        <v>0</v>
      </c>
      <c r="W41" s="3207"/>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176" t="str">
        <f>A42</f>
        <v>比较价值（元/平方米）</v>
      </c>
      <c r="Q42" s="3176"/>
      <c r="R42" s="3235" t="e">
        <f>ROUND(PRODUCT(R41,AA7:AA40),0)</f>
        <v>#DIV/0!</v>
      </c>
      <c r="S42" s="3235"/>
      <c r="T42" s="3235" t="e">
        <f>ROUND(PRODUCT(T41,AB7:AB40),0)</f>
        <v>#DIV/0!</v>
      </c>
      <c r="U42" s="3235"/>
      <c r="V42" s="3235" t="e">
        <f>ROUND(PRODUCT(V41,AC7:AC40),0)</f>
        <v>#DIV/0!</v>
      </c>
      <c r="W42" s="3235"/>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173" t="str">
        <f>A43</f>
        <v>估价对象XX用房的比较价值（楼面单价，元/平方米）</v>
      </c>
      <c r="Q43" s="3174"/>
      <c r="R43" s="3236" t="e">
        <f>ROUND(AVERAGE(R42:V42),0)</f>
        <v>#DIV/0!</v>
      </c>
      <c r="S43" s="3236"/>
      <c r="T43" s="3236"/>
      <c r="U43" s="3236"/>
      <c r="V43" s="3236"/>
      <c r="W43" s="323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8" t="s">
        <v>2756</v>
      </c>
      <c r="D50" s="2709" t="s">
        <v>2757</v>
      </c>
      <c r="E50" s="686" t="s">
        <v>2758</v>
      </c>
      <c r="F50" s="687" t="s">
        <v>2759</v>
      </c>
      <c r="G50" s="3191" t="s">
        <v>2760</v>
      </c>
      <c r="H50" s="3237"/>
      <c r="I50" s="1814" t="s">
        <v>2797</v>
      </c>
      <c r="J50" s="1814">
        <f>项目基本情况!F35</f>
        <v>0</v>
      </c>
      <c r="K50" s="2711" t="s">
        <v>2762</v>
      </c>
      <c r="L50" s="1106"/>
      <c r="M50" s="1144"/>
      <c r="N50" s="1144"/>
      <c r="O50" s="1144"/>
    </row>
    <row r="51" spans="1:17" s="692" customFormat="1">
      <c r="A51" s="688" t="s">
        <v>2763</v>
      </c>
      <c r="B51" s="689" t="e">
        <f>C43</f>
        <v>#DIV/0!</v>
      </c>
      <c r="C51" s="690">
        <v>1</v>
      </c>
      <c r="D51" s="1163">
        <v>1</v>
      </c>
      <c r="E51" s="690">
        <f>'数据-汇总表'!E8+'数据-汇总表'!E9</f>
        <v>1292.3325</v>
      </c>
      <c r="F51" s="691" t="e">
        <f t="shared" ref="F51:F60" si="15">ROUND(B51*E51/10000,0)</f>
        <v>#DIV/0!</v>
      </c>
      <c r="G51" s="3187"/>
      <c r="H51" s="3176"/>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238"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238"/>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238"/>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238"/>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12"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12"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13"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4" t="s">
        <v>2778</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9" t="s">
        <v>2798</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6" sqref="B6:D6"/>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2800</v>
      </c>
      <c r="B1" s="241"/>
      <c r="C1" s="245" t="s">
        <v>2801</v>
      </c>
      <c r="D1" s="388">
        <f>SUM(D29:D30,D33:D39)</f>
        <v>0</v>
      </c>
      <c r="E1" s="2720"/>
      <c r="F1" s="2720"/>
      <c r="G1" s="2720"/>
      <c r="H1" s="2720"/>
      <c r="I1" s="2720"/>
      <c r="J1" s="2720"/>
      <c r="K1" s="1370"/>
      <c r="L1" s="2721" t="s">
        <v>2802</v>
      </c>
      <c r="M1" s="1080">
        <f>SUMPRODUCT((区片价!B5:B9=I2)*(区片价!C3:F3=E2)*(区片价!C5:F9))</f>
        <v>0</v>
      </c>
      <c r="N1" s="1083">
        <f>SUMPRODUCT((因素修正幅度!B5:B9=I2)*(因素修正幅度!C3:F3=E2)*(因素修正幅度!C5:F9))</f>
        <v>0</v>
      </c>
      <c r="O1" s="2722"/>
      <c r="P1" s="2722"/>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t="e">
        <f>C26</f>
        <v>#DIV/0!</v>
      </c>
      <c r="C2" s="2724" t="s">
        <v>2809</v>
      </c>
      <c r="D2" s="2725" t="s">
        <v>2810</v>
      </c>
      <c r="E2" s="2726"/>
      <c r="F2" s="2725" t="s">
        <v>2811</v>
      </c>
      <c r="G2" s="2727">
        <f>IF(E2="商业",项目基本情况!B37,IF(E2="办公",项目基本情况!C37,IF(E2="住宅",项目基本情况!D37,项目基本情况!E37)))</f>
        <v>0</v>
      </c>
      <c r="H2" s="2725" t="s">
        <v>2812</v>
      </c>
      <c r="I2" s="2727">
        <f>IF(E2="商业",项目基本情况!B38,IF(E2="办公",项目基本情况!C38,IF(E2="住宅",项目基本情况!D38,项目基本情况!E38)))</f>
        <v>0</v>
      </c>
      <c r="J2" s="2728"/>
      <c r="K2" s="1370"/>
      <c r="L2" s="2729" t="s">
        <v>2813</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2814</v>
      </c>
      <c r="B3" s="248" t="e">
        <f>ROUND(B2*10000/D1,0)</f>
        <v>#DIV/0!</v>
      </c>
      <c r="C3" s="2724" t="s">
        <v>2815</v>
      </c>
      <c r="D3" s="2725" t="s">
        <v>2816</v>
      </c>
      <c r="E3" s="2730"/>
      <c r="F3" s="2731" t="s">
        <v>2817</v>
      </c>
      <c r="G3" s="916" t="e">
        <f>IF(F3="宗地容积率",'数据-汇总表'!I4,IF(F3="估价对象容积率",'数据-汇总表'!I6,'数据-汇总表'!I7))</f>
        <v>#DIV/0!</v>
      </c>
      <c r="H3" s="198" t="s">
        <v>2818</v>
      </c>
      <c r="I3" s="944"/>
      <c r="J3" s="2728" t="s">
        <v>2819</v>
      </c>
      <c r="K3" s="1370"/>
      <c r="L3" s="2729" t="s">
        <v>2820</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46"/>
      <c r="B4" s="3247"/>
      <c r="C4" s="3247"/>
      <c r="D4" s="3248"/>
      <c r="E4" s="3248"/>
      <c r="F4" s="3248"/>
      <c r="G4" s="3248"/>
      <c r="H4" s="3248"/>
      <c r="I4" s="3248"/>
      <c r="J4" s="3249"/>
      <c r="K4" s="1370"/>
      <c r="L4" s="2729" t="s">
        <v>2821</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2822</v>
      </c>
      <c r="C5" s="917" t="e">
        <f>ROUND(IF(E2="商业",C6*C7+C16,(IF(E2="住宅",C6*C12+C16,C6+C16))),0)</f>
        <v>#DIV/0!</v>
      </c>
      <c r="D5" s="1787" t="e">
        <f>ROUND(C6+C16,0)</f>
        <v>#DIV/0!</v>
      </c>
      <c r="E5" s="1787"/>
      <c r="F5" s="2734"/>
      <c r="G5" s="2735"/>
      <c r="H5" s="2735"/>
      <c r="I5" s="2735"/>
      <c r="J5" s="2736"/>
      <c r="K5" s="2737"/>
      <c r="L5" s="2729" t="s">
        <v>2823</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8"/>
      <c r="AD5" s="2739"/>
      <c r="AE5" s="2739"/>
      <c r="AF5" s="2739"/>
      <c r="AG5" s="2739"/>
      <c r="AH5" s="2739"/>
      <c r="AI5" s="2739"/>
      <c r="AJ5" s="2740"/>
    </row>
    <row r="6" spans="1:36" ht="15.75" thickBot="1">
      <c r="A6" s="2742" t="s">
        <v>2824</v>
      </c>
      <c r="B6" s="2743" t="s">
        <v>2825</v>
      </c>
      <c r="C6" s="918">
        <f>SUMIF(L1:L12,G2,M1:M12)</f>
        <v>0</v>
      </c>
      <c r="D6" s="2744" t="s">
        <v>2826</v>
      </c>
      <c r="E6" s="2745"/>
      <c r="F6" s="2745"/>
      <c r="G6" s="2746"/>
      <c r="H6" s="2746"/>
      <c r="I6" s="2746"/>
      <c r="J6" s="2747"/>
      <c r="K6" s="1842"/>
      <c r="L6" s="2729" t="s">
        <v>2827</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8"/>
      <c r="AD6" s="2739"/>
      <c r="AE6" s="2739"/>
      <c r="AF6" s="2739"/>
      <c r="AG6" s="2739"/>
      <c r="AH6" s="2739"/>
      <c r="AI6" s="2739"/>
      <c r="AJ6" s="2740"/>
    </row>
    <row r="7" spans="1:36" ht="24">
      <c r="A7" s="3250" t="str">
        <f>IF(E2="商业",IF(C8="不临58条商业街","",2),"")</f>
        <v/>
      </c>
      <c r="B7" s="2748" t="s">
        <v>2828</v>
      </c>
      <c r="C7" s="919" t="e">
        <f>IF(C8="不临58条商业街",1,ROUND(1+(1.6*E8+1.2*E9+0.8*E10+0.4*E11)*C9,4))</f>
        <v>#DIV/0!</v>
      </c>
      <c r="D7" s="2749" t="s">
        <v>2829</v>
      </c>
      <c r="E7" s="945"/>
      <c r="F7" s="2750"/>
      <c r="G7" s="2751"/>
      <c r="H7" s="2751"/>
      <c r="I7" s="2751"/>
      <c r="J7" s="2752"/>
      <c r="K7" s="1842"/>
      <c r="L7" s="2729" t="s">
        <v>2830</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2831</v>
      </c>
      <c r="X7" s="1604">
        <f>G2</f>
        <v>0</v>
      </c>
      <c r="Y7" s="1604" t="s">
        <v>2832</v>
      </c>
      <c r="Z7" s="1605" t="e">
        <f>G3</f>
        <v>#DIV/0!</v>
      </c>
      <c r="AA7" s="1606"/>
      <c r="AB7" s="1606"/>
      <c r="AC7" s="1607"/>
      <c r="AD7" s="1608"/>
      <c r="AE7" s="1608"/>
      <c r="AF7" s="1608"/>
      <c r="AG7" s="1608"/>
      <c r="AH7" s="1608"/>
      <c r="AI7" s="1608"/>
      <c r="AJ7" s="1609"/>
    </row>
    <row r="8" spans="1:36" ht="15">
      <c r="A8" s="3251"/>
      <c r="B8" s="198" t="s">
        <v>2833</v>
      </c>
      <c r="C8" s="2753"/>
      <c r="D8" s="920" t="s">
        <v>139</v>
      </c>
      <c r="E8" s="921" t="e">
        <f>ROUND(C11/E7,4)</f>
        <v>#DIV/0!</v>
      </c>
      <c r="F8" s="2754" t="s">
        <v>2834</v>
      </c>
      <c r="G8" s="2755"/>
      <c r="H8" s="2755"/>
      <c r="I8" s="2755"/>
      <c r="J8" s="2756"/>
      <c r="K8" s="1370"/>
      <c r="L8" s="2729"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43" t="s">
        <v>2836</v>
      </c>
      <c r="X8" s="3244"/>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251"/>
      <c r="B9" s="198" t="s">
        <v>2849</v>
      </c>
      <c r="C9" s="922">
        <f>SUMIF(修正!C59:C119,C8,修正!E59:E119)</f>
        <v>0</v>
      </c>
      <c r="D9" s="200" t="s">
        <v>140</v>
      </c>
      <c r="E9" s="200" t="e">
        <f>ROUND(C11/E7,4)</f>
        <v>#DIV/0!</v>
      </c>
      <c r="F9" s="2754" t="s">
        <v>2850</v>
      </c>
      <c r="G9" s="2755"/>
      <c r="H9" s="2755"/>
      <c r="I9" s="2755"/>
      <c r="J9" s="2756"/>
      <c r="K9" s="1370"/>
      <c r="L9" s="2729"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45"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1"/>
      <c r="B10" s="198" t="s">
        <v>2854</v>
      </c>
      <c r="C10" s="200">
        <f>SUMIF(修正!C59:C119,C8,修正!F59:F119)</f>
        <v>0</v>
      </c>
      <c r="D10" s="200" t="s">
        <v>141</v>
      </c>
      <c r="E10" s="200" t="e">
        <f>ROUND(C11/E7,4)</f>
        <v>#DIV/0!</v>
      </c>
      <c r="F10" s="2754" t="s">
        <v>2855</v>
      </c>
      <c r="G10" s="2755"/>
      <c r="H10" s="2755"/>
      <c r="I10" s="2755"/>
      <c r="J10" s="2756"/>
      <c r="K10" s="1370"/>
      <c r="L10" s="2729"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4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1"/>
      <c r="B11" s="2757" t="s">
        <v>2857</v>
      </c>
      <c r="C11" s="923">
        <f>C10/4</f>
        <v>0</v>
      </c>
      <c r="D11" s="923" t="s">
        <v>142</v>
      </c>
      <c r="E11" s="923" t="e">
        <f>ROUND(C11/E7,4)</f>
        <v>#DIV/0!</v>
      </c>
      <c r="F11" s="2758" t="s">
        <v>2858</v>
      </c>
      <c r="G11" s="2759"/>
      <c r="H11" s="2759"/>
      <c r="I11" s="2759"/>
      <c r="J11" s="2760"/>
      <c r="K11" s="1370"/>
      <c r="L11" s="2729"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45" t="s">
        <v>2860</v>
      </c>
      <c r="X11" s="1614" t="s">
        <v>2861</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50" t="s">
        <v>2862</v>
      </c>
      <c r="B12" s="2761" t="s">
        <v>2863</v>
      </c>
      <c r="C12" s="919">
        <f>ROUND(C15*D15*E15*F15*G15*H15*I15*J15,4)</f>
        <v>1</v>
      </c>
      <c r="D12" s="2762" t="s">
        <v>2864</v>
      </c>
      <c r="E12" s="2763"/>
      <c r="F12" s="2763"/>
      <c r="G12" s="2764"/>
      <c r="H12" s="2764"/>
      <c r="I12" s="2764"/>
      <c r="J12" s="2765"/>
      <c r="K12" s="1370"/>
      <c r="L12" s="2766"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45"/>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2"/>
      <c r="B13" s="2767" t="s">
        <v>2867</v>
      </c>
      <c r="C13" s="2768" t="s">
        <v>2868</v>
      </c>
      <c r="D13" s="1808" t="s">
        <v>2869</v>
      </c>
      <c r="E13" s="1808" t="s">
        <v>2870</v>
      </c>
      <c r="F13" s="30" t="s">
        <v>2871</v>
      </c>
      <c r="G13" s="2769" t="s">
        <v>2872</v>
      </c>
      <c r="H13" s="2769" t="s">
        <v>2872</v>
      </c>
      <c r="I13" s="2769" t="s">
        <v>2872</v>
      </c>
      <c r="J13" s="2770" t="s">
        <v>2872</v>
      </c>
      <c r="K13" s="1370"/>
      <c r="L13" s="1370"/>
      <c r="M13" s="1370"/>
      <c r="N13" s="1370"/>
      <c r="O13" s="1370"/>
      <c r="P13" s="1370"/>
      <c r="Q13" s="1370"/>
      <c r="R13" s="1602">
        <v>12</v>
      </c>
      <c r="S13" s="1603"/>
      <c r="T13" s="1602" t="e">
        <f t="shared" si="0"/>
        <v>#DIV/0!</v>
      </c>
      <c r="U13" s="1603"/>
      <c r="V13" s="1602" t="e">
        <f t="shared" si="1"/>
        <v>#DIV/0!</v>
      </c>
      <c r="W13" s="3245"/>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52"/>
      <c r="B14" s="2771"/>
      <c r="C14" s="2772"/>
      <c r="D14" s="2773"/>
      <c r="E14" s="2773"/>
      <c r="F14" s="2774"/>
      <c r="G14" s="2775" t="s">
        <v>2873</v>
      </c>
      <c r="H14" s="2776"/>
      <c r="I14" s="2777"/>
      <c r="J14" s="2778"/>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53"/>
      <c r="B15" s="2779"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0" t="s">
        <v>2879</v>
      </c>
      <c r="B16" s="2748" t="s">
        <v>2880</v>
      </c>
      <c r="C16" s="2935" t="e">
        <f>ROUND(IF(F17="与级别开发程度一致",0,(G17-E17)/C17),0)</f>
        <v>#DIV/0!</v>
      </c>
      <c r="D16" s="3264" t="s">
        <v>2884</v>
      </c>
      <c r="E16" s="3265"/>
      <c r="F16" s="3264" t="s">
        <v>2881</v>
      </c>
      <c r="G16" s="3265"/>
      <c r="H16" s="2782"/>
      <c r="I16" s="2782"/>
      <c r="J16" s="2939"/>
      <c r="K16" s="2782"/>
      <c r="L16" s="2782"/>
      <c r="M16" s="2782"/>
      <c r="N16" s="2782"/>
      <c r="O16" s="2783"/>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4"/>
      <c r="B17" s="2946" t="s">
        <v>2883</v>
      </c>
      <c r="C17" s="2947">
        <f>SUMPRODUCT((修正!A2:A5=E2)*(修正!B1:M1=G2)*(修正!B2:M5))</f>
        <v>0</v>
      </c>
      <c r="D17" s="229" t="str">
        <f>IF(OR(G2="八级",G2="九级",G2="十级",G2="十一级",G2="十二级"),"五通一平","七通一平")</f>
        <v>七通一平</v>
      </c>
      <c r="E17" s="2936">
        <f>SUMPRODUCT((修正!B1:M1=G2)*(修正!B15:M15))</f>
        <v>0</v>
      </c>
      <c r="F17" s="2937"/>
      <c r="G17" s="2938">
        <f>SUM(H17:O17)</f>
        <v>0</v>
      </c>
      <c r="H17" s="2947">
        <f>SUMPRODUCT((七通一平=H16)*(修正!B1:M1=G2)*(修正!B6:M14))</f>
        <v>0</v>
      </c>
      <c r="I17" s="2947">
        <f>SUMPRODUCT((七通一平=I16)*(修正!B1:M1=G2)*(修正!B6:M14))</f>
        <v>0</v>
      </c>
      <c r="J17" s="2948">
        <f>SUMPRODUCT((七通一平=J16)*(修正!B1:M1=G2)*(修正!B6:M14))</f>
        <v>0</v>
      </c>
      <c r="K17" s="2947">
        <f>SUMPRODUCT((七通一平=K16)*(修正!B1:M1=G2)*(修正!B6:M14))</f>
        <v>0</v>
      </c>
      <c r="L17" s="2947">
        <f>SUMPRODUCT((七通一平=L16)*(修正!B1:M1=G2)*(修正!B6:M14))</f>
        <v>0</v>
      </c>
      <c r="M17" s="2947">
        <f>SUMPRODUCT((七通一平=M16)*(修正!B1:M1=G2)*(修正!B6:M14))</f>
        <v>0</v>
      </c>
      <c r="N17" s="2947">
        <f>SUMPRODUCT((七通一平=N16)*(修正!B1:M1=G2)*(修正!B6:M14))</f>
        <v>0</v>
      </c>
      <c r="O17" s="2949">
        <f>SUMPRODUCT((七通一平=O16)*(修正!B1:M1=G2)*(修正!B6:M14))</f>
        <v>0</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0" t="s">
        <v>808</v>
      </c>
      <c r="B18" s="2941" t="s">
        <v>2886</v>
      </c>
      <c r="C18" s="2942">
        <f>SUMIF(修正!C18:C39,E3,修正!E18:E39)</f>
        <v>0</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7.75" thickBot="1">
      <c r="A19" s="2787" t="s">
        <v>809</v>
      </c>
      <c r="B19" s="2788" t="s">
        <v>2887</v>
      </c>
      <c r="C19" s="924" t="e">
        <f>ROUND(IF(H19="按公示增长率计算",SUMPRODUCT((地价!A3:A27=YEAR(G19)&amp;"-"&amp;ROUNDUP(MONTH(G19)/3,0))*(地价!X2:AB2=E2)*(地价!X3:AB27)),IF(H19="地价指数",M20/M19,(1+I19)^O19)),4)</f>
        <v>#VALUE!</v>
      </c>
      <c r="D19" s="2792" t="s">
        <v>2888</v>
      </c>
      <c r="E19" s="925">
        <v>41640</v>
      </c>
      <c r="F19" s="2792" t="s">
        <v>2889</v>
      </c>
      <c r="G19" s="926">
        <f>'数据-取费表'!B2</f>
        <v>43728</v>
      </c>
      <c r="H19" s="2793"/>
      <c r="I19" s="927" t="str">
        <f>IF(H19="季度增幅（自定义）",SUMIF(N21:N24,E2,O21:O24),"")</f>
        <v/>
      </c>
      <c r="J19" s="2790"/>
      <c r="K19" s="1377"/>
      <c r="L19" s="2794" t="s">
        <v>2890</v>
      </c>
      <c r="M19" s="1734">
        <f>ROUND(SUMIF(地价!B2:F2,E2,地价!B27:F27),0)</f>
        <v>0</v>
      </c>
      <c r="N19" s="2795" t="s">
        <v>2891</v>
      </c>
      <c r="O19" s="928">
        <f>ROUNDDOWN(DATEDIF(E19,G19,"M")/3,0)</f>
        <v>22</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2892</v>
      </c>
      <c r="C20" s="929" t="e">
        <f>ROUND(POWER(1+G20,J20-I20)*(POWER(1+G20,I20)-1)/(POWER(1+G20,J20)-1),4)</f>
        <v>#DIV/0!</v>
      </c>
      <c r="D20" s="2801" t="s">
        <v>2893</v>
      </c>
      <c r="E20" s="1768">
        <f ca="1">存贷款利率!D4/100</f>
        <v>4.3499999999999997E-2</v>
      </c>
      <c r="F20" s="2801" t="s">
        <v>2885</v>
      </c>
      <c r="G20" s="934">
        <f>SUMIF(M26:P26,E2,M28:P28)</f>
        <v>0</v>
      </c>
      <c r="H20" s="2801" t="s">
        <v>2894</v>
      </c>
      <c r="I20" s="935" t="e">
        <f>SUMIF('数据-取费表'!C6:C15,E2,'数据-取费表'!F6:F15)/COUNTIF('数据-取费表'!C6:C15,E2)</f>
        <v>#DIV/0!</v>
      </c>
      <c r="J20" s="936">
        <f>IF(E2="住宅",70,IF(E2="商业",40,50))</f>
        <v>50</v>
      </c>
      <c r="K20" s="1377"/>
      <c r="L20" s="2802" t="s">
        <v>2895</v>
      </c>
      <c r="M20" s="1735">
        <f>ROUND(SUMPRODUCT((地价!A4:A27=YEAR(G19)&amp;"-"&amp;ROUNDUP(MONTH(G19)/3,0))*(地价!B2:F2=E2)*(地价!B4:F27)),0)</f>
        <v>0</v>
      </c>
      <c r="N20" s="2803" t="s">
        <v>2896</v>
      </c>
      <c r="O20" s="2804" t="s">
        <v>2897</v>
      </c>
      <c r="P20" s="2805" t="s">
        <v>2898</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2899</v>
      </c>
      <c r="C21" s="937" t="e">
        <f>IF(B21="容积率修正",IF(G3&lt;=10,D22,J22),C23)</f>
        <v>#DIV/0!</v>
      </c>
      <c r="D21" s="2808"/>
      <c r="E21" s="2808"/>
      <c r="F21" s="2808"/>
      <c r="G21" s="2808"/>
      <c r="H21" s="2808"/>
      <c r="I21" s="2808"/>
      <c r="J21" s="2809"/>
      <c r="K21" s="1377"/>
      <c r="N21" s="2810" t="s">
        <v>2900</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1" customFormat="1" ht="14.25">
      <c r="A22" s="2667" t="s">
        <v>2901</v>
      </c>
      <c r="B22" s="2811" t="s">
        <v>2902</v>
      </c>
      <c r="C22" s="1810" t="s">
        <v>2903</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10" t="s">
        <v>2904</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7" t="s">
        <v>2905</v>
      </c>
      <c r="B23" s="2812" t="s">
        <v>2906</v>
      </c>
      <c r="C23" s="1013" t="e">
        <f>ROUND(IF(G3&gt;1,IF(I3&lt;7,SUMPRODUCT((B93:B98=I3)*(C92:N92=G2)*(C93:N98)),SUMIF(C92:N92,G2,C100:N100)),IF(I3&lt;7,SUMPRODUCT((B102:B107=I3)*(C92:N92=G2)*(C102:N107)),SUMIF(C92:N92,G2,C109:N109))),4)</f>
        <v>#DIV/0!</v>
      </c>
      <c r="D23" s="2776"/>
      <c r="E23" s="2776"/>
      <c r="F23" s="2813"/>
      <c r="G23" s="2814"/>
      <c r="H23" s="2815"/>
      <c r="I23" s="2816"/>
      <c r="J23" s="2817"/>
      <c r="K23" s="1370"/>
      <c r="N23" s="2810" t="s">
        <v>2907</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2908</v>
      </c>
      <c r="C24" s="924">
        <f>SUMIF(A45:A88,E2,B45:B88)</f>
        <v>0</v>
      </c>
      <c r="D24" s="2789"/>
      <c r="E24" s="2818"/>
      <c r="F24" s="2818"/>
      <c r="G24" s="2818"/>
      <c r="H24" s="2818"/>
      <c r="I24" s="2818"/>
      <c r="J24" s="2819"/>
      <c r="K24" s="1377"/>
      <c r="N24" s="2820" t="s">
        <v>2909</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2910</v>
      </c>
      <c r="C25" s="930"/>
      <c r="D25" s="2751"/>
      <c r="E25" s="2751"/>
      <c r="F25" s="2822"/>
      <c r="G25" s="2751"/>
      <c r="H25" s="2751"/>
      <c r="I25" s="2751"/>
      <c r="J25" s="2752"/>
      <c r="K25" s="1370"/>
      <c r="N25" s="2823" t="s">
        <v>2911</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4"/>
      <c r="B26" s="2811" t="s">
        <v>2912</v>
      </c>
      <c r="C26" s="206" t="e">
        <f>E29+SUM(E33:E39)</f>
        <v>#DIV/0!</v>
      </c>
      <c r="D26" s="2825"/>
      <c r="E26" s="2776"/>
      <c r="F26" s="2826"/>
      <c r="G26" s="2776"/>
      <c r="H26" s="2776"/>
      <c r="I26" s="2776"/>
      <c r="J26" s="2827"/>
      <c r="K26" s="1370"/>
      <c r="L26" s="2780" t="s">
        <v>2810</v>
      </c>
      <c r="M26" s="920" t="s">
        <v>2875</v>
      </c>
      <c r="N26" s="920" t="s">
        <v>2876</v>
      </c>
      <c r="O26" s="920" t="s">
        <v>2877</v>
      </c>
      <c r="P26" s="2781" t="s">
        <v>2878</v>
      </c>
      <c r="R26" s="1376"/>
      <c r="S26" s="1376"/>
      <c r="T26" s="1371"/>
      <c r="U26" s="1371"/>
      <c r="V26" s="1371"/>
      <c r="W26" s="1370"/>
      <c r="X26" s="1370"/>
      <c r="Y26" s="1370"/>
      <c r="Z26" s="1377"/>
      <c r="AA26" s="1378"/>
      <c r="AB26" s="1378"/>
      <c r="AC26" s="1378"/>
      <c r="AD26" s="1378"/>
    </row>
    <row r="27" spans="1:37" ht="15.75" thickBot="1">
      <c r="A27" s="2824"/>
      <c r="B27" s="2828" t="s">
        <v>2913</v>
      </c>
      <c r="C27" s="931" t="e">
        <f>E30+SUM(I33:I39)</f>
        <v>#DIV/0!</v>
      </c>
      <c r="D27" s="2829"/>
      <c r="E27" s="2830"/>
      <c r="F27" s="2831"/>
      <c r="G27" s="2830"/>
      <c r="H27" s="2830"/>
      <c r="I27" s="2830"/>
      <c r="J27" s="2832"/>
      <c r="K27" s="1370"/>
      <c r="L27" s="2784"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2914</v>
      </c>
      <c r="C28" s="2835" t="s">
        <v>2915</v>
      </c>
      <c r="D28" s="2835" t="s">
        <v>2916</v>
      </c>
      <c r="E28" s="2836" t="s">
        <v>2917</v>
      </c>
      <c r="F28" s="2837"/>
      <c r="G28" s="2764"/>
      <c r="H28" s="2764"/>
      <c r="I28" s="2764"/>
      <c r="J28" s="2765"/>
      <c r="K28" s="1370"/>
      <c r="L28" s="2785"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2918</v>
      </c>
      <c r="C29" s="206" t="e">
        <f>ROUND(C5*C18*C19*C20*C21*C24,0)</f>
        <v>#DIV/0!</v>
      </c>
      <c r="D29" s="2840"/>
      <c r="E29" s="942" t="e">
        <f>ROUND(C29*D29/10000,0)</f>
        <v>#DIV/0!</v>
      </c>
      <c r="F29" s="2841" t="s">
        <v>2919</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2920</v>
      </c>
      <c r="C30" s="229" t="e">
        <f>ROUND(IF(E2="工业",C29*M39,C29*M38),0)</f>
        <v>#DIV/0!</v>
      </c>
      <c r="D30" s="2846"/>
      <c r="E30" s="942" t="e">
        <f>ROUND(C30*D30/10000,0)</f>
        <v>#DIV/0!</v>
      </c>
      <c r="F30" s="2847" t="s">
        <v>2921</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2922</v>
      </c>
      <c r="C31" s="2852" t="s">
        <v>2923</v>
      </c>
      <c r="D31" s="2764"/>
      <c r="E31" s="2852"/>
      <c r="F31" s="2852"/>
      <c r="G31" s="2762" t="s">
        <v>2924</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2915</v>
      </c>
      <c r="D32" s="498" t="s">
        <v>2916</v>
      </c>
      <c r="E32" s="498" t="s">
        <v>2917</v>
      </c>
      <c r="F32" s="388" t="s">
        <v>2925</v>
      </c>
      <c r="G32" s="2855" t="s">
        <v>2915</v>
      </c>
      <c r="H32" s="2855" t="s">
        <v>2916</v>
      </c>
      <c r="I32" s="2855"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261" t="s">
        <v>2926</v>
      </c>
      <c r="B33" s="2856" t="s">
        <v>2927</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2"/>
      <c r="B34" s="2768" t="s">
        <v>2928</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2"/>
      <c r="B35" s="2768" t="s">
        <v>2929</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70"/>
      <c r="L35" s="1370"/>
      <c r="M35" s="1370"/>
      <c r="N35" s="1370"/>
      <c r="O35" s="1370"/>
      <c r="P35" s="1370"/>
      <c r="Q35" s="1370"/>
      <c r="R35" s="1370"/>
      <c r="S35" s="1370"/>
      <c r="T35" s="1370"/>
      <c r="U35" s="1370"/>
      <c r="V35" s="1370"/>
      <c r="W35" s="1370"/>
      <c r="X35" s="1370"/>
      <c r="Y35" s="1370"/>
      <c r="Z35" s="1371"/>
    </row>
    <row r="36" spans="1:37" ht="13.5" thickBot="1">
      <c r="A36" s="3263"/>
      <c r="B36" s="2768" t="s">
        <v>2930</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2931</v>
      </c>
      <c r="C37" s="200" t="e">
        <f>ROUND(D5*C19*C20*C24*F37,0)</f>
        <v>#DIV/0!</v>
      </c>
      <c r="D37" s="2840"/>
      <c r="E37" s="200" t="e">
        <f t="shared" si="7"/>
        <v>#DIV/0!</v>
      </c>
      <c r="F37" s="206">
        <f>SUMIF(修正!A45:A56,G2,修正!F45:F56)</f>
        <v>0</v>
      </c>
      <c r="G37" s="200" t="e">
        <f>ROUND(IF(E2="工业",C37*$M$39,C37*$M$38),0)</f>
        <v>#DIV/0!</v>
      </c>
      <c r="H37" s="200">
        <f t="shared" si="8"/>
        <v>0</v>
      </c>
      <c r="I37" s="200" t="e">
        <f t="shared" si="9"/>
        <v>#DIV/0!</v>
      </c>
      <c r="J37" s="2857"/>
      <c r="K37" s="1370"/>
      <c r="L37" s="2859" t="s">
        <v>2932</v>
      </c>
      <c r="M37" s="2860"/>
      <c r="N37" s="1370"/>
      <c r="O37" s="1370"/>
      <c r="P37" s="1370"/>
      <c r="Q37" s="1370"/>
      <c r="R37" s="1370"/>
      <c r="S37" s="1370"/>
      <c r="T37" s="1370"/>
      <c r="U37" s="1370"/>
      <c r="V37" s="1370"/>
      <c r="W37" s="1370"/>
      <c r="X37" s="1370"/>
      <c r="Y37" s="1370"/>
      <c r="Z37" s="1371"/>
    </row>
    <row r="38" spans="1:37">
      <c r="A38" s="2858"/>
      <c r="B38" s="2768" t="s">
        <v>2933</v>
      </c>
      <c r="C38" s="200" t="e">
        <f>ROUND(D5*C19*C41*C24*F38,0)</f>
        <v>#DIV/0!</v>
      </c>
      <c r="D38" s="2840"/>
      <c r="E38" s="200" t="e">
        <f t="shared" si="7"/>
        <v>#DIV/0!</v>
      </c>
      <c r="F38" s="206">
        <f>SUMIF(修正!A45:A56,G2,修正!G45:G56)</f>
        <v>0</v>
      </c>
      <c r="G38" s="200" t="e">
        <f>ROUND(IF(E2="工业",C38*$M$39,C38*$M$38),0)</f>
        <v>#DIV/0!</v>
      </c>
      <c r="H38" s="200">
        <f t="shared" si="8"/>
        <v>0</v>
      </c>
      <c r="I38" s="200" t="e">
        <f t="shared" si="9"/>
        <v>#DIV/0!</v>
      </c>
      <c r="J38" s="2857"/>
      <c r="K38" s="1370"/>
      <c r="L38" s="1887" t="s">
        <v>2934</v>
      </c>
      <c r="M38" s="2861">
        <v>0.25</v>
      </c>
      <c r="N38" s="1370"/>
      <c r="O38" s="1370"/>
      <c r="P38" s="1370"/>
      <c r="Q38" s="1370"/>
      <c r="R38" s="1370"/>
      <c r="S38" s="1370"/>
      <c r="T38" s="1370"/>
      <c r="U38" s="1370"/>
      <c r="V38" s="1370"/>
      <c r="W38" s="1370"/>
      <c r="X38" s="1370"/>
      <c r="Y38" s="1370"/>
      <c r="Z38" s="1371"/>
    </row>
    <row r="39" spans="1:37" ht="13.5" thickBot="1">
      <c r="A39" s="2844"/>
      <c r="B39" s="2862" t="s">
        <v>2935</v>
      </c>
      <c r="C39" s="229" t="e">
        <f>ROUND(D5*C19*C41*C24*F39,0)</f>
        <v>#DIV/0!</v>
      </c>
      <c r="D39" s="2846"/>
      <c r="E39" s="229" t="e">
        <f t="shared" si="7"/>
        <v>#DIV/0!</v>
      </c>
      <c r="F39" s="932">
        <f>SUMIF(修正!A45:A56,G2,修正!H45:H56)</f>
        <v>0</v>
      </c>
      <c r="G39" s="229" t="e">
        <f>ROUND(IF(E2="工业",C39*$M$39,C39*$M$38),0)</f>
        <v>#DIV/0!</v>
      </c>
      <c r="H39" s="229">
        <f t="shared" si="8"/>
        <v>0</v>
      </c>
      <c r="I39" s="229" t="e">
        <f t="shared" si="9"/>
        <v>#DIV/0!</v>
      </c>
      <c r="J39" s="2863"/>
      <c r="K39" s="1370"/>
      <c r="L39" s="2864" t="s">
        <v>2878</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3046</v>
      </c>
      <c r="C41" s="388" t="e">
        <f>ROUND(POWER(1+E41,H41-G41)*(POWER(1+E41,G41)-1)/(POWER(1+E41,H41)-1),4)</f>
        <v>#DIV/0!</v>
      </c>
      <c r="D41" s="200" t="s">
        <v>2885</v>
      </c>
      <c r="E41" s="2932">
        <f>G20</f>
        <v>0</v>
      </c>
      <c r="F41" s="200" t="s">
        <v>2894</v>
      </c>
      <c r="G41" s="218"/>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2936</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2937</v>
      </c>
      <c r="B46" s="2870">
        <f>1+E48</f>
        <v>1</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2938</v>
      </c>
      <c r="B47" s="1809" t="s">
        <v>2939</v>
      </c>
      <c r="C47" s="1809" t="s">
        <v>2940</v>
      </c>
      <c r="D47" s="1809" t="s">
        <v>2941</v>
      </c>
      <c r="E47" s="819" t="s">
        <v>2942</v>
      </c>
      <c r="F47" s="2874" t="s">
        <v>2943</v>
      </c>
      <c r="G47" s="1809" t="s">
        <v>754</v>
      </c>
      <c r="H47" s="2875" t="s">
        <v>2944</v>
      </c>
      <c r="I47" s="1809" t="s">
        <v>2945</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c r="A48" s="2873" t="s">
        <v>2946</v>
      </c>
      <c r="B48" s="2876" t="str">
        <f>估价对象房地状况!C4</f>
        <v>估价对象位于XX商圈，周边商业氛围成熟，人流量大，商业繁华度好</v>
      </c>
      <c r="C48" s="2773"/>
      <c r="D48" s="1286">
        <f t="shared" ref="D48:D56" si="10">SUMIF($J$47:$N$47,C48,J48:N48)</f>
        <v>0</v>
      </c>
      <c r="E48" s="821">
        <f>ROUND(SUM(D48:D56),4)</f>
        <v>0</v>
      </c>
      <c r="F48" s="250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3" t="s">
        <v>2947</v>
      </c>
      <c r="B49" s="2877" t="str">
        <f>估价对象房地状况!C18</f>
        <v>估价对象周边道路状况、公共交通通达情况、停车便捷程度，综合评价交通便捷度较好</v>
      </c>
      <c r="C49" s="2773"/>
      <c r="D49" s="1286">
        <f t="shared" si="10"/>
        <v>0</v>
      </c>
      <c r="E49" s="822"/>
      <c r="F49" s="250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2948</v>
      </c>
      <c r="B50" s="2877">
        <f>估价对象房地状况!C19</f>
        <v>0</v>
      </c>
      <c r="C50" s="2773"/>
      <c r="D50" s="1286">
        <f t="shared" si="10"/>
        <v>0</v>
      </c>
      <c r="E50" s="822"/>
      <c r="F50" s="250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3" t="s">
        <v>2949</v>
      </c>
      <c r="B51" s="2878" t="s">
        <v>2950</v>
      </c>
      <c r="C51" s="2773"/>
      <c r="D51" s="1286">
        <f t="shared" si="10"/>
        <v>0</v>
      </c>
      <c r="E51" s="822"/>
      <c r="F51" s="250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2951</v>
      </c>
      <c r="B52" s="2877">
        <f>估价对象房地状况!C24</f>
        <v>0</v>
      </c>
      <c r="C52" s="2773"/>
      <c r="D52" s="1286">
        <f t="shared" si="10"/>
        <v>0</v>
      </c>
      <c r="E52" s="822"/>
      <c r="F52" s="250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3" t="s">
        <v>2952</v>
      </c>
      <c r="B53" s="2879" t="s">
        <v>2953</v>
      </c>
      <c r="C53" s="2773"/>
      <c r="D53" s="1286">
        <f t="shared" si="10"/>
        <v>0</v>
      </c>
      <c r="E53" s="822"/>
      <c r="F53" s="250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0" t="s">
        <v>2954</v>
      </c>
      <c r="B54" s="1725" t="str">
        <f>估价对象房地状况!C21</f>
        <v>估价对象所在区域公共配套设施齐备情况</v>
      </c>
      <c r="C54" s="2773"/>
      <c r="D54" s="1286">
        <f t="shared" si="10"/>
        <v>0</v>
      </c>
      <c r="E54" s="822"/>
      <c r="F54" s="250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0" t="s">
        <v>2955</v>
      </c>
      <c r="B55" s="2877" t="str">
        <f>估价对象房地状况!C22</f>
        <v>估价对象所在区域基础设施水平</v>
      </c>
      <c r="C55" s="2773"/>
      <c r="D55" s="1286">
        <f t="shared" si="10"/>
        <v>0</v>
      </c>
      <c r="E55" s="822"/>
      <c r="F55" s="250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1" t="s">
        <v>2956</v>
      </c>
      <c r="B56" s="2882" t="str">
        <f>估价对象房地状况!C20</f>
        <v>区域自然环境：；人文环境；综合评价环境状况一般</v>
      </c>
      <c r="C56" s="2773"/>
      <c r="D56" s="1286">
        <f t="shared" si="10"/>
        <v>0</v>
      </c>
      <c r="E56" s="825"/>
      <c r="F56" s="250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9" t="s">
        <v>2957</v>
      </c>
      <c r="B57" s="2870">
        <f>1+E59</f>
        <v>1</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2938</v>
      </c>
      <c r="B58" s="1809"/>
      <c r="C58" s="1809" t="s">
        <v>2940</v>
      </c>
      <c r="D58" s="1809" t="s">
        <v>2941</v>
      </c>
      <c r="E58" s="819" t="s">
        <v>2942</v>
      </c>
      <c r="F58" s="2874" t="s">
        <v>2958</v>
      </c>
      <c r="G58" s="1809" t="s">
        <v>754</v>
      </c>
      <c r="H58" s="2875" t="s">
        <v>2944</v>
      </c>
      <c r="I58" s="1809" t="s">
        <v>2945</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873" t="s">
        <v>2959</v>
      </c>
      <c r="B59" s="2876" t="str">
        <f>估价对象房地状况!C17</f>
        <v>估价对象位于XX商圈，周边办公楼项目较多，入驻率高，办公集聚程度较好</v>
      </c>
      <c r="C59" s="2773"/>
      <c r="D59" s="1286">
        <f t="shared" ref="D59:D67" si="15">SUMIF($J$58:$N$58,C59,J59:N59)</f>
        <v>0</v>
      </c>
      <c r="E59" s="821">
        <f>ROUND(SUM(D59:D67),4)</f>
        <v>0</v>
      </c>
      <c r="F59" s="250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3" t="s">
        <v>2947</v>
      </c>
      <c r="B60" s="2877" t="str">
        <f>估价对象房地状况!C18</f>
        <v>估价对象周边道路状况、公共交通通达情况、停车便捷程度，综合评价交通便捷度较好</v>
      </c>
      <c r="C60" s="2773"/>
      <c r="D60" s="1286">
        <f t="shared" si="15"/>
        <v>0</v>
      </c>
      <c r="E60" s="822"/>
      <c r="F60" s="250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3" t="s">
        <v>2948</v>
      </c>
      <c r="B61" s="2877">
        <f>估价对象房地状况!C19</f>
        <v>0</v>
      </c>
      <c r="C61" s="2773"/>
      <c r="D61" s="1286">
        <f t="shared" si="15"/>
        <v>0</v>
      </c>
      <c r="E61" s="822"/>
      <c r="F61" s="250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3" t="s">
        <v>2949</v>
      </c>
      <c r="B62" s="2878" t="s">
        <v>2950</v>
      </c>
      <c r="C62" s="2773"/>
      <c r="D62" s="1286">
        <f t="shared" si="15"/>
        <v>0</v>
      </c>
      <c r="E62" s="822"/>
      <c r="F62" s="250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3" t="s">
        <v>2951</v>
      </c>
      <c r="B63" s="2877">
        <f>估价对象房地状况!C24</f>
        <v>0</v>
      </c>
      <c r="C63" s="2773"/>
      <c r="D63" s="1286">
        <f t="shared" si="15"/>
        <v>0</v>
      </c>
      <c r="E63" s="822"/>
      <c r="F63" s="250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3" t="s">
        <v>2952</v>
      </c>
      <c r="B64" s="2879" t="s">
        <v>2953</v>
      </c>
      <c r="C64" s="2773"/>
      <c r="D64" s="1286">
        <f t="shared" si="15"/>
        <v>0</v>
      </c>
      <c r="E64" s="822"/>
      <c r="F64" s="250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3" t="s">
        <v>2954</v>
      </c>
      <c r="B65" s="1725" t="str">
        <f>估价对象房地状况!C21</f>
        <v>估价对象所在区域公共配套设施齐备情况</v>
      </c>
      <c r="C65" s="2773"/>
      <c r="D65" s="1286">
        <f t="shared" si="15"/>
        <v>0</v>
      </c>
      <c r="E65" s="822"/>
      <c r="F65" s="250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3" t="s">
        <v>2955</v>
      </c>
      <c r="B66" s="1725" t="str">
        <f>估价对象房地状况!C22</f>
        <v>估价对象所在区域基础设施水平</v>
      </c>
      <c r="C66" s="2773"/>
      <c r="D66" s="1286">
        <f t="shared" si="15"/>
        <v>0</v>
      </c>
      <c r="E66" s="822"/>
      <c r="F66" s="250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1" t="s">
        <v>2956</v>
      </c>
      <c r="B67" s="2883" t="str">
        <f>估价对象房地状况!C20</f>
        <v>区域自然环境：；人文环境；综合评价环境状况一般</v>
      </c>
      <c r="C67" s="2773"/>
      <c r="D67" s="1286">
        <f t="shared" si="15"/>
        <v>0</v>
      </c>
      <c r="E67" s="825"/>
      <c r="F67" s="250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9" t="s">
        <v>2960</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2938</v>
      </c>
      <c r="B69" s="1809"/>
      <c r="C69" s="1809" t="s">
        <v>2940</v>
      </c>
      <c r="D69" s="1809" t="s">
        <v>2941</v>
      </c>
      <c r="E69" s="819" t="s">
        <v>2942</v>
      </c>
      <c r="F69" s="2874" t="s">
        <v>2958</v>
      </c>
      <c r="G69" s="1809" t="s">
        <v>754</v>
      </c>
      <c r="H69" s="2875" t="s">
        <v>2944</v>
      </c>
      <c r="I69" s="1809" t="s">
        <v>2945</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c r="A70" s="2873" t="s">
        <v>2961</v>
      </c>
      <c r="B70" s="2876" t="str">
        <f>估价对象房地状况!C15</f>
        <v>估价对象周边居住用地比例、居住小区规模和社区发展完善程度，综合评价居住社区成熟度一般</v>
      </c>
      <c r="C70" s="2773"/>
      <c r="D70" s="1286">
        <f t="shared" ref="D70:D78" si="20">SUMIF($J$69:$N$69,C70,J70:N70)</f>
        <v>0</v>
      </c>
      <c r="E70" s="821">
        <f>ROUND(SUM(D70:D78),4)</f>
        <v>0</v>
      </c>
      <c r="F70" s="250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3" t="s">
        <v>2947</v>
      </c>
      <c r="B71" s="2877" t="str">
        <f>估价对象房地状况!C18</f>
        <v>估价对象周边道路状况、公共交通通达情况、停车便捷程度，综合评价交通便捷度较好</v>
      </c>
      <c r="C71" s="2773"/>
      <c r="D71" s="1286">
        <f t="shared" si="20"/>
        <v>0</v>
      </c>
      <c r="E71" s="826"/>
      <c r="F71" s="250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3" t="s">
        <v>2948</v>
      </c>
      <c r="B72" s="2877">
        <f>估价对象房地状况!C19</f>
        <v>0</v>
      </c>
      <c r="C72" s="2773"/>
      <c r="D72" s="1286">
        <f t="shared" si="20"/>
        <v>0</v>
      </c>
      <c r="E72" s="826"/>
      <c r="F72" s="250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3" t="s">
        <v>2962</v>
      </c>
      <c r="B73" s="2877">
        <f>估价对象房地状况!C24</f>
        <v>0</v>
      </c>
      <c r="C73" s="2773"/>
      <c r="D73" s="1286">
        <f t="shared" si="20"/>
        <v>0</v>
      </c>
      <c r="E73" s="826"/>
      <c r="F73" s="250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3" t="s">
        <v>2954</v>
      </c>
      <c r="B74" s="1725" t="str">
        <f>估价对象房地状况!C21</f>
        <v>估价对象所在区域公共配套设施齐备情况</v>
      </c>
      <c r="C74" s="2773"/>
      <c r="D74" s="1286">
        <f t="shared" si="20"/>
        <v>0</v>
      </c>
      <c r="E74" s="826"/>
      <c r="F74" s="250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3" t="s">
        <v>2955</v>
      </c>
      <c r="B75" s="1725" t="str">
        <f>估价对象房地状况!C22</f>
        <v>估价对象所在区域基础设施水平</v>
      </c>
      <c r="C75" s="2773"/>
      <c r="D75" s="1286">
        <f t="shared" si="20"/>
        <v>0</v>
      </c>
      <c r="E75" s="826"/>
      <c r="F75" s="250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73" t="s">
        <v>2952</v>
      </c>
      <c r="B76" s="2879" t="s">
        <v>2953</v>
      </c>
      <c r="C76" s="2773"/>
      <c r="D76" s="1286">
        <f t="shared" si="20"/>
        <v>0</v>
      </c>
      <c r="E76" s="826"/>
      <c r="F76" s="2504"/>
      <c r="G76" s="1284"/>
      <c r="H76" s="1288" t="str">
        <f t="shared" si="21"/>
        <v>——</v>
      </c>
      <c r="I76" s="820">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38.25">
      <c r="A77" s="2873" t="s">
        <v>2956</v>
      </c>
      <c r="B77" s="2876" t="str">
        <f>估价对象房地状况!C20</f>
        <v>区域自然环境：；人文环境；综合评价环境状况一般</v>
      </c>
      <c r="C77" s="2773"/>
      <c r="D77" s="1286">
        <f t="shared" si="20"/>
        <v>0</v>
      </c>
      <c r="E77" s="826"/>
      <c r="F77" s="2504"/>
      <c r="G77" s="1284"/>
      <c r="H77" s="1288" t="str">
        <f t="shared" si="21"/>
        <v>——</v>
      </c>
      <c r="I77" s="820">
        <v>0.15</v>
      </c>
      <c r="J77" s="1285">
        <f t="shared" si="22"/>
        <v>0</v>
      </c>
      <c r="K77" s="1285">
        <f t="shared" si="23"/>
        <v>0</v>
      </c>
      <c r="L77" s="1285">
        <v>0</v>
      </c>
      <c r="M77" s="1285">
        <f t="shared" si="24"/>
        <v>0</v>
      </c>
      <c r="N77" s="1285">
        <f t="shared" si="24"/>
        <v>0</v>
      </c>
      <c r="Z77" s="2723"/>
      <c r="AA77" s="2791"/>
      <c r="AG77" s="1372"/>
      <c r="AK77" s="2791"/>
    </row>
    <row r="78" spans="1:37" ht="24.75" thickBot="1">
      <c r="A78" s="2881" t="s">
        <v>2963</v>
      </c>
      <c r="B78" s="2885"/>
      <c r="C78" s="2773"/>
      <c r="D78" s="1286">
        <f t="shared" si="20"/>
        <v>0</v>
      </c>
      <c r="E78" s="827"/>
      <c r="F78" s="2504"/>
      <c r="G78" s="1284"/>
      <c r="H78" s="1288" t="str">
        <f t="shared" si="21"/>
        <v>——</v>
      </c>
      <c r="I78" s="824">
        <v>0.04</v>
      </c>
      <c r="J78" s="1285">
        <f t="shared" si="22"/>
        <v>0</v>
      </c>
      <c r="K78" s="1285">
        <f t="shared" si="23"/>
        <v>0</v>
      </c>
      <c r="L78" s="1285">
        <v>0</v>
      </c>
      <c r="M78" s="1285">
        <f t="shared" si="24"/>
        <v>0</v>
      </c>
      <c r="N78" s="1285">
        <f t="shared" si="24"/>
        <v>0</v>
      </c>
      <c r="Z78" s="2723"/>
      <c r="AA78" s="2791"/>
      <c r="AG78" s="1372"/>
      <c r="AK78" s="2791"/>
    </row>
    <row r="79" spans="1:37" ht="15">
      <c r="A79" s="2869" t="s">
        <v>2964</v>
      </c>
      <c r="B79" s="2870">
        <f>1+E81</f>
        <v>1</v>
      </c>
      <c r="C79" s="814"/>
      <c r="D79" s="814"/>
      <c r="E79" s="815"/>
      <c r="F79" s="2872"/>
      <c r="G79" s="6"/>
      <c r="H79" s="6"/>
      <c r="I79" s="6"/>
      <c r="J79" s="7"/>
      <c r="K79" s="7"/>
      <c r="L79" s="7"/>
      <c r="M79" s="7"/>
      <c r="N79" s="7"/>
      <c r="Z79" s="2723"/>
      <c r="AA79" s="2791"/>
      <c r="AG79" s="1372"/>
      <c r="AK79" s="2791"/>
    </row>
    <row r="80" spans="1:37" ht="24.75">
      <c r="A80" s="2873" t="s">
        <v>2938</v>
      </c>
      <c r="B80" s="1809"/>
      <c r="C80" s="1809" t="s">
        <v>2940</v>
      </c>
      <c r="D80" s="1809" t="s">
        <v>2941</v>
      </c>
      <c r="E80" s="819" t="s">
        <v>2942</v>
      </c>
      <c r="F80" s="2874" t="s">
        <v>2958</v>
      </c>
      <c r="G80" s="1809" t="s">
        <v>754</v>
      </c>
      <c r="H80" s="2875" t="s">
        <v>2944</v>
      </c>
      <c r="I80" s="1809" t="s">
        <v>2945</v>
      </c>
      <c r="J80" s="603" t="s">
        <v>2593</v>
      </c>
      <c r="K80" s="603" t="s">
        <v>2594</v>
      </c>
      <c r="L80" s="603" t="s">
        <v>2595</v>
      </c>
      <c r="M80" s="603" t="s">
        <v>2596</v>
      </c>
      <c r="N80" s="603" t="s">
        <v>2597</v>
      </c>
      <c r="Z80" s="2723"/>
      <c r="AA80" s="2791"/>
      <c r="AG80" s="1372"/>
      <c r="AK80" s="2791"/>
    </row>
    <row r="81" spans="1:37" ht="38.25">
      <c r="A81" s="2873" t="s">
        <v>2965</v>
      </c>
      <c r="B81" s="2877" t="str">
        <f>估价对象房地状况!G15</f>
        <v>估价对象位于XX开发区，园区建设成熟度XX，产业集聚程度XX</v>
      </c>
      <c r="C81" s="2773"/>
      <c r="D81" s="1286">
        <f t="shared" ref="D81:D88" si="25">SUMIF($J$80:$N$80,C81,J81:N81)</f>
        <v>0</v>
      </c>
      <c r="E81" s="821">
        <f>ROUND(SUM(D81:D88),4)</f>
        <v>0</v>
      </c>
      <c r="F81" s="250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3"/>
      <c r="AA81" s="2791"/>
      <c r="AG81" s="1372"/>
      <c r="AK81" s="2791"/>
    </row>
    <row r="82" spans="1:37" ht="51">
      <c r="A82" s="2873" t="s">
        <v>2947</v>
      </c>
      <c r="B82" s="2877" t="str">
        <f>估价对象房地状况!G16</f>
        <v>估价对象周边道路状况、公共交通通达情况、停车便捷程度，综合评价交通便捷度较好</v>
      </c>
      <c r="C82" s="2773"/>
      <c r="D82" s="1286">
        <f t="shared" si="25"/>
        <v>0</v>
      </c>
      <c r="E82" s="826"/>
      <c r="F82" s="2504"/>
      <c r="G82" s="1284"/>
      <c r="H82" s="1288" t="str">
        <f t="shared" si="26"/>
        <v>——</v>
      </c>
      <c r="I82" s="820">
        <v>0.33</v>
      </c>
      <c r="J82" s="1285">
        <f t="shared" si="27"/>
        <v>0</v>
      </c>
      <c r="K82" s="1285">
        <f t="shared" si="28"/>
        <v>0</v>
      </c>
      <c r="L82" s="1285">
        <v>0</v>
      </c>
      <c r="M82" s="1285">
        <f t="shared" si="29"/>
        <v>0</v>
      </c>
      <c r="N82" s="1285">
        <f t="shared" si="29"/>
        <v>0</v>
      </c>
      <c r="Z82" s="2723"/>
      <c r="AA82" s="2791"/>
      <c r="AG82" s="1372"/>
      <c r="AK82" s="2791"/>
    </row>
    <row r="83" spans="1:37" ht="24">
      <c r="A83" s="2873" t="s">
        <v>2948</v>
      </c>
      <c r="B83" s="2877">
        <f>估价对象房地状况!G17</f>
        <v>0</v>
      </c>
      <c r="C83" s="2773"/>
      <c r="D83" s="1286">
        <f t="shared" si="25"/>
        <v>0</v>
      </c>
      <c r="E83" s="826"/>
      <c r="F83" s="2504"/>
      <c r="G83" s="1284"/>
      <c r="H83" s="1288" t="str">
        <f t="shared" si="26"/>
        <v>——</v>
      </c>
      <c r="I83" s="820">
        <v>0.05</v>
      </c>
      <c r="J83" s="1285">
        <f t="shared" si="27"/>
        <v>0</v>
      </c>
      <c r="K83" s="1285">
        <f t="shared" si="28"/>
        <v>0</v>
      </c>
      <c r="L83" s="1285">
        <v>0</v>
      </c>
      <c r="M83" s="1285">
        <f t="shared" si="29"/>
        <v>0</v>
      </c>
      <c r="N83" s="1285">
        <f t="shared" si="29"/>
        <v>0</v>
      </c>
      <c r="Z83" s="2723"/>
      <c r="AA83" s="2791"/>
      <c r="AG83" s="1372"/>
      <c r="AK83" s="2791"/>
    </row>
    <row r="84" spans="1:37" ht="14.25">
      <c r="A84" s="2873" t="s">
        <v>2962</v>
      </c>
      <c r="B84" s="2877">
        <f>估价对象房地状况!G22</f>
        <v>0</v>
      </c>
      <c r="C84" s="2773"/>
      <c r="D84" s="1286">
        <f t="shared" si="25"/>
        <v>0</v>
      </c>
      <c r="E84" s="826"/>
      <c r="F84" s="2504"/>
      <c r="G84" s="1284"/>
      <c r="H84" s="1288" t="str">
        <f t="shared" si="26"/>
        <v>——</v>
      </c>
      <c r="I84" s="820">
        <v>0.04</v>
      </c>
      <c r="J84" s="1285">
        <f t="shared" si="27"/>
        <v>0</v>
      </c>
      <c r="K84" s="1285">
        <f t="shared" si="28"/>
        <v>0</v>
      </c>
      <c r="L84" s="1285">
        <v>0</v>
      </c>
      <c r="M84" s="1285">
        <f t="shared" si="29"/>
        <v>0</v>
      </c>
      <c r="N84" s="1285">
        <f t="shared" si="29"/>
        <v>0</v>
      </c>
      <c r="Z84" s="2723"/>
      <c r="AA84" s="2791"/>
      <c r="AG84" s="1372"/>
      <c r="AK84" s="2791"/>
    </row>
    <row r="85" spans="1:37" ht="25.5">
      <c r="A85" s="2873" t="s">
        <v>2954</v>
      </c>
      <c r="B85" s="1725" t="str">
        <f>估价对象房地状况!G19</f>
        <v>估价对象所在区域公共配套设施齐备情况</v>
      </c>
      <c r="C85" s="2773"/>
      <c r="D85" s="1286">
        <f t="shared" si="25"/>
        <v>0</v>
      </c>
      <c r="E85" s="826"/>
      <c r="F85" s="2504"/>
      <c r="G85" s="1284"/>
      <c r="H85" s="1288" t="str">
        <f t="shared" si="26"/>
        <v>——</v>
      </c>
      <c r="I85" s="820">
        <v>0.06</v>
      </c>
      <c r="J85" s="1285">
        <f t="shared" si="27"/>
        <v>0</v>
      </c>
      <c r="K85" s="1285">
        <f t="shared" si="28"/>
        <v>0</v>
      </c>
      <c r="L85" s="1285">
        <v>0</v>
      </c>
      <c r="M85" s="1285">
        <f t="shared" si="29"/>
        <v>0</v>
      </c>
      <c r="N85" s="1285">
        <f t="shared" si="29"/>
        <v>0</v>
      </c>
      <c r="Z85" s="2723"/>
      <c r="AA85" s="2791"/>
      <c r="AG85" s="1372"/>
      <c r="AK85" s="2791"/>
    </row>
    <row r="86" spans="1:37" ht="25.5">
      <c r="A86" s="2873" t="s">
        <v>2955</v>
      </c>
      <c r="B86" s="1725" t="str">
        <f>估价对象房地状况!G20</f>
        <v>估价对象所在区域基础设施水平</v>
      </c>
      <c r="C86" s="2773"/>
      <c r="D86" s="1286">
        <f t="shared" si="25"/>
        <v>0</v>
      </c>
      <c r="E86" s="826"/>
      <c r="F86" s="2504"/>
      <c r="G86" s="1284"/>
      <c r="H86" s="1288" t="str">
        <f t="shared" si="26"/>
        <v>——</v>
      </c>
      <c r="I86" s="820">
        <v>0.15</v>
      </c>
      <c r="J86" s="1285">
        <f t="shared" si="27"/>
        <v>0</v>
      </c>
      <c r="K86" s="1285">
        <f t="shared" si="28"/>
        <v>0</v>
      </c>
      <c r="L86" s="1285">
        <v>0</v>
      </c>
      <c r="M86" s="1285">
        <f t="shared" si="29"/>
        <v>0</v>
      </c>
      <c r="N86" s="1285">
        <f t="shared" si="29"/>
        <v>0</v>
      </c>
      <c r="Z86" s="2723"/>
      <c r="AA86" s="2791"/>
      <c r="AG86" s="1372"/>
      <c r="AK86" s="2791"/>
    </row>
    <row r="87" spans="1:37" ht="24">
      <c r="A87" s="2873" t="s">
        <v>2952</v>
      </c>
      <c r="B87" s="2879" t="s">
        <v>2966</v>
      </c>
      <c r="C87" s="2773"/>
      <c r="D87" s="1286">
        <f t="shared" si="25"/>
        <v>0</v>
      </c>
      <c r="E87" s="826"/>
      <c r="F87" s="2504"/>
      <c r="G87" s="1284"/>
      <c r="H87" s="1288" t="str">
        <f t="shared" si="26"/>
        <v>——</v>
      </c>
      <c r="I87" s="820">
        <v>0.05</v>
      </c>
      <c r="J87" s="1285">
        <f t="shared" si="27"/>
        <v>0</v>
      </c>
      <c r="K87" s="1285">
        <f t="shared" si="28"/>
        <v>0</v>
      </c>
      <c r="L87" s="1285">
        <v>0</v>
      </c>
      <c r="M87" s="1285">
        <f t="shared" si="29"/>
        <v>0</v>
      </c>
      <c r="N87" s="1285">
        <f t="shared" si="29"/>
        <v>0</v>
      </c>
      <c r="Z87" s="2723"/>
      <c r="AA87" s="2791"/>
      <c r="AG87" s="1372"/>
      <c r="AK87" s="2791"/>
    </row>
    <row r="88" spans="1:37" ht="39" thickBot="1">
      <c r="A88" s="2881" t="s">
        <v>2967</v>
      </c>
      <c r="B88" s="2886" t="str">
        <f>估价对象房地状况!G18</f>
        <v>该园区内是否有污染型企业，绿化情况，卫生条件，整体环境状况判断</v>
      </c>
      <c r="C88" s="2773"/>
      <c r="D88" s="1286">
        <f t="shared" si="25"/>
        <v>0</v>
      </c>
      <c r="E88" s="827"/>
      <c r="F88" s="2504"/>
      <c r="G88" s="1284"/>
      <c r="H88" s="1288" t="str">
        <f t="shared" si="26"/>
        <v>——</v>
      </c>
      <c r="I88" s="824">
        <v>0.06</v>
      </c>
      <c r="J88" s="1285">
        <f t="shared" si="27"/>
        <v>0</v>
      </c>
      <c r="K88" s="1285">
        <f t="shared" si="28"/>
        <v>0</v>
      </c>
      <c r="L88" s="1285">
        <v>0</v>
      </c>
      <c r="M88" s="1285">
        <f t="shared" si="29"/>
        <v>0</v>
      </c>
      <c r="N88" s="1285">
        <f t="shared" si="29"/>
        <v>0</v>
      </c>
      <c r="Z88" s="2723"/>
      <c r="AA88" s="2791"/>
      <c r="AG88" s="1372"/>
      <c r="AK88" s="2791"/>
    </row>
    <row r="90" spans="1:37">
      <c r="A90" s="3255" t="s">
        <v>2968</v>
      </c>
      <c r="B90" s="3255"/>
      <c r="C90" s="3255"/>
      <c r="D90" s="3255"/>
      <c r="E90" s="3255"/>
      <c r="F90" s="3255"/>
      <c r="G90" s="3255"/>
      <c r="H90" s="3255"/>
      <c r="I90" s="3255"/>
      <c r="J90" s="3255"/>
      <c r="K90" s="2887"/>
      <c r="L90" s="2887"/>
      <c r="M90" s="2887"/>
      <c r="N90" s="2887"/>
    </row>
    <row r="91" spans="1:37">
      <c r="A91" s="3257" t="s">
        <v>2969</v>
      </c>
      <c r="B91" s="3257" t="s">
        <v>2970</v>
      </c>
      <c r="C91" s="2841" t="s">
        <v>2971</v>
      </c>
      <c r="D91" s="2842"/>
      <c r="E91" s="2842"/>
      <c r="F91" s="2842"/>
      <c r="G91" s="2842"/>
      <c r="H91" s="2842"/>
      <c r="I91" s="2842"/>
      <c r="J91" s="2888"/>
      <c r="K91" s="2889"/>
      <c r="L91" s="2889"/>
      <c r="M91" s="2889"/>
      <c r="N91" s="2889"/>
    </row>
    <row r="92" spans="1:37">
      <c r="A92" s="3257"/>
      <c r="B92" s="3257"/>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258" t="s">
        <v>2972</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59"/>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59"/>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59"/>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59"/>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59"/>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59"/>
      <c r="B99" s="2890" t="s">
        <v>2853</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60"/>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58" t="s">
        <v>2973</v>
      </c>
      <c r="B101" s="2894" t="s">
        <v>2974</v>
      </c>
      <c r="C101" s="2895" t="e">
        <f>$G$3</f>
        <v>#DIV/0!</v>
      </c>
      <c r="D101" s="2895" t="e">
        <f t="shared" ref="D101:N101" si="31">$G$3</f>
        <v>#DIV/0!</v>
      </c>
      <c r="E101" s="2895" t="e">
        <f t="shared" si="31"/>
        <v>#DIV/0!</v>
      </c>
      <c r="F101" s="2895" t="e">
        <f t="shared" si="31"/>
        <v>#DIV/0!</v>
      </c>
      <c r="G101" s="2895" t="e">
        <f t="shared" si="31"/>
        <v>#DIV/0!</v>
      </c>
      <c r="H101" s="2895" t="e">
        <f t="shared" si="31"/>
        <v>#DIV/0!</v>
      </c>
      <c r="I101" s="2895" t="e">
        <f t="shared" si="31"/>
        <v>#DIV/0!</v>
      </c>
      <c r="J101" s="2895" t="e">
        <f t="shared" si="31"/>
        <v>#DIV/0!</v>
      </c>
      <c r="K101" s="2895" t="e">
        <f t="shared" si="31"/>
        <v>#DIV/0!</v>
      </c>
      <c r="L101" s="2895" t="e">
        <f t="shared" si="31"/>
        <v>#DIV/0!</v>
      </c>
      <c r="M101" s="2895" t="e">
        <f t="shared" si="31"/>
        <v>#DIV/0!</v>
      </c>
      <c r="N101" s="2895" t="e">
        <f t="shared" si="31"/>
        <v>#DIV/0!</v>
      </c>
    </row>
    <row r="102" spans="1:14">
      <c r="A102" s="3259"/>
      <c r="B102" s="2890">
        <v>1</v>
      </c>
      <c r="C102" s="2891" t="e">
        <f>1.9362/C101</f>
        <v>#DIV/0!</v>
      </c>
      <c r="D102" s="2891" t="e">
        <f>1.9362/D101</f>
        <v>#DIV/0!</v>
      </c>
      <c r="E102" s="2891" t="e">
        <f>1.8629/E101</f>
        <v>#DIV/0!</v>
      </c>
      <c r="F102" s="2891" t="e">
        <f>1.8629/F101</f>
        <v>#DIV/0!</v>
      </c>
      <c r="G102" s="2891" t="e">
        <f>1.8629/G101</f>
        <v>#DIV/0!</v>
      </c>
      <c r="H102" s="2891" t="e">
        <f>1.8629/H101</f>
        <v>#DIV/0!</v>
      </c>
      <c r="I102" s="2891" t="e">
        <f>1.8629/I101</f>
        <v>#DIV/0!</v>
      </c>
      <c r="J102" s="2891" t="e">
        <f>1.942/J101</f>
        <v>#DIV/0!</v>
      </c>
      <c r="K102" s="2891" t="e">
        <f>1.942/K101</f>
        <v>#DIV/0!</v>
      </c>
      <c r="L102" s="2891" t="e">
        <f>1.942/L101</f>
        <v>#DIV/0!</v>
      </c>
      <c r="M102" s="2891" t="e">
        <f>1.942/M101</f>
        <v>#DIV/0!</v>
      </c>
      <c r="N102" s="2891" t="e">
        <f>1.942/N101</f>
        <v>#DIV/0!</v>
      </c>
    </row>
    <row r="103" spans="1:14">
      <c r="A103" s="3259"/>
      <c r="B103" s="2890">
        <v>2</v>
      </c>
      <c r="C103" s="2891" t="e">
        <f>1.4198/C101</f>
        <v>#DIV/0!</v>
      </c>
      <c r="D103" s="2891" t="e">
        <f>1.4198/D101</f>
        <v>#DIV/0!</v>
      </c>
      <c r="E103" s="2891" t="e">
        <f>1.3372/E101</f>
        <v>#DIV/0!</v>
      </c>
      <c r="F103" s="2891" t="e">
        <f>1.3372/F101</f>
        <v>#DIV/0!</v>
      </c>
      <c r="G103" s="2891" t="e">
        <f>1.3372/G101</f>
        <v>#DIV/0!</v>
      </c>
      <c r="H103" s="2891" t="e">
        <f>1.3372/H101</f>
        <v>#DIV/0!</v>
      </c>
      <c r="I103" s="2891" t="e">
        <f>1.3372/I101</f>
        <v>#DIV/0!</v>
      </c>
      <c r="J103" s="2891" t="e">
        <f>1.2799/J101</f>
        <v>#DIV/0!</v>
      </c>
      <c r="K103" s="2891" t="e">
        <f>1.2799/K101</f>
        <v>#DIV/0!</v>
      </c>
      <c r="L103" s="2891" t="e">
        <f>1.2799/L101</f>
        <v>#DIV/0!</v>
      </c>
      <c r="M103" s="2891" t="e">
        <f>1.2799/M101</f>
        <v>#DIV/0!</v>
      </c>
      <c r="N103" s="2891" t="e">
        <f>1.2799/N101</f>
        <v>#DIV/0!</v>
      </c>
    </row>
    <row r="104" spans="1:14">
      <c r="A104" s="3259"/>
      <c r="B104" s="2890">
        <v>3</v>
      </c>
      <c r="C104" s="2891" t="e">
        <f>1.1594/C101</f>
        <v>#DIV/0!</v>
      </c>
      <c r="D104" s="2891" t="e">
        <f>1.1594/D101</f>
        <v>#DIV/0!</v>
      </c>
      <c r="E104" s="2891" t="e">
        <f>1.0788/E101</f>
        <v>#DIV/0!</v>
      </c>
      <c r="F104" s="2891" t="e">
        <f>1.0788/F101</f>
        <v>#DIV/0!</v>
      </c>
      <c r="G104" s="2891" t="e">
        <f>1.0788/G101</f>
        <v>#DIV/0!</v>
      </c>
      <c r="H104" s="2891" t="e">
        <f>1.0788/H101</f>
        <v>#DIV/0!</v>
      </c>
      <c r="I104" s="2891" t="e">
        <f>1.0788/I101</f>
        <v>#DIV/0!</v>
      </c>
      <c r="J104" s="2891" t="e">
        <f>1.0072/J101</f>
        <v>#DIV/0!</v>
      </c>
      <c r="K104" s="2891" t="e">
        <f>1.0072/K101</f>
        <v>#DIV/0!</v>
      </c>
      <c r="L104" s="2891" t="e">
        <f>1.0072/L101</f>
        <v>#DIV/0!</v>
      </c>
      <c r="M104" s="2891" t="e">
        <f>1.0072/M101</f>
        <v>#DIV/0!</v>
      </c>
      <c r="N104" s="2891" t="e">
        <f>1.0072/N101</f>
        <v>#DIV/0!</v>
      </c>
    </row>
    <row r="105" spans="1:14">
      <c r="A105" s="3259"/>
      <c r="B105" s="2890">
        <v>4</v>
      </c>
      <c r="C105" s="2891" t="e">
        <f>0.9622/C101</f>
        <v>#DIV/0!</v>
      </c>
      <c r="D105" s="2891" t="e">
        <f>0.9622/D101</f>
        <v>#DIV/0!</v>
      </c>
      <c r="E105" s="2891" t="e">
        <f>0.8656/E101</f>
        <v>#DIV/0!</v>
      </c>
      <c r="F105" s="2891" t="e">
        <f>0.8656/F101</f>
        <v>#DIV/0!</v>
      </c>
      <c r="G105" s="2891" t="e">
        <f>0.8656/G101</f>
        <v>#DIV/0!</v>
      </c>
      <c r="H105" s="2891" t="e">
        <f>0.8656/H101</f>
        <v>#DIV/0!</v>
      </c>
      <c r="I105" s="2891" t="e">
        <f>0.8656/I101</f>
        <v>#DIV/0!</v>
      </c>
      <c r="J105" s="2891" t="e">
        <f>0.7525/J101</f>
        <v>#DIV/0!</v>
      </c>
      <c r="K105" s="2891" t="e">
        <f>0.7525/K101</f>
        <v>#DIV/0!</v>
      </c>
      <c r="L105" s="2891" t="e">
        <f>0.7525/L101</f>
        <v>#DIV/0!</v>
      </c>
      <c r="M105" s="2891" t="e">
        <f>0.7525/M101</f>
        <v>#DIV/0!</v>
      </c>
      <c r="N105" s="2891" t="e">
        <f>0.7525/N101</f>
        <v>#DIV/0!</v>
      </c>
    </row>
    <row r="106" spans="1:14">
      <c r="A106" s="3259"/>
      <c r="B106" s="2890">
        <v>5</v>
      </c>
      <c r="C106" s="2891" t="e">
        <f>0.8417/C101</f>
        <v>#DIV/0!</v>
      </c>
      <c r="D106" s="2891" t="e">
        <f>0.8417/D101</f>
        <v>#DIV/0!</v>
      </c>
      <c r="E106" s="2891" t="e">
        <f>0.7371/E101</f>
        <v>#DIV/0!</v>
      </c>
      <c r="F106" s="2891" t="e">
        <f>0.7371/F101</f>
        <v>#DIV/0!</v>
      </c>
      <c r="G106" s="2891" t="e">
        <f>0.7371/G101</f>
        <v>#DIV/0!</v>
      </c>
      <c r="H106" s="2891" t="e">
        <f>0.7371/H101</f>
        <v>#DIV/0!</v>
      </c>
      <c r="I106" s="2891" t="e">
        <f>0.7371/I101</f>
        <v>#DIV/0!</v>
      </c>
      <c r="J106" s="2891" t="e">
        <f>0.5659/J101</f>
        <v>#DIV/0!</v>
      </c>
      <c r="K106" s="2891" t="e">
        <f>0.5659/K101</f>
        <v>#DIV/0!</v>
      </c>
      <c r="L106" s="2891" t="e">
        <f>0.5659/L101</f>
        <v>#DIV/0!</v>
      </c>
      <c r="M106" s="2891" t="e">
        <f>0.5659/M101</f>
        <v>#DIV/0!</v>
      </c>
      <c r="N106" s="2891" t="e">
        <f>0.5659/N101</f>
        <v>#DIV/0!</v>
      </c>
    </row>
    <row r="107" spans="1:14">
      <c r="A107" s="3259"/>
      <c r="B107" s="2890">
        <v>6</v>
      </c>
      <c r="C107" s="2891" t="e">
        <f>0.7608/C101</f>
        <v>#DIV/0!</v>
      </c>
      <c r="D107" s="2891" t="e">
        <f>0.7608/D101</f>
        <v>#DIV/0!</v>
      </c>
      <c r="E107" s="2891" t="e">
        <f>0.6482/E101</f>
        <v>#DIV/0!</v>
      </c>
      <c r="F107" s="2891" t="e">
        <f>0.6482/F101</f>
        <v>#DIV/0!</v>
      </c>
      <c r="G107" s="2891" t="e">
        <f>0.6482/G101</f>
        <v>#DIV/0!</v>
      </c>
      <c r="H107" s="2891" t="e">
        <f>0.6482/H101</f>
        <v>#DIV/0!</v>
      </c>
      <c r="I107" s="2891" t="e">
        <f>0.6482/I101</f>
        <v>#DIV/0!</v>
      </c>
      <c r="J107" s="2891" t="e">
        <f>0.4525/J101</f>
        <v>#DIV/0!</v>
      </c>
      <c r="K107" s="2891" t="e">
        <f>0.4525/K101</f>
        <v>#DIV/0!</v>
      </c>
      <c r="L107" s="2891" t="e">
        <f>0.4525/L101</f>
        <v>#DIV/0!</v>
      </c>
      <c r="M107" s="2891" t="e">
        <f>0.4525/M101</f>
        <v>#DIV/0!</v>
      </c>
      <c r="N107" s="2891" t="e">
        <f>0.4525/N101</f>
        <v>#DIV/0!</v>
      </c>
    </row>
    <row r="108" spans="1:14">
      <c r="A108" s="3259"/>
      <c r="B108" s="3116" t="s">
        <v>2975</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60"/>
      <c r="B109" s="3117"/>
      <c r="C109" s="2893" t="e">
        <f>(-0.163*(C108^2)-0.59*C108+7617)*(10^(-4))/C101</f>
        <v>#DIV/0!</v>
      </c>
      <c r="D109" s="2893" t="e">
        <f>(-0.163*(D108^2)-0.59*D108+7617)*(10^(-4))/D101</f>
        <v>#DIV/0!</v>
      </c>
      <c r="E109" s="2893" t="e">
        <f>(-0.161*(E108^2)-7.509*E108+6533)*(10^(-4))/E101</f>
        <v>#DIV/0!</v>
      </c>
      <c r="F109" s="2893" t="e">
        <f>(-0.161*(F108^2)-7.509*F108+6533)*(10^(-4))/F101</f>
        <v>#DIV/0!</v>
      </c>
      <c r="G109" s="2893" t="e">
        <f>(-0.161*(G108^2)-7.509*G108+6533)*(10^(-4))/G101</f>
        <v>#DIV/0!</v>
      </c>
      <c r="H109" s="2893" t="e">
        <f>(-0.161*(H108^2)-7.509*H108+6533)*(10^(-4))/H101</f>
        <v>#DIV/0!</v>
      </c>
      <c r="I109" s="2893" t="e">
        <f>(-0.161*(I108^2)-7.509*I108+6533)*(10^(-4))/I101</f>
        <v>#DIV/0!</v>
      </c>
      <c r="J109" s="2893" t="e">
        <f>(-0.214*(J108^2)-21.991*J108+4665)*(10^(-4))/J101</f>
        <v>#DIV/0!</v>
      </c>
      <c r="K109" s="2893" t="e">
        <f>(-0.214*(K108^2)-21.991*K108+4665)*(10^(-4))/K101</f>
        <v>#DIV/0!</v>
      </c>
      <c r="L109" s="2893" t="e">
        <f>(-0.214*(L108^2)-21.991*L108+4665)*(10^(-4))/L101</f>
        <v>#DIV/0!</v>
      </c>
      <c r="M109" s="2893" t="e">
        <f>(-0.214*(M108^2)-21.991*M108+4665)*(10^(-4))/M101</f>
        <v>#DIV/0!</v>
      </c>
      <c r="N109" s="2893" t="e">
        <f>(-0.214*(N108^2)-21.991*N108+4665)*(10^(-4))/N101</f>
        <v>#DIV/0!</v>
      </c>
    </row>
    <row r="110" spans="1:14">
      <c r="A110" s="3256" t="s">
        <v>2976</v>
      </c>
      <c r="B110" s="3256"/>
      <c r="C110" s="3256"/>
      <c r="D110" s="3256"/>
      <c r="E110" s="3256"/>
      <c r="F110" s="3256"/>
      <c r="G110" s="3256"/>
      <c r="H110" s="3256"/>
      <c r="I110" s="3256"/>
      <c r="J110" s="3256"/>
      <c r="K110" s="2896"/>
      <c r="L110" s="2896"/>
      <c r="M110" s="2896"/>
      <c r="N110" s="2896"/>
    </row>
    <row r="112" spans="1:14" ht="13.5" thickBot="1"/>
    <row r="113" spans="1:13" ht="25.5" thickBot="1">
      <c r="A113" s="903" t="s">
        <v>2977</v>
      </c>
      <c r="B113" s="1287" t="e">
        <f>G3</f>
        <v>#DIV/0!</v>
      </c>
      <c r="C113" s="904" t="s">
        <v>2978</v>
      </c>
      <c r="D113" s="905" t="e">
        <f>SUMPRODUCT((A115:A118=F113)*(B114:M114=H113)*B115:M118)</f>
        <v>#DIV/0!</v>
      </c>
      <c r="E113" s="2727" t="s">
        <v>2810</v>
      </c>
      <c r="F113" s="2898">
        <f>E2</f>
        <v>0</v>
      </c>
      <c r="G113" s="2727" t="s">
        <v>2811</v>
      </c>
      <c r="H113" s="2898">
        <f>G2</f>
        <v>0</v>
      </c>
      <c r="I113" s="2727"/>
      <c r="J113" s="2899"/>
      <c r="K113" s="2899"/>
      <c r="L113" s="2899"/>
      <c r="M113" s="2899"/>
    </row>
    <row r="114" spans="1:13">
      <c r="A114" s="908"/>
      <c r="B114" s="2900" t="s">
        <v>2979</v>
      </c>
      <c r="C114" s="2900" t="s">
        <v>2980</v>
      </c>
      <c r="D114" s="2900" t="s">
        <v>2981</v>
      </c>
      <c r="E114" s="2901" t="s">
        <v>2982</v>
      </c>
      <c r="F114" s="2901" t="s">
        <v>2983</v>
      </c>
      <c r="G114" s="2901" t="s">
        <v>2984</v>
      </c>
      <c r="H114" s="2902" t="s">
        <v>2985</v>
      </c>
      <c r="I114" s="2902" t="s">
        <v>2986</v>
      </c>
      <c r="J114" s="2903" t="s">
        <v>2987</v>
      </c>
      <c r="K114" s="2903" t="s">
        <v>2988</v>
      </c>
      <c r="L114" s="2903" t="s">
        <v>2989</v>
      </c>
      <c r="M114" s="2904" t="s">
        <v>2990</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6" t="s">
        <v>183</v>
      </c>
      <c r="B18" s="882" t="s">
        <v>560</v>
      </c>
      <c r="C18" s="883" t="s">
        <v>561</v>
      </c>
      <c r="D18" s="884"/>
      <c r="E18" s="882">
        <v>1</v>
      </c>
      <c r="F18" s="885" t="s">
        <v>562</v>
      </c>
      <c r="G18" s="886"/>
      <c r="H18" s="878"/>
      <c r="I18" s="878"/>
    </row>
    <row r="19" spans="1:9" s="887" customFormat="1" ht="19.5" customHeight="1">
      <c r="A19" s="3266"/>
      <c r="B19" s="3266" t="s">
        <v>563</v>
      </c>
      <c r="C19" s="883" t="s">
        <v>564</v>
      </c>
      <c r="D19" s="884"/>
      <c r="E19" s="882">
        <v>0.9</v>
      </c>
      <c r="F19" s="885" t="s">
        <v>565</v>
      </c>
      <c r="G19" s="886"/>
      <c r="H19" s="878"/>
      <c r="I19" s="878"/>
    </row>
    <row r="20" spans="1:9" s="887" customFormat="1" ht="19.5" customHeight="1">
      <c r="A20" s="3266"/>
      <c r="B20" s="3266"/>
      <c r="C20" s="883" t="s">
        <v>566</v>
      </c>
      <c r="D20" s="884"/>
      <c r="E20" s="882">
        <v>1.1000000000000001</v>
      </c>
      <c r="F20" s="885" t="s">
        <v>567</v>
      </c>
      <c r="G20" s="886"/>
      <c r="H20" s="878"/>
      <c r="I20" s="878"/>
    </row>
    <row r="21" spans="1:9" s="887" customFormat="1" ht="19.5" customHeight="1">
      <c r="A21" s="3266"/>
      <c r="B21" s="3266"/>
      <c r="C21" s="883" t="s">
        <v>568</v>
      </c>
      <c r="D21" s="884"/>
      <c r="E21" s="882">
        <v>0.8</v>
      </c>
      <c r="F21" s="885" t="s">
        <v>569</v>
      </c>
      <c r="G21" s="886"/>
      <c r="H21" s="878"/>
      <c r="I21" s="878"/>
    </row>
    <row r="22" spans="1:9" s="887" customFormat="1" ht="19.5" customHeight="1">
      <c r="A22" s="3266"/>
      <c r="B22" s="3266"/>
      <c r="C22" s="883" t="s">
        <v>570</v>
      </c>
      <c r="D22" s="884"/>
      <c r="E22" s="882">
        <v>0.5</v>
      </c>
      <c r="F22" s="885"/>
      <c r="G22" s="886"/>
      <c r="H22" s="878"/>
      <c r="I22" s="878"/>
    </row>
    <row r="23" spans="1:9" s="887" customFormat="1" ht="19.5" customHeight="1">
      <c r="A23" s="3266" t="s">
        <v>184</v>
      </c>
      <c r="B23" s="882" t="s">
        <v>560</v>
      </c>
      <c r="C23" s="883" t="s">
        <v>571</v>
      </c>
      <c r="D23" s="884"/>
      <c r="E23" s="882">
        <v>1</v>
      </c>
      <c r="F23" s="885" t="s">
        <v>572</v>
      </c>
      <c r="G23" s="886"/>
      <c r="H23" s="878"/>
      <c r="I23" s="878"/>
    </row>
    <row r="24" spans="1:9" s="887" customFormat="1" ht="19.5" customHeight="1">
      <c r="A24" s="3266"/>
      <c r="B24" s="3266" t="s">
        <v>563</v>
      </c>
      <c r="C24" s="883" t="s">
        <v>573</v>
      </c>
      <c r="D24" s="884"/>
      <c r="E24" s="882">
        <v>0.5</v>
      </c>
      <c r="F24" s="885"/>
      <c r="G24" s="886"/>
      <c r="H24" s="878"/>
      <c r="I24" s="878"/>
    </row>
    <row r="25" spans="1:9" s="887" customFormat="1" ht="19.5" customHeight="1">
      <c r="A25" s="3266"/>
      <c r="B25" s="3266"/>
      <c r="C25" s="883" t="s">
        <v>574</v>
      </c>
      <c r="D25" s="884"/>
      <c r="E25" s="882">
        <v>1.1000000000000001</v>
      </c>
      <c r="F25" s="885"/>
      <c r="G25" s="886"/>
      <c r="H25" s="878"/>
      <c r="I25" s="878"/>
    </row>
    <row r="26" spans="1:9" s="887" customFormat="1" ht="19.5" customHeight="1">
      <c r="A26" s="3266"/>
      <c r="B26" s="3266"/>
      <c r="C26" s="883" t="s">
        <v>575</v>
      </c>
      <c r="D26" s="884"/>
      <c r="E26" s="882">
        <v>1.1000000000000001</v>
      </c>
      <c r="F26" s="885"/>
      <c r="G26" s="886"/>
      <c r="H26" s="878"/>
      <c r="I26" s="878"/>
    </row>
    <row r="27" spans="1:9" s="887" customFormat="1" ht="19.5" customHeight="1">
      <c r="A27" s="3266"/>
      <c r="B27" s="3266"/>
      <c r="C27" s="883" t="s">
        <v>576</v>
      </c>
      <c r="D27" s="884"/>
      <c r="E27" s="882">
        <v>0.9</v>
      </c>
      <c r="F27" s="885" t="s">
        <v>577</v>
      </c>
      <c r="G27" s="886"/>
      <c r="H27" s="878"/>
      <c r="I27" s="878"/>
    </row>
    <row r="28" spans="1:9" s="887" customFormat="1" ht="19.5" customHeight="1">
      <c r="A28" s="3266"/>
      <c r="B28" s="3266"/>
      <c r="C28" s="883" t="s">
        <v>578</v>
      </c>
      <c r="D28" s="884"/>
      <c r="E28" s="882">
        <v>0.9</v>
      </c>
      <c r="F28" s="885" t="s">
        <v>579</v>
      </c>
      <c r="G28" s="886"/>
      <c r="H28" s="878"/>
      <c r="I28" s="878"/>
    </row>
    <row r="29" spans="1:9" s="887" customFormat="1" ht="19.5" customHeight="1">
      <c r="A29" s="3266"/>
      <c r="B29" s="3266"/>
      <c r="C29" s="883" t="s">
        <v>580</v>
      </c>
      <c r="D29" s="884"/>
      <c r="E29" s="882">
        <v>0.9</v>
      </c>
      <c r="F29" s="885" t="s">
        <v>581</v>
      </c>
      <c r="G29" s="886"/>
      <c r="H29" s="878"/>
      <c r="I29" s="878"/>
    </row>
    <row r="30" spans="1:9" s="887" customFormat="1" ht="19.5" customHeight="1">
      <c r="A30" s="3266"/>
      <c r="B30" s="3266"/>
      <c r="C30" s="883" t="s">
        <v>582</v>
      </c>
      <c r="D30" s="884"/>
      <c r="E30" s="882">
        <v>0.9</v>
      </c>
      <c r="F30" s="885" t="s">
        <v>583</v>
      </c>
      <c r="G30" s="886"/>
      <c r="H30" s="878"/>
      <c r="I30" s="878"/>
    </row>
    <row r="31" spans="1:9" s="887" customFormat="1" ht="19.5" customHeight="1">
      <c r="A31" s="3266"/>
      <c r="B31" s="3266"/>
      <c r="C31" s="883" t="s">
        <v>584</v>
      </c>
      <c r="D31" s="884"/>
      <c r="E31" s="882">
        <v>0.8</v>
      </c>
      <c r="F31" s="885" t="s">
        <v>585</v>
      </c>
      <c r="G31" s="886"/>
      <c r="H31" s="878"/>
      <c r="I31" s="878"/>
    </row>
    <row r="32" spans="1:9" s="887" customFormat="1" ht="19.5" customHeight="1">
      <c r="A32" s="3266"/>
      <c r="B32" s="3266"/>
      <c r="C32" s="883" t="s">
        <v>586</v>
      </c>
      <c r="D32" s="884"/>
      <c r="E32" s="882">
        <v>0.8</v>
      </c>
      <c r="F32" s="885" t="s">
        <v>587</v>
      </c>
      <c r="G32" s="886"/>
      <c r="H32" s="878"/>
      <c r="I32" s="878"/>
    </row>
    <row r="33" spans="1:9" s="887" customFormat="1" ht="19.5" customHeight="1">
      <c r="A33" s="3266" t="s">
        <v>185</v>
      </c>
      <c r="B33" s="882" t="s">
        <v>560</v>
      </c>
      <c r="C33" s="883" t="s">
        <v>588</v>
      </c>
      <c r="D33" s="884"/>
      <c r="E33" s="882">
        <v>1</v>
      </c>
      <c r="F33" s="885" t="s">
        <v>589</v>
      </c>
      <c r="G33" s="886"/>
      <c r="H33" s="878"/>
      <c r="I33" s="878"/>
    </row>
    <row r="34" spans="1:9" s="887" customFormat="1" ht="19.5" customHeight="1">
      <c r="A34" s="3266"/>
      <c r="B34" s="882" t="s">
        <v>563</v>
      </c>
      <c r="C34" s="883" t="s">
        <v>590</v>
      </c>
      <c r="D34" s="884"/>
      <c r="E34" s="882">
        <v>1.5</v>
      </c>
      <c r="F34" s="885" t="s">
        <v>591</v>
      </c>
      <c r="G34" s="886"/>
      <c r="H34" s="878"/>
      <c r="I34" s="878"/>
    </row>
    <row r="35" spans="1:9" s="887" customFormat="1" ht="19.5" customHeight="1">
      <c r="A35" s="3266" t="s">
        <v>186</v>
      </c>
      <c r="B35" s="882" t="s">
        <v>560</v>
      </c>
      <c r="C35" s="883" t="s">
        <v>592</v>
      </c>
      <c r="D35" s="884"/>
      <c r="E35" s="882">
        <v>1</v>
      </c>
      <c r="F35" s="885" t="s">
        <v>593</v>
      </c>
      <c r="G35" s="886"/>
      <c r="H35" s="878"/>
      <c r="I35" s="878"/>
    </row>
    <row r="36" spans="1:9" s="887" customFormat="1" ht="19.5" customHeight="1">
      <c r="A36" s="3266"/>
      <c r="B36" s="3266" t="s">
        <v>563</v>
      </c>
      <c r="C36" s="883" t="s">
        <v>594</v>
      </c>
      <c r="D36" s="884"/>
      <c r="E36" s="882">
        <v>1</v>
      </c>
      <c r="F36" s="885" t="s">
        <v>595</v>
      </c>
      <c r="G36" s="886"/>
      <c r="H36" s="878"/>
      <c r="I36" s="878"/>
    </row>
    <row r="37" spans="1:9" s="887" customFormat="1" ht="19.5" customHeight="1">
      <c r="A37" s="3266"/>
      <c r="B37" s="3266"/>
      <c r="C37" s="883" t="s">
        <v>596</v>
      </c>
      <c r="D37" s="884"/>
      <c r="E37" s="882">
        <v>1.5</v>
      </c>
      <c r="F37" s="885" t="s">
        <v>597</v>
      </c>
      <c r="G37" s="886"/>
      <c r="H37" s="878"/>
      <c r="I37" s="878"/>
    </row>
    <row r="38" spans="1:9" s="887" customFormat="1" ht="19.5" customHeight="1">
      <c r="A38" s="3266"/>
      <c r="B38" s="3266"/>
      <c r="C38" s="883" t="s">
        <v>598</v>
      </c>
      <c r="D38" s="884"/>
      <c r="E38" s="882">
        <v>1</v>
      </c>
      <c r="F38" s="885" t="s">
        <v>599</v>
      </c>
      <c r="G38" s="886"/>
      <c r="H38" s="878"/>
      <c r="I38" s="878"/>
    </row>
    <row r="39" spans="1:9" s="887" customFormat="1" ht="19.5" customHeight="1">
      <c r="A39" s="3266"/>
      <c r="B39" s="326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6" t="s">
        <v>614</v>
      </c>
      <c r="C61" s="818" t="s">
        <v>615</v>
      </c>
      <c r="D61" s="818" t="s">
        <v>616</v>
      </c>
      <c r="E61" s="895">
        <v>0.5</v>
      </c>
      <c r="F61" s="882">
        <v>80</v>
      </c>
    </row>
    <row r="62" spans="1:8" s="878" customFormat="1" ht="24">
      <c r="A62" s="882">
        <v>2</v>
      </c>
      <c r="B62" s="3266"/>
      <c r="C62" s="818" t="s">
        <v>617</v>
      </c>
      <c r="D62" s="818" t="s">
        <v>618</v>
      </c>
      <c r="E62" s="895">
        <v>0.5</v>
      </c>
      <c r="F62" s="882">
        <v>80</v>
      </c>
    </row>
    <row r="63" spans="1:8" s="878" customFormat="1" ht="36">
      <c r="A63" s="882">
        <v>3</v>
      </c>
      <c r="B63" s="3266"/>
      <c r="C63" s="818" t="s">
        <v>619</v>
      </c>
      <c r="D63" s="818" t="s">
        <v>620</v>
      </c>
      <c r="E63" s="895">
        <v>0.5</v>
      </c>
      <c r="F63" s="882">
        <v>80</v>
      </c>
    </row>
    <row r="64" spans="1:8" s="878" customFormat="1" ht="36">
      <c r="A64" s="882">
        <v>4</v>
      </c>
      <c r="B64" s="3266"/>
      <c r="C64" s="818" t="s">
        <v>621</v>
      </c>
      <c r="D64" s="818" t="s">
        <v>622</v>
      </c>
      <c r="E64" s="895">
        <v>0.4</v>
      </c>
      <c r="F64" s="882">
        <v>60</v>
      </c>
    </row>
    <row r="65" spans="1:6" s="878" customFormat="1" ht="36">
      <c r="A65" s="882">
        <v>5</v>
      </c>
      <c r="B65" s="3266"/>
      <c r="C65" s="818" t="s">
        <v>623</v>
      </c>
      <c r="D65" s="818" t="s">
        <v>624</v>
      </c>
      <c r="E65" s="895">
        <v>0.2</v>
      </c>
      <c r="F65" s="882">
        <v>30</v>
      </c>
    </row>
    <row r="66" spans="1:6" s="878" customFormat="1" ht="36">
      <c r="A66" s="882">
        <v>6</v>
      </c>
      <c r="B66" s="3266"/>
      <c r="C66" s="818" t="s">
        <v>625</v>
      </c>
      <c r="D66" s="818" t="s">
        <v>626</v>
      </c>
      <c r="E66" s="895">
        <v>0.3</v>
      </c>
      <c r="F66" s="882">
        <v>50</v>
      </c>
    </row>
    <row r="67" spans="1:6" s="878" customFormat="1" ht="36">
      <c r="A67" s="882">
        <v>7</v>
      </c>
      <c r="B67" s="3266"/>
      <c r="C67" s="818" t="s">
        <v>627</v>
      </c>
      <c r="D67" s="818" t="s">
        <v>628</v>
      </c>
      <c r="E67" s="895">
        <v>0.2</v>
      </c>
      <c r="F67" s="882">
        <v>30</v>
      </c>
    </row>
    <row r="68" spans="1:6" s="878" customFormat="1" ht="36">
      <c r="A68" s="882">
        <v>8</v>
      </c>
      <c r="B68" s="3266"/>
      <c r="C68" s="818" t="s">
        <v>629</v>
      </c>
      <c r="D68" s="818" t="s">
        <v>630</v>
      </c>
      <c r="E68" s="895">
        <v>0.2</v>
      </c>
      <c r="F68" s="882">
        <v>30</v>
      </c>
    </row>
    <row r="69" spans="1:6" s="878" customFormat="1" ht="36">
      <c r="A69" s="882">
        <v>9</v>
      </c>
      <c r="B69" s="3266"/>
      <c r="C69" s="818" t="s">
        <v>631</v>
      </c>
      <c r="D69" s="818" t="s">
        <v>632</v>
      </c>
      <c r="E69" s="895">
        <v>0.2</v>
      </c>
      <c r="F69" s="882">
        <v>30</v>
      </c>
    </row>
    <row r="70" spans="1:6" s="878" customFormat="1" ht="48">
      <c r="A70" s="882">
        <v>10</v>
      </c>
      <c r="B70" s="3266"/>
      <c r="C70" s="818" t="s">
        <v>633</v>
      </c>
      <c r="D70" s="818" t="s">
        <v>634</v>
      </c>
      <c r="E70" s="895">
        <v>0.2</v>
      </c>
      <c r="F70" s="882">
        <v>30</v>
      </c>
    </row>
    <row r="71" spans="1:6" s="878" customFormat="1" ht="48">
      <c r="A71" s="882">
        <v>11</v>
      </c>
      <c r="B71" s="3266"/>
      <c r="C71" s="818" t="s">
        <v>635</v>
      </c>
      <c r="D71" s="818" t="s">
        <v>636</v>
      </c>
      <c r="E71" s="895">
        <v>0.2</v>
      </c>
      <c r="F71" s="882">
        <v>30</v>
      </c>
    </row>
    <row r="72" spans="1:6" s="878" customFormat="1" ht="36">
      <c r="A72" s="882">
        <v>12</v>
      </c>
      <c r="B72" s="3266"/>
      <c r="C72" s="818" t="s">
        <v>637</v>
      </c>
      <c r="D72" s="818" t="s">
        <v>638</v>
      </c>
      <c r="E72" s="895">
        <v>0.5</v>
      </c>
      <c r="F72" s="882">
        <v>80</v>
      </c>
    </row>
    <row r="73" spans="1:6" s="878" customFormat="1" ht="24">
      <c r="A73" s="882">
        <v>13</v>
      </c>
      <c r="B73" s="3266"/>
      <c r="C73" s="818" t="s">
        <v>639</v>
      </c>
      <c r="D73" s="818" t="s">
        <v>640</v>
      </c>
      <c r="E73" s="895">
        <v>0.4</v>
      </c>
      <c r="F73" s="882">
        <v>60</v>
      </c>
    </row>
    <row r="74" spans="1:6" s="878" customFormat="1" ht="24">
      <c r="A74" s="882">
        <v>14</v>
      </c>
      <c r="B74" s="3266"/>
      <c r="C74" s="818" t="s">
        <v>641</v>
      </c>
      <c r="D74" s="818" t="s">
        <v>642</v>
      </c>
      <c r="E74" s="895">
        <v>0.2</v>
      </c>
      <c r="F74" s="882">
        <v>30</v>
      </c>
    </row>
    <row r="75" spans="1:6" s="878" customFormat="1" ht="24">
      <c r="A75" s="882">
        <v>15</v>
      </c>
      <c r="B75" s="3266"/>
      <c r="C75" s="818" t="s">
        <v>643</v>
      </c>
      <c r="D75" s="818" t="s">
        <v>644</v>
      </c>
      <c r="E75" s="895">
        <v>0.2</v>
      </c>
      <c r="F75" s="882">
        <v>30</v>
      </c>
    </row>
    <row r="76" spans="1:6" s="878" customFormat="1" ht="24">
      <c r="A76" s="882">
        <v>16</v>
      </c>
      <c r="B76" s="3266" t="s">
        <v>645</v>
      </c>
      <c r="C76" s="818" t="s">
        <v>646</v>
      </c>
      <c r="D76" s="818" t="s">
        <v>647</v>
      </c>
      <c r="E76" s="895">
        <v>0.5</v>
      </c>
      <c r="F76" s="882">
        <v>80</v>
      </c>
    </row>
    <row r="77" spans="1:6" s="878" customFormat="1" ht="24">
      <c r="A77" s="882">
        <v>17</v>
      </c>
      <c r="B77" s="3266"/>
      <c r="C77" s="818" t="s">
        <v>648</v>
      </c>
      <c r="D77" s="818" t="s">
        <v>649</v>
      </c>
      <c r="E77" s="895">
        <v>0.5</v>
      </c>
      <c r="F77" s="882">
        <v>80</v>
      </c>
    </row>
    <row r="78" spans="1:6" s="878" customFormat="1" ht="24">
      <c r="A78" s="882">
        <v>18</v>
      </c>
      <c r="B78" s="3266"/>
      <c r="C78" s="818" t="s">
        <v>650</v>
      </c>
      <c r="D78" s="818" t="s">
        <v>651</v>
      </c>
      <c r="E78" s="895">
        <v>0.2</v>
      </c>
      <c r="F78" s="882">
        <v>30</v>
      </c>
    </row>
    <row r="79" spans="1:6" s="878" customFormat="1" ht="24">
      <c r="A79" s="882">
        <v>19</v>
      </c>
      <c r="B79" s="3266"/>
      <c r="C79" s="818" t="s">
        <v>652</v>
      </c>
      <c r="D79" s="818" t="s">
        <v>653</v>
      </c>
      <c r="E79" s="895">
        <v>0.5</v>
      </c>
      <c r="F79" s="882">
        <v>80</v>
      </c>
    </row>
    <row r="80" spans="1:6" s="878" customFormat="1" ht="36">
      <c r="A80" s="882">
        <v>20</v>
      </c>
      <c r="B80" s="3266"/>
      <c r="C80" s="818" t="s">
        <v>654</v>
      </c>
      <c r="D80" s="818" t="s">
        <v>655</v>
      </c>
      <c r="E80" s="895">
        <v>0.2</v>
      </c>
      <c r="F80" s="882">
        <v>30</v>
      </c>
    </row>
    <row r="81" spans="1:6" s="878" customFormat="1" ht="36">
      <c r="A81" s="882">
        <v>21</v>
      </c>
      <c r="B81" s="3266"/>
      <c r="C81" s="818" t="s">
        <v>656</v>
      </c>
      <c r="D81" s="818" t="s">
        <v>657</v>
      </c>
      <c r="E81" s="895">
        <v>0.2</v>
      </c>
      <c r="F81" s="882">
        <v>30</v>
      </c>
    </row>
    <row r="82" spans="1:6" s="878" customFormat="1" ht="48">
      <c r="A82" s="882">
        <v>22</v>
      </c>
      <c r="B82" s="3266"/>
      <c r="C82" s="818" t="s">
        <v>658</v>
      </c>
      <c r="D82" s="818" t="s">
        <v>659</v>
      </c>
      <c r="E82" s="895">
        <v>0.2</v>
      </c>
      <c r="F82" s="882">
        <v>30</v>
      </c>
    </row>
    <row r="83" spans="1:6" s="878" customFormat="1" ht="48">
      <c r="A83" s="882">
        <v>23</v>
      </c>
      <c r="B83" s="3266"/>
      <c r="C83" s="818" t="s">
        <v>660</v>
      </c>
      <c r="D83" s="818" t="s">
        <v>661</v>
      </c>
      <c r="E83" s="895">
        <v>0.2</v>
      </c>
      <c r="F83" s="882">
        <v>30</v>
      </c>
    </row>
    <row r="84" spans="1:6" s="878" customFormat="1" ht="36">
      <c r="A84" s="882">
        <v>24</v>
      </c>
      <c r="B84" s="3266"/>
      <c r="C84" s="818" t="s">
        <v>662</v>
      </c>
      <c r="D84" s="818" t="s">
        <v>663</v>
      </c>
      <c r="E84" s="895">
        <v>0.2</v>
      </c>
      <c r="F84" s="882">
        <v>30</v>
      </c>
    </row>
    <row r="85" spans="1:6" s="878" customFormat="1" ht="36">
      <c r="A85" s="882">
        <v>25</v>
      </c>
      <c r="B85" s="3266"/>
      <c r="C85" s="818" t="s">
        <v>664</v>
      </c>
      <c r="D85" s="818" t="s">
        <v>665</v>
      </c>
      <c r="E85" s="895">
        <v>0.5</v>
      </c>
      <c r="F85" s="882">
        <v>80</v>
      </c>
    </row>
    <row r="86" spans="1:6" s="878" customFormat="1" ht="36">
      <c r="A86" s="882">
        <v>26</v>
      </c>
      <c r="B86" s="3266"/>
      <c r="C86" s="818" t="s">
        <v>666</v>
      </c>
      <c r="D86" s="818" t="s">
        <v>667</v>
      </c>
      <c r="E86" s="895">
        <v>0.2</v>
      </c>
      <c r="F86" s="882">
        <v>30</v>
      </c>
    </row>
    <row r="87" spans="1:6" s="878" customFormat="1" ht="36">
      <c r="A87" s="882">
        <v>27</v>
      </c>
      <c r="B87" s="3266"/>
      <c r="C87" s="818" t="s">
        <v>668</v>
      </c>
      <c r="D87" s="818" t="s">
        <v>669</v>
      </c>
      <c r="E87" s="895">
        <v>0.2</v>
      </c>
      <c r="F87" s="882">
        <v>30</v>
      </c>
    </row>
    <row r="88" spans="1:6" s="878" customFormat="1" ht="36">
      <c r="A88" s="882">
        <v>28</v>
      </c>
      <c r="B88" s="3266"/>
      <c r="C88" s="818" t="s">
        <v>670</v>
      </c>
      <c r="D88" s="818" t="s">
        <v>671</v>
      </c>
      <c r="E88" s="895">
        <v>0.2</v>
      </c>
      <c r="F88" s="882">
        <v>30</v>
      </c>
    </row>
    <row r="89" spans="1:6" s="878" customFormat="1" ht="24">
      <c r="A89" s="882">
        <v>29</v>
      </c>
      <c r="B89" s="3266"/>
      <c r="C89" s="818" t="s">
        <v>672</v>
      </c>
      <c r="D89" s="818" t="s">
        <v>673</v>
      </c>
      <c r="E89" s="895">
        <v>0.2</v>
      </c>
      <c r="F89" s="882">
        <v>30</v>
      </c>
    </row>
    <row r="90" spans="1:6" s="878" customFormat="1" ht="24">
      <c r="A90" s="882">
        <v>30</v>
      </c>
      <c r="B90" s="3266"/>
      <c r="C90" s="818" t="s">
        <v>674</v>
      </c>
      <c r="D90" s="818" t="s">
        <v>675</v>
      </c>
      <c r="E90" s="895">
        <v>0.2</v>
      </c>
      <c r="F90" s="882">
        <v>30</v>
      </c>
    </row>
    <row r="91" spans="1:6" s="878" customFormat="1" ht="36">
      <c r="A91" s="882">
        <v>31</v>
      </c>
      <c r="B91" s="3266"/>
      <c r="C91" s="818" t="s">
        <v>676</v>
      </c>
      <c r="D91" s="818" t="s">
        <v>677</v>
      </c>
      <c r="E91" s="895">
        <v>0.2</v>
      </c>
      <c r="F91" s="882">
        <v>30</v>
      </c>
    </row>
    <row r="92" spans="1:6" s="878" customFormat="1" ht="24">
      <c r="A92" s="882">
        <v>32</v>
      </c>
      <c r="B92" s="3266" t="s">
        <v>678</v>
      </c>
      <c r="C92" s="882" t="s">
        <v>679</v>
      </c>
      <c r="D92" s="818" t="s">
        <v>680</v>
      </c>
      <c r="E92" s="895">
        <v>0.2</v>
      </c>
      <c r="F92" s="882">
        <v>30</v>
      </c>
    </row>
    <row r="93" spans="1:6" s="878" customFormat="1" ht="36">
      <c r="A93" s="882">
        <v>33</v>
      </c>
      <c r="B93" s="3266"/>
      <c r="C93" s="882" t="s">
        <v>681</v>
      </c>
      <c r="D93" s="818" t="s">
        <v>682</v>
      </c>
      <c r="E93" s="895">
        <v>0.2</v>
      </c>
      <c r="F93" s="882">
        <v>30</v>
      </c>
    </row>
    <row r="94" spans="1:6" s="878" customFormat="1" ht="48">
      <c r="A94" s="882">
        <v>34</v>
      </c>
      <c r="B94" s="3266"/>
      <c r="C94" s="882" t="s">
        <v>683</v>
      </c>
      <c r="D94" s="818" t="s">
        <v>684</v>
      </c>
      <c r="E94" s="895">
        <v>0.2</v>
      </c>
      <c r="F94" s="882">
        <v>30</v>
      </c>
    </row>
    <row r="95" spans="1:6" s="878" customFormat="1" ht="36">
      <c r="A95" s="882">
        <v>35</v>
      </c>
      <c r="B95" s="3266"/>
      <c r="C95" s="882" t="s">
        <v>685</v>
      </c>
      <c r="D95" s="818" t="s">
        <v>686</v>
      </c>
      <c r="E95" s="895">
        <v>0.2</v>
      </c>
      <c r="F95" s="882">
        <v>30</v>
      </c>
    </row>
    <row r="96" spans="1:6" s="878" customFormat="1" ht="48">
      <c r="A96" s="882">
        <v>36</v>
      </c>
      <c r="B96" s="3266"/>
      <c r="C96" s="818" t="s">
        <v>687</v>
      </c>
      <c r="D96" s="818" t="s">
        <v>688</v>
      </c>
      <c r="E96" s="895">
        <v>0.2</v>
      </c>
      <c r="F96" s="882">
        <v>30</v>
      </c>
    </row>
    <row r="97" spans="1:6" s="878" customFormat="1" ht="36">
      <c r="A97" s="882">
        <v>37</v>
      </c>
      <c r="B97" s="3266"/>
      <c r="C97" s="882" t="s">
        <v>689</v>
      </c>
      <c r="D97" s="818" t="s">
        <v>690</v>
      </c>
      <c r="E97" s="895">
        <v>0.2</v>
      </c>
      <c r="F97" s="882">
        <v>30</v>
      </c>
    </row>
    <row r="98" spans="1:6" s="878" customFormat="1" ht="36">
      <c r="A98" s="882">
        <v>38</v>
      </c>
      <c r="B98" s="3266"/>
      <c r="C98" s="882" t="s">
        <v>691</v>
      </c>
      <c r="D98" s="818" t="s">
        <v>692</v>
      </c>
      <c r="E98" s="895">
        <v>0.2</v>
      </c>
      <c r="F98" s="882">
        <v>30</v>
      </c>
    </row>
    <row r="99" spans="1:6" s="878" customFormat="1" ht="36">
      <c r="A99" s="882">
        <v>39</v>
      </c>
      <c r="B99" s="3266" t="s">
        <v>693</v>
      </c>
      <c r="C99" s="882" t="s">
        <v>694</v>
      </c>
      <c r="D99" s="818" t="s">
        <v>695</v>
      </c>
      <c r="E99" s="895">
        <v>0.3</v>
      </c>
      <c r="F99" s="882">
        <v>50</v>
      </c>
    </row>
    <row r="100" spans="1:6" s="878" customFormat="1" ht="24">
      <c r="A100" s="882">
        <v>40</v>
      </c>
      <c r="B100" s="3266"/>
      <c r="C100" s="882" t="s">
        <v>696</v>
      </c>
      <c r="D100" s="818" t="s">
        <v>697</v>
      </c>
      <c r="E100" s="895">
        <v>0.2</v>
      </c>
      <c r="F100" s="882">
        <v>30</v>
      </c>
    </row>
    <row r="101" spans="1:6" s="878" customFormat="1" ht="36">
      <c r="A101" s="882">
        <v>41</v>
      </c>
      <c r="B101" s="326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6" t="s">
        <v>708</v>
      </c>
      <c r="C105" s="882" t="s">
        <v>709</v>
      </c>
      <c r="D105" s="818" t="s">
        <v>710</v>
      </c>
      <c r="E105" s="895">
        <v>0.2</v>
      </c>
      <c r="F105" s="882">
        <v>30</v>
      </c>
    </row>
    <row r="106" spans="1:6" s="878" customFormat="1" ht="36">
      <c r="A106" s="882">
        <v>46</v>
      </c>
      <c r="B106" s="3266"/>
      <c r="C106" s="882" t="s">
        <v>711</v>
      </c>
      <c r="D106" s="818" t="s">
        <v>712</v>
      </c>
      <c r="E106" s="895">
        <v>0.2</v>
      </c>
      <c r="F106" s="882">
        <v>30</v>
      </c>
    </row>
    <row r="107" spans="1:6" s="878" customFormat="1" ht="36">
      <c r="A107" s="882">
        <v>47</v>
      </c>
      <c r="B107" s="3266" t="s">
        <v>713</v>
      </c>
      <c r="C107" s="882" t="s">
        <v>714</v>
      </c>
      <c r="D107" s="818" t="s">
        <v>715</v>
      </c>
      <c r="E107" s="895">
        <v>0.3</v>
      </c>
      <c r="F107" s="882">
        <v>50</v>
      </c>
    </row>
    <row r="108" spans="1:6" s="878" customFormat="1" ht="36">
      <c r="A108" s="882">
        <v>48</v>
      </c>
      <c r="B108" s="326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6" t="s">
        <v>724</v>
      </c>
      <c r="C111" s="882" t="s">
        <v>725</v>
      </c>
      <c r="D111" s="818" t="s">
        <v>726</v>
      </c>
      <c r="E111" s="895">
        <v>0.2</v>
      </c>
      <c r="F111" s="882">
        <v>30</v>
      </c>
    </row>
    <row r="112" spans="1:6" s="878" customFormat="1" ht="24">
      <c r="A112" s="882">
        <v>52</v>
      </c>
      <c r="B112" s="3266"/>
      <c r="C112" s="882" t="s">
        <v>727</v>
      </c>
      <c r="D112" s="818" t="s">
        <v>728</v>
      </c>
      <c r="E112" s="895">
        <v>0.2</v>
      </c>
      <c r="F112" s="882">
        <v>30</v>
      </c>
    </row>
    <row r="113" spans="1:6" s="878" customFormat="1" ht="24">
      <c r="A113" s="882">
        <v>53</v>
      </c>
      <c r="B113" s="326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6" t="s">
        <v>737</v>
      </c>
      <c r="C116" s="882" t="s">
        <v>738</v>
      </c>
      <c r="D116" s="818" t="s">
        <v>739</v>
      </c>
      <c r="E116" s="895">
        <v>0.2</v>
      </c>
      <c r="F116" s="882">
        <v>30</v>
      </c>
    </row>
    <row r="117" spans="1:6" ht="36">
      <c r="A117" s="882">
        <v>57</v>
      </c>
      <c r="B117" s="326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6" sqref="B6:D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2999</v>
      </c>
    </row>
    <row r="2" spans="1:5" ht="15.75">
      <c r="A2" s="2905" t="s">
        <v>2991</v>
      </c>
      <c r="B2" s="2906" t="e">
        <f ca="1">SUMIF(B6:B13,"&lt;&gt;#ref!",B6:B13)</f>
        <v>#DIV/0!</v>
      </c>
      <c r="C2" s="2905" t="s">
        <v>2992</v>
      </c>
      <c r="D2" s="2905" t="s">
        <v>2993</v>
      </c>
      <c r="E2" s="2906">
        <f ca="1">SUMIF(E6:E13,"&lt;&gt;#ref!",E6:E13)</f>
        <v>0</v>
      </c>
    </row>
    <row r="3" spans="1:5" ht="15.75">
      <c r="A3" s="2905" t="s">
        <v>2994</v>
      </c>
      <c r="B3" s="2906" t="e">
        <f ca="1">ROUND(B2*10000/E2,0)</f>
        <v>#DIV/0!</v>
      </c>
      <c r="C3" s="2905" t="s">
        <v>3000</v>
      </c>
      <c r="D3" s="2907"/>
      <c r="E3" s="2907"/>
    </row>
    <row r="4" spans="1:5" ht="15.75">
      <c r="A4" s="2908"/>
      <c r="B4" s="2907"/>
      <c r="C4" s="2907"/>
      <c r="D4" s="2907"/>
      <c r="E4" s="2907"/>
    </row>
    <row r="5" spans="1:5" ht="28.5">
      <c r="A5" s="2909" t="s">
        <v>2995</v>
      </c>
      <c r="B5" s="2905" t="s">
        <v>2996</v>
      </c>
      <c r="C5" s="2906"/>
      <c r="D5" s="2907"/>
      <c r="E5" s="2905" t="s">
        <v>2997</v>
      </c>
    </row>
    <row r="6" spans="1:5" ht="15.75">
      <c r="A6" s="2910" t="s">
        <v>2998</v>
      </c>
      <c r="B6" s="2906" t="e">
        <f ca="1">SUMIF(INDIRECT("'"&amp;A6&amp;"'"&amp;"!A:A"),"总价",INDIRECT("'"&amp;A6&amp;"'"&amp;"!B:B"))</f>
        <v>#DIV/0!</v>
      </c>
      <c r="C6" s="2905" t="s">
        <v>2992</v>
      </c>
      <c r="D6" s="2907"/>
      <c r="E6" s="2578">
        <f ca="1">SUMIF(INDIRECT("'"&amp;A6&amp;"'"&amp;"!C:C"),"建筑面积",INDIRECT("'"&amp;A6&amp;"'"&amp;"!D:D"))</f>
        <v>0</v>
      </c>
    </row>
    <row r="7" spans="1:5" ht="15.75">
      <c r="A7" s="2910"/>
      <c r="B7" s="2906" t="e">
        <f ca="1">SUMIF(INDIRECT("'"&amp;A7&amp;"'"&amp;"!A:A"),"总价",INDIRECT("'"&amp;A7&amp;"'"&amp;"!B:B"))</f>
        <v>#REF!</v>
      </c>
      <c r="C7" s="2905" t="s">
        <v>2992</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2992</v>
      </c>
      <c r="D8" s="2907"/>
      <c r="E8" s="2578" t="e">
        <f t="shared" ca="1" si="0"/>
        <v>#REF!</v>
      </c>
    </row>
    <row r="9" spans="1:5" ht="15.75">
      <c r="A9" s="2910"/>
      <c r="B9" s="2906" t="e">
        <f t="shared" ca="1" si="1"/>
        <v>#REF!</v>
      </c>
      <c r="C9" s="2905" t="s">
        <v>2992</v>
      </c>
      <c r="D9" s="2907"/>
      <c r="E9" s="2578" t="e">
        <f t="shared" ca="1" si="0"/>
        <v>#REF!</v>
      </c>
    </row>
    <row r="10" spans="1:5" ht="15.75">
      <c r="A10" s="2910"/>
      <c r="B10" s="2906" t="e">
        <f t="shared" ca="1" si="1"/>
        <v>#REF!</v>
      </c>
      <c r="C10" s="2905" t="s">
        <v>2992</v>
      </c>
      <c r="D10" s="2907"/>
      <c r="E10" s="2578" t="e">
        <f t="shared" ca="1" si="0"/>
        <v>#REF!</v>
      </c>
    </row>
    <row r="11" spans="1:5" ht="15.75">
      <c r="A11" s="2910"/>
      <c r="B11" s="2906" t="e">
        <f t="shared" ca="1" si="1"/>
        <v>#REF!</v>
      </c>
      <c r="C11" s="2905" t="s">
        <v>2992</v>
      </c>
      <c r="D11" s="2907"/>
      <c r="E11" s="2578" t="e">
        <f t="shared" ca="1" si="0"/>
        <v>#REF!</v>
      </c>
    </row>
    <row r="12" spans="1:5" ht="15.75">
      <c r="A12" s="2910"/>
      <c r="B12" s="2906" t="e">
        <f t="shared" ca="1" si="1"/>
        <v>#REF!</v>
      </c>
      <c r="C12" s="2905" t="s">
        <v>2992</v>
      </c>
      <c r="D12" s="2907"/>
      <c r="E12" s="2578" t="e">
        <f t="shared" ca="1" si="0"/>
        <v>#REF!</v>
      </c>
    </row>
    <row r="13" spans="1:5" ht="15.75">
      <c r="A13" s="2910"/>
      <c r="B13" s="2906" t="e">
        <f t="shared" ca="1" si="1"/>
        <v>#REF!</v>
      </c>
      <c r="C13" s="2905" t="s">
        <v>2992</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2" t="s">
        <v>1146</v>
      </c>
      <c r="C1" s="3272"/>
      <c r="D1" s="3272"/>
      <c r="E1" s="3272"/>
      <c r="F1" s="3272"/>
      <c r="G1" s="3271" t="s">
        <v>1147</v>
      </c>
      <c r="H1" s="3271"/>
      <c r="I1" s="3271"/>
      <c r="J1" s="3271"/>
      <c r="K1" s="3271"/>
      <c r="L1" s="3271"/>
      <c r="N1" s="3271" t="s">
        <v>1148</v>
      </c>
      <c r="O1" s="3271"/>
      <c r="P1" s="3271"/>
      <c r="Q1" s="3271"/>
      <c r="R1" s="1446"/>
      <c r="S1" s="3271" t="s">
        <v>1149</v>
      </c>
      <c r="T1" s="3271"/>
      <c r="U1" s="3271"/>
      <c r="V1" s="3271"/>
      <c r="X1" s="3270" t="s">
        <v>1150</v>
      </c>
      <c r="Y1" s="3271"/>
      <c r="Z1" s="3271"/>
      <c r="AA1" s="3271"/>
      <c r="AB1" s="3271"/>
      <c r="AD1" s="3270" t="s">
        <v>1151</v>
      </c>
      <c r="AE1" s="3271"/>
      <c r="AF1" s="3271"/>
      <c r="AG1" s="3271"/>
      <c r="AH1" s="3271"/>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1" customFormat="1" ht="14.25">
      <c r="A3" s="2930" t="s">
        <v>3034</v>
      </c>
      <c r="B3" s="2922"/>
      <c r="C3" s="2922"/>
      <c r="D3" s="2923"/>
      <c r="E3" s="2923"/>
      <c r="F3" s="2922"/>
      <c r="G3" s="2924"/>
      <c r="H3" s="2925"/>
      <c r="I3" s="2926">
        <f>ROUND(AVERAGE($I4:$I27),2)</f>
        <v>2.04</v>
      </c>
      <c r="J3" s="2926">
        <f>ROUND(AVERAGE($J4:$J27),2)</f>
        <v>1.44</v>
      </c>
      <c r="K3" s="2926">
        <f>ROUND(AVERAGE($K4:$K27),2)</f>
        <v>2.23</v>
      </c>
      <c r="L3" s="2926">
        <f>ROUND(AVERAGE($L4:$L27),2)</f>
        <v>1.4</v>
      </c>
      <c r="N3" s="2924"/>
      <c r="O3" s="2927"/>
      <c r="P3" s="2927"/>
      <c r="Q3" s="2927"/>
      <c r="R3" s="2927"/>
      <c r="S3" s="2924"/>
      <c r="T3" s="2927"/>
      <c r="U3" s="2927"/>
      <c r="V3" s="2927"/>
      <c r="W3" s="2919"/>
      <c r="X3" s="2928">
        <f>ROUND(SUMPRODUCT(PRODUCT(1+N3:N$26)),4)</f>
        <v>1.5422</v>
      </c>
      <c r="Y3" s="2928">
        <f>ROUND(SUMPRODUCT(PRODUCT(1+O3:O$26)),4)</f>
        <v>1.3557999999999999</v>
      </c>
      <c r="Z3" s="2928">
        <f t="shared" ref="Z3:Z24" si="0">Y3</f>
        <v>1.3557999999999999</v>
      </c>
      <c r="AA3" s="2928">
        <f>ROUND(SUMPRODUCT(PRODUCT(1+P3:P$26)),4)</f>
        <v>1.6036999999999999</v>
      </c>
      <c r="AB3" s="2928">
        <f>ROUND(SUMPRODUCT(PRODUCT(1+Q3:Q$26)),4)</f>
        <v>1.3573</v>
      </c>
      <c r="AD3" s="2929">
        <f>ROUND(AVERAGE(I3:I$27)/100,4)</f>
        <v>2.0400000000000001E-2</v>
      </c>
      <c r="AE3" s="2929">
        <f>ROUND(AVERAGE(J3:J$27)/100,4)</f>
        <v>1.44E-2</v>
      </c>
      <c r="AF3" s="2929">
        <f t="shared" ref="AF3:AF25" si="1">AE3</f>
        <v>1.44E-2</v>
      </c>
      <c r="AG3" s="2929">
        <f>ROUND(AVERAGE(K3:K$27)/100,4)</f>
        <v>2.23E-2</v>
      </c>
      <c r="AH3" s="2929">
        <f>ROUND(AVERAGE(L3:L$27)/100,4)</f>
        <v>1.4E-2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3051</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50">
        <v>2019</v>
      </c>
      <c r="H5" s="1730">
        <v>3</v>
      </c>
      <c r="I5" s="2917">
        <v>0</v>
      </c>
      <c r="J5" s="2917">
        <v>0</v>
      </c>
      <c r="K5" s="2917">
        <v>0</v>
      </c>
      <c r="L5" s="2917">
        <v>0</v>
      </c>
      <c r="N5" s="1467">
        <f>I5/100</f>
        <v>0</v>
      </c>
      <c r="O5" s="1467">
        <f t="shared" ref="O5" si="7">J5/100</f>
        <v>0</v>
      </c>
      <c r="P5" s="1467">
        <f t="shared" ref="P5" si="8">K5/100</f>
        <v>0</v>
      </c>
      <c r="Q5" s="1467">
        <f t="shared" ref="Q5" si="9">L5/100</f>
        <v>0</v>
      </c>
      <c r="R5" s="1732"/>
      <c r="S5" s="1733"/>
      <c r="T5" s="1732"/>
      <c r="U5" s="1732"/>
      <c r="V5" s="1732"/>
      <c r="W5" s="2920" t="s">
        <v>3035</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3050</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50">
        <v>2019</v>
      </c>
      <c r="H6" s="1462">
        <v>2</v>
      </c>
      <c r="I6" s="2954">
        <v>1.53</v>
      </c>
      <c r="J6" s="2954">
        <v>1.01</v>
      </c>
      <c r="K6" s="2954">
        <v>1.62</v>
      </c>
      <c r="L6" s="2955">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3047</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4">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3052</v>
      </c>
      <c r="B8" s="2951">
        <f t="shared" ref="B8" si="35">B9*(1+N8)</f>
        <v>464.37293017158942</v>
      </c>
      <c r="C8" s="2951">
        <f t="shared" ref="C8" si="36">C9*(1+O8)</f>
        <v>344.73679941385956</v>
      </c>
      <c r="D8" s="2951">
        <f t="shared" ref="D8" si="37">C8</f>
        <v>344.73679941385956</v>
      </c>
      <c r="E8" s="2951">
        <f t="shared" ref="E8" si="38">E9*(1+P8)</f>
        <v>663.2377795103107</v>
      </c>
      <c r="F8" s="2952">
        <f t="shared" ref="F8" si="39">F9*(1+Q8)</f>
        <v>304.75936311478398</v>
      </c>
      <c r="G8" s="3268">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3041</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68"/>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3040</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68"/>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3033</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77"/>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3030</v>
      </c>
      <c r="B12" s="1469">
        <v>439</v>
      </c>
      <c r="C12" s="1469">
        <v>327</v>
      </c>
      <c r="D12" s="1469">
        <f>C12</f>
        <v>327</v>
      </c>
      <c r="E12" s="1469">
        <v>627</v>
      </c>
      <c r="F12" s="1470">
        <v>283</v>
      </c>
      <c r="G12" s="3273">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3031</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68"/>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68"/>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77"/>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73">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68"/>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68"/>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69"/>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67">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68"/>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68"/>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69"/>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67">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68"/>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68"/>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69"/>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74">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75"/>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75"/>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76"/>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67">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68"/>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68"/>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69"/>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67">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68">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68">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69">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67">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68">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68">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69">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67">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68">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68">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69">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67">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68">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68">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69">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67">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68">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68">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69">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67">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68">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68">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69">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67">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68">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68">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69">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67">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68">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68">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69">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67">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68">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68">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69">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67">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68">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68">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69">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D6"/>
      <selection pane="bottomLeft" activeCell="B6" sqref="B6:D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79" t="s">
        <v>3002</v>
      </c>
      <c r="D1" s="3280"/>
      <c r="E1" s="3280"/>
      <c r="F1" s="3280"/>
      <c r="G1" s="3280"/>
      <c r="H1" s="3280"/>
      <c r="I1" s="3280"/>
      <c r="J1" s="3280"/>
      <c r="K1" s="3280"/>
      <c r="L1" s="3280"/>
      <c r="M1" s="3280"/>
      <c r="N1" s="3280"/>
      <c r="O1" s="3280"/>
      <c r="P1" s="3280"/>
      <c r="Q1" s="3280"/>
      <c r="R1" s="3280"/>
      <c r="S1" s="3281"/>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3011</v>
      </c>
      <c r="B17" s="2912"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14" t="s">
        <v>3015</v>
      </c>
      <c r="E20" s="1793"/>
      <c r="F20" s="1204" t="e">
        <f ca="1">SUMIF(INDIRECT("'"&amp;H20&amp;"'"&amp;"!A:A"),"承租人权益价值",INDIRECT("'"&amp;H20&amp;"'"&amp;"!c:c"))</f>
        <v>#REF!</v>
      </c>
      <c r="G20" s="1204" t="s">
        <v>3016</v>
      </c>
      <c r="H20" s="2915"/>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38" t="s">
        <v>33</v>
      </c>
      <c r="D22" s="3139"/>
      <c r="E22" s="3139"/>
      <c r="F22" s="3139"/>
      <c r="G22" s="3139"/>
      <c r="H22" s="3139"/>
      <c r="I22" s="3139"/>
      <c r="J22" s="3139"/>
      <c r="K22" s="3139"/>
      <c r="L22" s="3139"/>
      <c r="M22" s="3139"/>
      <c r="N22" s="3139"/>
      <c r="O22" s="3139"/>
      <c r="P22" s="3139"/>
      <c r="Q22" s="3278"/>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2"/>
      <c r="C2" s="2962"/>
      <c r="D2" s="2962"/>
      <c r="E2" s="2962"/>
    </row>
    <row r="3" spans="1:5" ht="18">
      <c r="A3" s="2963" t="str">
        <f>IF(项目基本情况!B9="房地产市场价值","估价结果一览表（市场价值不需“结果表-1”）","估价结果一览表")</f>
        <v>估价结果一览表</v>
      </c>
      <c r="B3" s="2963"/>
      <c r="C3" s="2963"/>
      <c r="D3" s="2963"/>
      <c r="E3" s="2963"/>
    </row>
    <row r="4" spans="1:5" ht="19.5" thickBot="1">
      <c r="A4" s="1960"/>
      <c r="B4" s="2961" t="s">
        <v>1625</v>
      </c>
      <c r="C4" s="2961"/>
      <c r="D4" s="2961"/>
      <c r="E4" s="1960"/>
    </row>
    <row r="5" spans="1:5" ht="16.5" thickTop="1">
      <c r="A5" s="1958"/>
      <c r="B5" s="2959" t="s">
        <v>1617</v>
      </c>
      <c r="C5" s="1961" t="s">
        <v>1618</v>
      </c>
      <c r="D5" s="1040">
        <f ca="1">结果表!H101</f>
        <v>1355</v>
      </c>
      <c r="E5" s="1958"/>
    </row>
    <row r="6" spans="1:5" ht="15.75">
      <c r="A6" s="1958"/>
      <c r="B6" s="2959"/>
      <c r="C6" s="1961" t="s">
        <v>1619</v>
      </c>
      <c r="D6" s="1040" t="str">
        <f ca="1">NUMBERSTRING(INT(D5*10000),2)&amp;"元整"</f>
        <v>壹仟叁佰伍拾伍万元整</v>
      </c>
      <c r="E6" s="1958"/>
    </row>
    <row r="7" spans="1:5" ht="15.75">
      <c r="A7" s="1958"/>
      <c r="B7" s="2964"/>
      <c r="C7" s="1962" t="s">
        <v>1620</v>
      </c>
      <c r="D7" s="1041">
        <f ca="1">结果表!H102</f>
        <v>7864</v>
      </c>
      <c r="E7" s="1958"/>
    </row>
    <row r="8" spans="1:5" ht="15.75">
      <c r="A8" s="1958"/>
      <c r="B8" s="2965" t="str">
        <f>结果表!E103</f>
        <v>2.估价师知悉的法定优先受偿款</v>
      </c>
      <c r="C8" s="1963" t="s">
        <v>1621</v>
      </c>
      <c r="D8" s="1041">
        <f>结果表!H103</f>
        <v>0</v>
      </c>
      <c r="E8" s="1958"/>
    </row>
    <row r="9" spans="1:5" ht="15.75">
      <c r="A9" s="1958"/>
      <c r="B9" s="2967"/>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58" t="str">
        <f>结果表!E107</f>
        <v>3.房地产抵押价值</v>
      </c>
      <c r="C13" s="1966" t="s">
        <v>1618</v>
      </c>
      <c r="D13" s="1043">
        <f ca="1">结果表!H107</f>
        <v>1355</v>
      </c>
      <c r="E13" s="1958"/>
    </row>
    <row r="14" spans="1:5" ht="15.75">
      <c r="A14" s="1958"/>
      <c r="B14" s="2959"/>
      <c r="C14" s="1961" t="s">
        <v>1619</v>
      </c>
      <c r="D14" s="1040" t="str">
        <f ca="1">NUMBERSTRING(INT(D13*10000),2)&amp;"元整"</f>
        <v>壹仟叁佰伍拾伍万元整</v>
      </c>
      <c r="E14" s="1958"/>
    </row>
    <row r="15" spans="1:5" ht="15">
      <c r="A15" s="1958"/>
      <c r="B15" s="2964"/>
      <c r="C15" s="1962" t="s">
        <v>1629</v>
      </c>
      <c r="D15" s="1052">
        <f ca="1">结果表!H108</f>
        <v>7864</v>
      </c>
      <c r="E15" s="1958"/>
    </row>
    <row r="16" spans="1:5" ht="15">
      <c r="A16" s="1958"/>
      <c r="B16" s="2965" t="str">
        <f>结果表!E109</f>
        <v>——</v>
      </c>
      <c r="C16" s="1966" t="s">
        <v>1630</v>
      </c>
      <c r="D16" s="1967" t="str">
        <f>结果表!H109</f>
        <v>——</v>
      </c>
      <c r="E16" s="1958"/>
    </row>
    <row r="17" spans="1:5" ht="15.75">
      <c r="A17" s="1958"/>
      <c r="B17" s="2966"/>
      <c r="C17" s="1961" t="s">
        <v>1631</v>
      </c>
      <c r="D17" s="1040" t="e">
        <f>NUMBERSTRING(INT(D16*10000),2)&amp;"元整"</f>
        <v>#VALUE!</v>
      </c>
      <c r="E17" s="1958"/>
    </row>
    <row r="18" spans="1:5" ht="15">
      <c r="A18" s="1958"/>
      <c r="B18" s="2967"/>
      <c r="C18" s="1962" t="s">
        <v>1620</v>
      </c>
      <c r="D18" s="1052" t="str">
        <f>结果表!H110</f>
        <v>——</v>
      </c>
      <c r="E18" s="1958"/>
    </row>
    <row r="19" spans="1:5" ht="15.75">
      <c r="A19" s="1958"/>
      <c r="B19" s="2958" t="str">
        <f>结果表!E111</f>
        <v>——</v>
      </c>
      <c r="C19" s="1966" t="s">
        <v>1618</v>
      </c>
      <c r="D19" s="1041" t="str">
        <f>结果表!H111</f>
        <v>——</v>
      </c>
      <c r="E19" s="1958"/>
    </row>
    <row r="20" spans="1:5" ht="15.75">
      <c r="A20" s="1958"/>
      <c r="B20" s="2959"/>
      <c r="C20" s="1961" t="s">
        <v>1631</v>
      </c>
      <c r="D20" s="1040" t="e">
        <f>NUMBERSTRING(INT(D19*10000),2)&amp;"元整"</f>
        <v>#VALUE!</v>
      </c>
      <c r="E20" s="1958"/>
    </row>
    <row r="21" spans="1:5" ht="15.75" thickBot="1">
      <c r="A21" s="1958"/>
      <c r="B21" s="2960"/>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25469</v>
      </c>
      <c r="C2" s="2" t="s">
        <v>133</v>
      </c>
      <c r="D2" s="243"/>
      <c r="E2" s="243"/>
      <c r="F2" s="243"/>
      <c r="G2" s="243"/>
    </row>
    <row r="3" spans="1:7" s="244" customFormat="1" ht="18" customHeight="1" thickBot="1">
      <c r="A3" s="247" t="s">
        <v>85</v>
      </c>
      <c r="B3" s="248">
        <f ca="1">ROUND(B2*10000/'数据-汇总表'!E3,0)</f>
        <v>147808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34</v>
      </c>
      <c r="D10" s="1032">
        <f>'数据-汇总表'!E6</f>
        <v>1723.11</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34</v>
      </c>
      <c r="D19" s="1036">
        <f>'数据-汇总表'!E3</f>
        <v>1723.11</v>
      </c>
      <c r="E19" s="255">
        <f>'数据-取费表'!B31</f>
        <v>200</v>
      </c>
      <c r="F19" s="275"/>
      <c r="G19" s="1" t="s">
        <v>1071</v>
      </c>
    </row>
    <row r="20" spans="1:7" s="258" customFormat="1" ht="13.5" customHeight="1">
      <c r="A20" s="948" t="s">
        <v>1054</v>
      </c>
      <c r="B20" s="254" t="s">
        <v>104</v>
      </c>
      <c r="C20" s="276">
        <f>ROUND((C5+C19)*F20,0)</f>
        <v>206</v>
      </c>
      <c r="D20" s="276"/>
      <c r="E20" s="276"/>
      <c r="F20" s="277">
        <f>'数据-取费表'!B37</f>
        <v>0.01</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1495</v>
      </c>
      <c r="D22" s="279">
        <f ca="1">C26</f>
        <v>4.0000000000000002E-4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1055</v>
      </c>
      <c r="C25" s="1355">
        <f ca="1">ROUND(IF('数据-取费表'!B22&lt;=1,C20*F22*'数据-取费表'!B23/2,C20*(POWER((1+F22),'数据-取费表'!B23/2)-1)),0)</f>
        <v>7</v>
      </c>
      <c r="D25" s="282"/>
      <c r="E25" s="285"/>
      <c r="F25" s="283"/>
      <c r="G25" s="286" t="s">
        <v>110</v>
      </c>
    </row>
    <row r="26" spans="1:7" s="258" customFormat="1">
      <c r="A26" s="951" t="s">
        <v>795</v>
      </c>
      <c r="B26" s="259" t="s">
        <v>1057</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1043</v>
      </c>
      <c r="D27" s="279">
        <f>C29</f>
        <v>5.0000000000000001E-4</v>
      </c>
      <c r="E27" s="280" t="s">
        <v>126</v>
      </c>
      <c r="F27" s="290">
        <f>'数据-取费表'!Q16</f>
        <v>0.05</v>
      </c>
      <c r="G27" s="291" t="s">
        <v>1066</v>
      </c>
    </row>
    <row r="28" spans="1:7" s="258" customFormat="1" ht="13.5" customHeight="1">
      <c r="A28" s="951" t="s">
        <v>794</v>
      </c>
      <c r="B28" s="292" t="s">
        <v>1059</v>
      </c>
      <c r="C28" s="293">
        <f>ROUND((C5+C19+C20)*F27*'数据-取费表'!B21/'数据-取费表'!B20,0)</f>
        <v>1043</v>
      </c>
      <c r="D28" s="279"/>
      <c r="E28" s="280"/>
      <c r="F28" s="290"/>
      <c r="G28" s="291"/>
    </row>
    <row r="29" spans="1:7" s="258" customFormat="1" ht="13.5" customHeight="1">
      <c r="A29" s="951" t="s">
        <v>792</v>
      </c>
      <c r="B29" s="292" t="s">
        <v>1060</v>
      </c>
      <c r="C29" s="282">
        <f>ROUND(C21*F27*'数据-取费表'!B21/'数据-取费表'!B20,4)</f>
        <v>5.0000000000000001E-4</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24968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450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431</v>
      </c>
      <c r="D34" s="261"/>
      <c r="E34" s="264"/>
      <c r="F34" s="301">
        <f>IF('数据-取费表'!B24=0,1,'数据-取费表'!N16)</f>
        <v>1</v>
      </c>
      <c r="G34" s="263" t="s">
        <v>116</v>
      </c>
    </row>
    <row r="35" spans="1:7" ht="13.5" customHeight="1">
      <c r="A35" s="951" t="s">
        <v>796</v>
      </c>
      <c r="B35" s="259" t="s">
        <v>60</v>
      </c>
      <c r="C35" s="264">
        <f>ROUND(C34*F35,0)</f>
        <v>13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0</v>
      </c>
      <c r="D37" s="261">
        <f>'数据-汇总表'!E3</f>
        <v>1723.11</v>
      </c>
      <c r="E37" s="293">
        <f>'数据-取费表'!B35</f>
        <v>0</v>
      </c>
      <c r="F37" s="303"/>
      <c r="G37" s="305" t="s">
        <v>119</v>
      </c>
    </row>
    <row r="38" spans="1:7" ht="13.5" customHeight="1">
      <c r="A38" s="951" t="s">
        <v>799</v>
      </c>
      <c r="B38" s="259" t="s">
        <v>63</v>
      </c>
      <c r="C38" s="264">
        <f>ROUND(C34*F38,0)</f>
        <v>6</v>
      </c>
      <c r="D38" s="264"/>
      <c r="E38" s="264"/>
      <c r="F38" s="303">
        <f>'数据-取费表'!B36</f>
        <v>1.4999999999999999E-2</v>
      </c>
      <c r="G38" s="263" t="s">
        <v>117</v>
      </c>
    </row>
    <row r="39" spans="1:7" s="258" customFormat="1" ht="13.5" customHeight="1">
      <c r="A39" s="948" t="s">
        <v>783</v>
      </c>
      <c r="B39" s="254" t="s">
        <v>104</v>
      </c>
      <c r="C39" s="276">
        <f>ROUND(C33*F20,0)</f>
        <v>5</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16</v>
      </c>
      <c r="D41" s="279">
        <f ca="1">C44</f>
        <v>4.0000000000000002E-4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16</v>
      </c>
      <c r="D42" s="282"/>
      <c r="E42" s="282"/>
      <c r="F42" s="283"/>
      <c r="G42" s="3143" t="s">
        <v>121</v>
      </c>
    </row>
    <row r="43" spans="1:7" ht="13.5" customHeight="1">
      <c r="A43" s="951" t="s">
        <v>792</v>
      </c>
      <c r="B43" s="259" t="s">
        <v>1061</v>
      </c>
      <c r="C43" s="282">
        <f ca="1">ROUND(IF('数据-取费表'!B22&lt;=1,C39*F22*'数据-取费表'!B21/2,C39*(POWER((1+F22),'数据-取费表'!B21/2)-1)),0)</f>
        <v>0</v>
      </c>
      <c r="D43" s="282"/>
      <c r="E43" s="282"/>
      <c r="F43" s="283"/>
      <c r="G43" s="3144"/>
    </row>
    <row r="44" spans="1:7" ht="13.5" customHeight="1">
      <c r="A44" s="951" t="s">
        <v>793</v>
      </c>
      <c r="B44" s="259" t="s">
        <v>1063</v>
      </c>
      <c r="C44" s="282">
        <f ca="1">ROUND(IF('数据-取费表'!B22&lt;=1,C40*F22*'数据-取费表'!B21/2,C40*(POWER((1+F22),'数据-取费表'!B21/2)-1)),4)</f>
        <v>4.0000000000000002E-4</v>
      </c>
      <c r="D44" s="282"/>
      <c r="E44" s="282"/>
      <c r="F44" s="283"/>
      <c r="G44" s="3145"/>
    </row>
    <row r="45" spans="1:7" s="258" customFormat="1" ht="13.5" customHeight="1">
      <c r="A45" s="948" t="s">
        <v>786</v>
      </c>
      <c r="B45" s="288" t="s">
        <v>112</v>
      </c>
      <c r="C45" s="289">
        <f>C46</f>
        <v>23</v>
      </c>
      <c r="D45" s="279">
        <f>C47</f>
        <v>5.0000000000000001E-4</v>
      </c>
      <c r="E45" s="280" t="s">
        <v>129</v>
      </c>
      <c r="F45" s="290"/>
      <c r="G45" s="291" t="s">
        <v>1069</v>
      </c>
    </row>
    <row r="46" spans="1:7" s="258" customFormat="1" ht="13.5" customHeight="1">
      <c r="A46" s="951" t="s">
        <v>794</v>
      </c>
      <c r="B46" s="292" t="s">
        <v>1062</v>
      </c>
      <c r="C46" s="293">
        <f>ROUND((C33+C39)*F27,0)</f>
        <v>23</v>
      </c>
      <c r="D46" s="307"/>
      <c r="E46" s="280"/>
      <c r="F46" s="290"/>
      <c r="G46" s="291"/>
    </row>
    <row r="47" spans="1:7" s="258" customFormat="1" ht="13.5" customHeight="1">
      <c r="A47" s="951" t="s">
        <v>792</v>
      </c>
      <c r="B47" s="292" t="s">
        <v>1064</v>
      </c>
      <c r="C47" s="282">
        <f>ROUND(C40*F27,4)</f>
        <v>5.0000000000000001E-4</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527</v>
      </c>
      <c r="D49" s="276"/>
      <c r="E49" s="276"/>
      <c r="F49" s="308"/>
      <c r="G49" s="278" t="s">
        <v>1070</v>
      </c>
    </row>
    <row r="50" spans="1:7" s="302" customFormat="1" ht="24">
      <c r="A50" s="948" t="s">
        <v>789</v>
      </c>
      <c r="B50" s="254" t="s">
        <v>124</v>
      </c>
      <c r="C50" s="276"/>
      <c r="D50" s="276"/>
      <c r="E50" s="276"/>
      <c r="F50" s="308">
        <f>IF('数据-取费表'!B24=0,'数据-取费表'!N16,1)</f>
        <v>0.95</v>
      </c>
      <c r="G50" s="291" t="s">
        <v>125</v>
      </c>
    </row>
    <row r="51" spans="1:7" ht="16.5" customHeight="1">
      <c r="A51" s="948" t="s">
        <v>790</v>
      </c>
      <c r="B51" s="254" t="s">
        <v>132</v>
      </c>
      <c r="C51" s="276">
        <f ca="1">ROUND(C49*F50,0)</f>
        <v>501</v>
      </c>
      <c r="D51" s="276"/>
      <c r="E51" s="276"/>
      <c r="F51" s="308"/>
      <c r="G51" s="278" t="s">
        <v>64</v>
      </c>
    </row>
    <row r="52" spans="1:7" s="252" customFormat="1" ht="16.5" thickBot="1">
      <c r="A52" s="309" t="s">
        <v>65</v>
      </c>
      <c r="B52" s="310"/>
      <c r="C52" s="311">
        <f ca="1">C31+C51</f>
        <v>25469</v>
      </c>
      <c r="D52" s="310"/>
      <c r="E52" s="310"/>
      <c r="F52" s="310"/>
      <c r="G52" s="312"/>
    </row>
    <row r="55" spans="1:7" ht="15">
      <c r="B55" s="314" t="s">
        <v>66</v>
      </c>
      <c r="C55" s="315"/>
    </row>
    <row r="56" spans="1:7">
      <c r="B56" s="317" t="s">
        <v>67</v>
      </c>
      <c r="C56" s="318">
        <f ca="1">ROUND(C51/C52,3)</f>
        <v>0.02</v>
      </c>
    </row>
    <row r="57" spans="1:7">
      <c r="B57" s="317" t="s">
        <v>68</v>
      </c>
      <c r="C57" s="319">
        <f ca="1">1-C56</f>
        <v>0.98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2" t="s">
        <v>156</v>
      </c>
      <c r="B1" s="3282"/>
      <c r="C1" s="3282"/>
      <c r="D1" s="3282"/>
      <c r="E1" s="3282"/>
      <c r="F1" s="328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3" t="s">
        <v>169</v>
      </c>
      <c r="B2" s="3283"/>
      <c r="C2" s="3283"/>
      <c r="D2" s="3283"/>
      <c r="E2" s="3283"/>
      <c r="F2" s="328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2" t="s">
        <v>868</v>
      </c>
      <c r="B1" s="3282"/>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43728</v>
      </c>
      <c r="D1" s="1700" t="s">
        <v>1297</v>
      </c>
      <c r="E1" s="1695">
        <f>'数据-取费表'!B22</f>
        <v>1.5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V42" sqref="V42"/>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1636</v>
      </c>
      <c r="B2" s="2978" t="s">
        <v>1637</v>
      </c>
      <c r="C2" s="2978" t="s">
        <v>1638</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
      <c r="A3" s="2972"/>
      <c r="B3" s="2972"/>
      <c r="C3" s="2972"/>
      <c r="D3" s="1044" t="s">
        <v>1633</v>
      </c>
      <c r="E3" s="1044" t="s">
        <v>1639</v>
      </c>
      <c r="F3" s="1044" t="s">
        <v>1633</v>
      </c>
      <c r="G3" s="1044" t="s">
        <v>1634</v>
      </c>
      <c r="H3" s="1044" t="s">
        <v>1633</v>
      </c>
      <c r="I3" s="1044" t="s">
        <v>1634</v>
      </c>
    </row>
    <row r="4" spans="1:9" ht="30">
      <c r="A4" s="1972" t="str">
        <f>项目基本情况!S2</f>
        <v>北京市出让国有建设用地使用权及在建建筑物房地产</v>
      </c>
      <c r="B4" s="1044">
        <f>项目基本情况!C17</f>
        <v>1723.11</v>
      </c>
      <c r="C4" s="1044">
        <f>项目基本情况!C18</f>
        <v>0</v>
      </c>
      <c r="D4" s="1044" t="e">
        <f ca="1">结果表!D118</f>
        <v>#REF!</v>
      </c>
      <c r="E4" s="1044" t="e">
        <f ca="1">结果表!E118</f>
        <v>#REF!</v>
      </c>
      <c r="F4" s="1044" t="e">
        <f ca="1">结果表!F118</f>
        <v>#REF!</v>
      </c>
      <c r="G4" s="1044" t="e">
        <f ca="1">结果表!G118</f>
        <v>#REF!</v>
      </c>
      <c r="H4" s="1044">
        <f ca="1">结果表!H118</f>
        <v>1355</v>
      </c>
      <c r="I4" s="1044">
        <f ca="1">结果表!I118</f>
        <v>7864</v>
      </c>
    </row>
    <row r="5" spans="1:9" ht="30" customHeight="1">
      <c r="A5" s="2972" t="s">
        <v>1635</v>
      </c>
      <c r="B5" s="2972"/>
      <c r="C5" s="2972"/>
      <c r="D5" s="2973" t="e">
        <f ca="1">结果表!D119</f>
        <v>#REF!</v>
      </c>
      <c r="E5" s="2973"/>
      <c r="F5" s="2973" t="e">
        <f ca="1">结果表!F119</f>
        <v>#REF!</v>
      </c>
      <c r="G5" s="2973"/>
      <c r="H5" s="2973" t="str">
        <f ca="1">结果表!H119</f>
        <v>壹仟叁佰伍拾伍万元整</v>
      </c>
      <c r="I5" s="2973"/>
    </row>
    <row r="6" spans="1:9" ht="15.75">
      <c r="A6" s="2971" t="str">
        <f>结果表!A120</f>
        <v>估价师知悉的法定优先受偿款</v>
      </c>
      <c r="B6" s="2971"/>
      <c r="C6" s="2971"/>
      <c r="D6" s="2971">
        <f>结果表!D120</f>
        <v>0</v>
      </c>
      <c r="E6" s="2971"/>
      <c r="F6" s="2971"/>
      <c r="G6" s="2971"/>
      <c r="H6" s="2971"/>
      <c r="I6" s="2971"/>
    </row>
    <row r="7" spans="1:9" ht="15">
      <c r="A7" s="2972" t="s">
        <v>1635</v>
      </c>
      <c r="B7" s="2972"/>
      <c r="C7" s="2972"/>
      <c r="D7" s="2974" t="str">
        <f>结果表!D121</f>
        <v>零元整</v>
      </c>
      <c r="E7" s="2975"/>
      <c r="F7" s="2975"/>
      <c r="G7" s="2975"/>
      <c r="H7" s="2975"/>
      <c r="I7" s="2976"/>
    </row>
    <row r="8" spans="1:9" ht="15.75">
      <c r="A8" s="2971" t="str">
        <f>结果表!A122</f>
        <v>房地产抵押价值</v>
      </c>
      <c r="B8" s="2971"/>
      <c r="C8" s="2971"/>
      <c r="D8" s="2971">
        <f ca="1">结果表!D122</f>
        <v>1355</v>
      </c>
      <c r="E8" s="2971"/>
      <c r="F8" s="2971"/>
      <c r="G8" s="2971"/>
      <c r="H8" s="2971"/>
      <c r="I8" s="2971"/>
    </row>
    <row r="9" spans="1:9" ht="15">
      <c r="A9" s="2972" t="s">
        <v>1635</v>
      </c>
      <c r="B9" s="2972"/>
      <c r="C9" s="2972"/>
      <c r="D9" s="2973" t="str">
        <f ca="1">结果表!D123</f>
        <v>壹仟叁佰伍拾伍万元整</v>
      </c>
      <c r="E9" s="2973"/>
      <c r="F9" s="2973"/>
      <c r="G9" s="2973"/>
      <c r="H9" s="2973"/>
      <c r="I9" s="2973"/>
    </row>
    <row r="10" spans="1:9" ht="15.75">
      <c r="A10" s="2971" t="str">
        <f>结果表!A124</f>
        <v/>
      </c>
      <c r="B10" s="2971"/>
      <c r="C10" s="2971"/>
      <c r="D10" s="2971" t="str">
        <f>结果表!D124</f>
        <v>——</v>
      </c>
      <c r="E10" s="2971"/>
      <c r="F10" s="2971"/>
      <c r="G10" s="2971"/>
      <c r="H10" s="2971"/>
      <c r="I10" s="2971"/>
    </row>
    <row r="11" spans="1:9" ht="15">
      <c r="A11" s="2972" t="s">
        <v>1635</v>
      </c>
      <c r="B11" s="2972"/>
      <c r="C11" s="2972"/>
      <c r="D11" s="2973" t="e">
        <f>结果表!D125</f>
        <v>#VALUE!</v>
      </c>
      <c r="E11" s="2973"/>
      <c r="F11" s="2973"/>
      <c r="G11" s="2973"/>
      <c r="H11" s="2973"/>
      <c r="I11" s="2973"/>
    </row>
    <row r="12" spans="1:9" ht="15.75">
      <c r="A12" s="2971" t="str">
        <f>结果表!A126</f>
        <v/>
      </c>
      <c r="B12" s="2971"/>
      <c r="C12" s="2971"/>
      <c r="D12" s="2971" t="str">
        <f>结果表!D126</f>
        <v>——</v>
      </c>
      <c r="E12" s="2971"/>
      <c r="F12" s="2971"/>
      <c r="G12" s="2971"/>
      <c r="H12" s="2971"/>
      <c r="I12" s="2971"/>
    </row>
    <row r="13" spans="1:9" ht="15.75" thickBot="1">
      <c r="A13" s="2968" t="s">
        <v>1635</v>
      </c>
      <c r="B13" s="2968"/>
      <c r="C13" s="2968"/>
      <c r="D13" s="2969" t="e">
        <f>结果表!D127</f>
        <v>#VALUE!</v>
      </c>
      <c r="E13" s="2969"/>
      <c r="F13" s="2969"/>
      <c r="G13" s="2969"/>
      <c r="H13" s="2969"/>
      <c r="I13" s="2969"/>
    </row>
    <row r="14" spans="1:9" ht="15" thickTop="1">
      <c r="A14" s="2970" t="s">
        <v>1640</v>
      </c>
      <c r="B14" s="2970"/>
      <c r="C14" s="2970"/>
      <c r="D14" s="2970"/>
      <c r="E14" s="2970"/>
      <c r="F14" s="2970"/>
      <c r="G14" s="2970"/>
      <c r="H14" s="2970"/>
      <c r="I14" s="2970"/>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5" t="s">
        <v>1657</v>
      </c>
      <c r="B1" s="2985"/>
      <c r="C1" s="2985"/>
      <c r="D1" s="2985"/>
    </row>
    <row r="2" spans="1:4" ht="18">
      <c r="A2" s="2986" t="s">
        <v>1641</v>
      </c>
      <c r="B2" s="2986"/>
      <c r="C2" s="2986"/>
      <c r="D2" s="2986"/>
    </row>
    <row r="3" spans="1:4" ht="18.75">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8">
      <c r="A6" s="2986" t="s">
        <v>1647</v>
      </c>
      <c r="B6" s="2986"/>
      <c r="C6" s="2986"/>
      <c r="D6" s="2986"/>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7" t="s">
        <v>1650</v>
      </c>
      <c r="B11" s="2979"/>
      <c r="C11" s="2979"/>
      <c r="D11" s="2979"/>
    </row>
    <row r="12" spans="1:4" ht="15.7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79" t="str">
        <f>IF(项目基本情况!B8="抵押","4.本次评估估价师所知悉的法定优先受偿款情况说明如下：","——")</f>
        <v>4.本次评估估价师所知悉的法定优先受偿款情况说明如下：</v>
      </c>
      <c r="B14" s="2984"/>
      <c r="C14" s="2984"/>
      <c r="D14" s="2984"/>
    </row>
    <row r="15" spans="1:4" ht="42" customHeight="1">
      <c r="A15" s="2979"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9"/>
      <c r="C15" s="2979"/>
      <c r="D15" s="2979"/>
    </row>
    <row r="16" spans="1:4" ht="30" customHeight="1">
      <c r="A16" s="2981" t="s">
        <v>1651</v>
      </c>
      <c r="B16" s="2981"/>
      <c r="C16" s="2981"/>
      <c r="D16" s="2981"/>
    </row>
    <row r="17" spans="1:4" ht="144" customHeight="1">
      <c r="A17" s="2981" t="s">
        <v>1652</v>
      </c>
      <c r="B17" s="2981"/>
      <c r="C17" s="2981"/>
      <c r="D17" s="2981"/>
    </row>
    <row r="18" spans="1:4" ht="15.75" customHeight="1">
      <c r="A18" s="2979" t="str">
        <f>IF(项目基本情况!B8="抵押",结果表!K120,"——")</f>
        <v>故，本次评估不存在估价师知悉的法定优先受偿款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9"/>
      <c r="C20" s="2979"/>
      <c r="D20" s="2979"/>
    </row>
    <row r="21" spans="1:4" ht="57.75" customHeight="1">
      <c r="A21" s="29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2"/>
      <c r="C21" s="2982"/>
      <c r="D21" s="2982"/>
    </row>
    <row r="22" spans="1:4" ht="18.75" customHeight="1">
      <c r="A22" s="2983" t="s">
        <v>1653</v>
      </c>
      <c r="B22" s="2983"/>
      <c r="C22" s="2983"/>
      <c r="D22" s="2983"/>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0">
        <v>42551</v>
      </c>
      <c r="D31" s="29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3" t="s">
        <v>1664</v>
      </c>
      <c r="B15" s="2988" t="s">
        <v>136</v>
      </c>
      <c r="C15" s="2989"/>
    </row>
    <row r="16" spans="1:7" ht="13.5">
      <c r="A16" s="2994"/>
      <c r="B16" s="2988" t="s">
        <v>69</v>
      </c>
      <c r="C16" s="2989"/>
    </row>
    <row r="17" spans="1:3" ht="13.5">
      <c r="A17" s="2994"/>
      <c r="B17" s="2991" t="s">
        <v>1665</v>
      </c>
      <c r="C17" s="1999" t="s">
        <v>1664</v>
      </c>
    </row>
    <row r="18" spans="1:3" ht="13.5">
      <c r="A18" s="2994"/>
      <c r="B18" s="2991"/>
      <c r="C18" s="1999" t="s">
        <v>1666</v>
      </c>
    </row>
    <row r="19" spans="1:3" ht="13.5">
      <c r="A19" s="2994"/>
      <c r="B19" s="2991"/>
      <c r="C19" s="1999" t="s">
        <v>1667</v>
      </c>
    </row>
    <row r="20" spans="1:3" ht="13.5">
      <c r="A20" s="2995"/>
      <c r="B20" s="2990" t="s">
        <v>1668</v>
      </c>
      <c r="C20" s="2989"/>
    </row>
    <row r="21" spans="1:3" ht="13.5">
      <c r="A21" s="2000" t="s">
        <v>1669</v>
      </c>
      <c r="B21" s="2001"/>
      <c r="C21" s="2002"/>
    </row>
    <row r="22" spans="1:3" ht="13.5">
      <c r="A22" s="2992" t="s">
        <v>1670</v>
      </c>
      <c r="B22" s="2990" t="s">
        <v>1671</v>
      </c>
      <c r="C22" s="2989"/>
    </row>
    <row r="23" spans="1:3" ht="13.5">
      <c r="A23" s="2992"/>
      <c r="B23" s="2990" t="s">
        <v>1672</v>
      </c>
      <c r="C23" s="2989"/>
    </row>
    <row r="24" spans="1:3" ht="13.5">
      <c r="A24" s="2992"/>
      <c r="B24" s="2990" t="s">
        <v>1673</v>
      </c>
      <c r="C24" s="2989"/>
    </row>
    <row r="25" spans="1:3" ht="13.5">
      <c r="A25" s="2992"/>
      <c r="B25" s="2991" t="s">
        <v>1674</v>
      </c>
      <c r="C25" s="1999" t="s">
        <v>1675</v>
      </c>
    </row>
    <row r="26" spans="1:3" ht="13.5">
      <c r="A26" s="2992"/>
      <c r="B26" s="2991"/>
      <c r="C26" s="1999" t="s">
        <v>1676</v>
      </c>
    </row>
    <row r="27" spans="1:3" ht="13.5">
      <c r="A27" s="2992"/>
      <c r="B27" s="2991"/>
      <c r="C27" s="1999" t="s">
        <v>1677</v>
      </c>
    </row>
    <row r="28" spans="1:3" ht="13.5">
      <c r="A28" s="2992"/>
      <c r="B28" s="2991"/>
      <c r="C28" s="1999" t="s">
        <v>1678</v>
      </c>
    </row>
    <row r="29" spans="1:3" ht="13.5">
      <c r="A29" s="2992"/>
      <c r="B29" s="2991"/>
      <c r="C29" s="1999" t="s">
        <v>1679</v>
      </c>
    </row>
    <row r="30" spans="1:3" ht="13.5">
      <c r="A30" s="2992"/>
      <c r="B30" s="2991"/>
      <c r="C30" s="1999" t="s">
        <v>1680</v>
      </c>
    </row>
    <row r="31" spans="1:3" ht="13.5">
      <c r="A31" s="2992"/>
      <c r="B31" s="2991"/>
      <c r="C31" s="1999" t="s">
        <v>1681</v>
      </c>
    </row>
    <row r="32" spans="1:3" ht="13.5">
      <c r="A32" s="2992"/>
      <c r="B32" s="2991"/>
      <c r="C32" s="1999" t="s">
        <v>1682</v>
      </c>
    </row>
    <row r="33" spans="1:3" ht="13.5">
      <c r="A33" s="2992"/>
      <c r="B33" s="2991"/>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43728</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3042</v>
      </c>
      <c r="B14" s="1022">
        <f ca="1">IF(C14&lt;B2,"已过期",1120040230)</f>
        <v>1120040230</v>
      </c>
      <c r="C14" s="2348">
        <v>43835</v>
      </c>
      <c r="D14" s="2351" t="s">
        <v>3042</v>
      </c>
      <c r="E14" s="1022">
        <f ca="1">IF(F14&lt;B2,"已过期",98030020)</f>
        <v>98030020</v>
      </c>
      <c r="F14" s="1030">
        <v>47118</v>
      </c>
    </row>
    <row r="15" spans="1:6" ht="24" customHeight="1">
      <c r="A15" s="1703" t="s">
        <v>3043</v>
      </c>
      <c r="B15" s="1022">
        <f ca="1">IF(C15&lt;B2,"已过期",1120070085)</f>
        <v>1120070085</v>
      </c>
      <c r="C15" s="2348">
        <v>43814</v>
      </c>
      <c r="D15" s="2352" t="s">
        <v>3043</v>
      </c>
      <c r="E15" s="1022">
        <f ca="1">IF(F15&lt;B2,"已过期",2004110128)</f>
        <v>2004110128</v>
      </c>
      <c r="F15" s="1023">
        <v>47118</v>
      </c>
    </row>
    <row r="16" spans="1:6" ht="24" customHeight="1">
      <c r="A16" s="1702" t="s">
        <v>3044</v>
      </c>
      <c r="B16" s="1022">
        <f ca="1">IF(C16&lt;B2,"已过期",1120140022)</f>
        <v>1120140022</v>
      </c>
      <c r="C16" s="2931">
        <v>44029</v>
      </c>
      <c r="D16" s="2351" t="s">
        <v>3044</v>
      </c>
      <c r="E16" s="1022">
        <f ca="1">IF(F16&lt;B2,"已过期",2008110059)</f>
        <v>2008110059</v>
      </c>
      <c r="F16" s="1030">
        <v>47177</v>
      </c>
    </row>
    <row r="17" spans="1:7" ht="24" customHeight="1">
      <c r="A17" s="1702"/>
      <c r="B17" s="1022"/>
      <c r="C17" s="2348"/>
      <c r="D17" s="2351" t="s">
        <v>3045</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2996" t="s">
        <v>843</v>
      </c>
      <c r="B25" s="2996"/>
      <c r="C25" s="2996"/>
      <c r="D25" s="2996"/>
      <c r="E25" s="2996"/>
      <c r="F25" s="2996"/>
      <c r="G25" s="2996"/>
    </row>
    <row r="26" spans="1:7" s="1025" customFormat="1" ht="24" customHeight="1">
      <c r="A26" s="2997" t="s">
        <v>844</v>
      </c>
      <c r="B26" s="2997"/>
      <c r="C26" s="2998"/>
      <c r="D26" s="2999" t="s">
        <v>845</v>
      </c>
      <c r="E26" s="2997"/>
      <c r="F26" s="2997"/>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3049</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2019-09-20T06:06:32Z</dcterms:modified>
</cp:coreProperties>
</file>