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120" windowWidth="22290" windowHeight="5535"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 (元)" sheetId="67" state="hidden" r:id="rId21"/>
    <sheet name="收益法-酒店模型" sheetId="77" state="hidden" r:id="rId22"/>
    <sheet name="基准地价（汇总）" sheetId="76" state="hidden" r:id="rId23"/>
    <sheet name="比较法-办公" sheetId="34" r:id="rId24"/>
    <sheet name="2021" sheetId="85" r:id="rId25"/>
    <sheet name="收益法（汇总）" sheetId="70"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工业" sheetId="40" state="hidden" r:id="rId32"/>
    <sheet name="典型户型修正" sheetId="31" state="hidden" r:id="rId33"/>
    <sheet name="收益法-地上" sheetId="15" r:id="rId34"/>
    <sheet name="收益法-地下" sheetId="81" r:id="rId35"/>
    <sheet name="修正" sheetId="45" state="hidden" r:id="rId36"/>
    <sheet name="容积率修正" sheetId="46" state="hidden" r:id="rId37"/>
    <sheet name="成本法（废）" sheetId="11" state="hidden" r:id="rId38"/>
    <sheet name="区片价" sheetId="44" state="hidden" r:id="rId39"/>
    <sheet name="因素修正幅度" sheetId="65" state="hidden" r:id="rId40"/>
    <sheet name="区片价（范围）" sheetId="75" state="hidden" r:id="rId41"/>
    <sheet name="地价-分区" sheetId="79" state="hidden" r:id="rId42"/>
    <sheet name="地价" sheetId="71" state="hidden" r:id="rId43"/>
    <sheet name="存贷款利率" sheetId="73" state="hidden" r:id="rId44"/>
    <sheet name="成本法" sheetId="68" r:id="rId45"/>
    <sheet name="土地比较法-住宅、综合" sheetId="39" r:id="rId46"/>
    <sheet name="土地案例" sheetId="86" r:id="rId47"/>
    <sheet name="基准地价修正" sheetId="43" r:id="rId48"/>
    <sheet name="案例" sheetId="80" r:id="rId49"/>
    <sheet name="租约汇总" sheetId="82" r:id="rId50"/>
    <sheet name="租赁形态表 " sheetId="83" r:id="rId51"/>
    <sheet name="结果对比" sheetId="87" r:id="rId52"/>
    <sheet name="结果汇总" sheetId="88" r:id="rId53"/>
  </sheets>
  <externalReferences>
    <externalReference r:id="rId54"/>
    <externalReference r:id="rId55"/>
    <externalReference r:id="rId56"/>
    <externalReference r:id="rId57"/>
  </externalReferences>
  <definedNames>
    <definedName name="_xlnm._FilterDatabase" localSheetId="24" hidden="1">'2021'!$A$1:$W$119</definedName>
    <definedName name="_xlnm._FilterDatabase" localSheetId="23"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45" hidden="1">'土地比较法-住宅、综合'!$A$1:$L$48</definedName>
    <definedName name="_xlnm._FilterDatabase" localSheetId="11" hidden="1">项目基本情况!$A$42:$N$42</definedName>
    <definedName name="_xlnm._FilterDatabase" localSheetId="49" hidden="1">租约汇总!$A$2:$AC$57</definedName>
    <definedName name="_xlnm.Print_Area" localSheetId="23">'比较法-办公'!$A$1:$K$55,'比较法-办公'!$A$58:$M$132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44">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22">'基准地价（汇总）'!$A$1:$E$13</definedName>
    <definedName name="_xlnm.Print_Area" localSheetId="4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 (元)'!$A$1:$F$43,'收益法 (元)'!$H$3:$M$29,'收益法 (元)'!$A$45:$F$71,'收益法 (元)'!$I$46:$N$65</definedName>
    <definedName name="_xlnm.Print_Area" localSheetId="25">'收益法（汇总）'!$A$1:$F$13</definedName>
    <definedName name="_xlnm.Print_Area" localSheetId="33">'收益法-地上'!$A$1:$F$43,'收益法-地上'!$H$3:$M$29,'收益法-地上'!$A$46:$F$71,'收益法-地上'!$I$46:$N$65</definedName>
    <definedName name="_xlnm.Print_Area" localSheetId="34">'收益法-地下'!$A$1:$F$43,'收益法-地下'!$H$3:$M$29,'收益法-地下'!$A$46:$F$71,'收益法-地下'!$I$46:$N$65</definedName>
    <definedName name="_xlnm.Print_Area" localSheetId="13">'数据-汇总表'!$A$1:$P$32</definedName>
    <definedName name="_xlnm.Print_Area" localSheetId="31">'土地比较法-工业'!$A$1:$K$61,'土地比较法-工业'!$A$64:$M$121</definedName>
    <definedName name="_xlnm.Print_Area" localSheetId="45">'土地比较法-住宅、综合'!$A$1:$K$65,'土地比较法-住宅、综合'!$A$68:$M$131</definedName>
    <definedName name="_xlnm.Print_Area" localSheetId="16">系统读取表!$A$1:$I$26</definedName>
    <definedName name="_xlnm.Print_Area" localSheetId="11">项目基本情况!$A$1:$I$38</definedName>
    <definedName name="_xlnm.Print_Area" localSheetId="49">租约汇总!$A$1:$AC$76</definedName>
    <definedName name="八级">区片价!$P$1:$P$44</definedName>
    <definedName name="办公层高" localSheetId="46">'[1]比较法-办公'!$B$119:$M$119</definedName>
    <definedName name="办公层高">'比较法-办公'!$B$119:$M$119</definedName>
    <definedName name="办公朝向" localSheetId="46">'[1]比较法-办公'!$B$91:$M$91</definedName>
    <definedName name="办公朝向">'比较法-办公'!$B$91:$M$91</definedName>
    <definedName name="办公道路级别" localSheetId="46">'[1]比较法-办公'!$B$87:$M$87</definedName>
    <definedName name="办公道路级别">'比较法-办公'!$B$87:$M$87</definedName>
    <definedName name="办公公共部分装修" localSheetId="46">'[1]比较法-办公'!$B$108:$M$108</definedName>
    <definedName name="办公公共部分装修">'比较法-办公'!$B$108:$M$108</definedName>
    <definedName name="办公基础设施水平" localSheetId="46">'[1]比较法-办公'!$B$117:$M$117</definedName>
    <definedName name="办公基础设施水平">'比较法-办公'!$B$117:$M$117</definedName>
    <definedName name="办公集聚程度" localSheetId="46">[1]定义!$M$1:$M$6</definedName>
    <definedName name="办公集聚程度">定义!$M$1:$M$6</definedName>
    <definedName name="办公建筑结构" localSheetId="46">'[1]比较法-办公'!$B$106:$M$106</definedName>
    <definedName name="办公建筑结构">'比较法-办公'!$B$106:$M$106</definedName>
    <definedName name="办公建筑类型" localSheetId="46">'[1]比较法-办公'!$B$101:$M$101</definedName>
    <definedName name="办公建筑类型">'比较法-办公'!$B$101:$M$101</definedName>
    <definedName name="办公交易情况" localSheetId="46">'[1]比较法-办公'!$A$62:$M$62</definedName>
    <definedName name="办公交易情况">'比较法-办公'!$A$62:$M$62</definedName>
    <definedName name="办公楼层" localSheetId="46">'[1]比较法-办公'!$B$89:$M$89</definedName>
    <definedName name="办公楼层">'比较法-办公'!$B$89:$M$89</definedName>
    <definedName name="办公内部装修" localSheetId="46">'[1]比较法-办公'!$B$123:$M$123</definedName>
    <definedName name="办公内部装修">'比较法-办公'!$B$123:$M$123</definedName>
    <definedName name="办公物业管理" localSheetId="46">'[1]比较法-办公'!$B$115:$M$115</definedName>
    <definedName name="办公物业管理">'比较法-办公'!$B$115:$M$115</definedName>
    <definedName name="办公用途" localSheetId="46">'[1]比较法-办公'!$B$64:$M$64</definedName>
    <definedName name="办公用途">'比较法-办公'!$B$64:$M$64</definedName>
    <definedName name="仓储公共部分装修" localSheetId="46">'[1]比较法-仓储'!$B$77:$M$77</definedName>
    <definedName name="仓储公共部分装修">'比较法-仓储'!$B$77:$M$77</definedName>
    <definedName name="仓储交易情况" localSheetId="46">'[1]比较法-仓储'!$A$49:$M$49</definedName>
    <definedName name="仓储交易情况">'比较法-仓储'!$A$49:$M$49</definedName>
    <definedName name="仓储楼层" localSheetId="46">'[1]比较法-仓储'!$B$69:$M$69</definedName>
    <definedName name="仓储楼层">'比较法-仓储'!$B$69:$M$69</definedName>
    <definedName name="仓储物业等级" localSheetId="46">'[1]比较法-仓储'!$B$82:$M$82</definedName>
    <definedName name="仓储物业等级">'比较法-仓储'!$B$82:$M$82</definedName>
    <definedName name="仓储用途" localSheetId="46">'[1]比较法-仓储'!$B$51:$M$51</definedName>
    <definedName name="仓储用途">'比较法-仓储'!$B$51:$M$51</definedName>
    <definedName name="产业集聚程度" localSheetId="46">[1]定义!$N$1:$N$6</definedName>
    <definedName name="产业集聚程度">定义!$N$1:$N$6</definedName>
    <definedName name="车位公共部分装修" localSheetId="46">'[1]比较法-车位'!$B$83:$M$83</definedName>
    <definedName name="车位公共部分装修">'比较法-车位'!$B$83:$M$83</definedName>
    <definedName name="车位交易情况" localSheetId="46">'[1]比较法-车位'!$A$51:$M$51</definedName>
    <definedName name="车位交易情况">'比较法-车位'!$A$51:$M$51</definedName>
    <definedName name="车位类型" localSheetId="46">'[1]比较法-车位'!$B$93:$M$93</definedName>
    <definedName name="车位类型">'比较法-车位'!$B$93:$M$93</definedName>
    <definedName name="车位楼层" localSheetId="46">'[1]比较法-车位'!$B$71:$M$71</definedName>
    <definedName name="车位楼层">'比较法-车位'!$B$71:$M$71</definedName>
    <definedName name="车位配套类型" localSheetId="46">'[1]比较法-车位'!$B$79:$M$79</definedName>
    <definedName name="车位配套类型">'比较法-车位'!$B$79:$M$79</definedName>
    <definedName name="车位物业等级" localSheetId="46">'[1]比较法-车位'!$B$88:$M$88</definedName>
    <definedName name="车位物业等级">'比较法-车位'!$B$88:$M$88</definedName>
    <definedName name="车位用途" localSheetId="46">'[1]比较法-车位'!$B$53:$M$53</definedName>
    <definedName name="车位用途">'比较法-车位'!$B$53:$M$53</definedName>
    <definedName name="城镇土地纳税等级分级范围" localSheetId="46">'[1]数据-取费表'!$A$53:$A$63</definedName>
    <definedName name="城镇土地纳税等级分级范围">'数据-取费表'!$A$53:$A$63</definedName>
    <definedName name="单价内涵" localSheetId="46">[1]定义!$V$1:$V$3</definedName>
    <definedName name="单价内涵">定义!$V$1:$V$3</definedName>
    <definedName name="地类判定" localSheetId="46">[1]定义!$H$1:$H$9</definedName>
    <definedName name="地类判定">定义!$H$1:$H$9</definedName>
    <definedName name="二级">区片价!$J$1:$J$21</definedName>
    <definedName name="二级分类" localSheetId="46">[1]修正!$C$19:$C$51</definedName>
    <definedName name="二级分类">修正!$C$19:$C$51</definedName>
    <definedName name="法定最高年限" localSheetId="46">[1]定义!$G$1:$G$6</definedName>
    <definedName name="法定最高年限">定义!$G$1:$G$6</definedName>
    <definedName name="工业公共部分装修" localSheetId="46">'[1]比较法-工业'!$B$95:$M$95</definedName>
    <definedName name="工业公共部分装修">'比较法-工业'!$B$95:$M$95</definedName>
    <definedName name="工业基础设施水平" localSheetId="46">'[1]比较法-工业'!$B$102:$M$102</definedName>
    <definedName name="工业基础设施水平">'比较法-工业'!$B$102:$M$102</definedName>
    <definedName name="工业建筑结构" localSheetId="46">'[1]比较法-工业'!$B$93:$M$93</definedName>
    <definedName name="工业建筑结构">'比较法-工业'!$B$93:$M$93</definedName>
    <definedName name="工业建筑类型" localSheetId="46">'[1]比较法-工业'!$B$88:$M$88</definedName>
    <definedName name="工业建筑类型">'比较法-工业'!$B$88:$M$88</definedName>
    <definedName name="工业交易情况" localSheetId="46">'[1]比较法-工业'!$A$55:$M$55</definedName>
    <definedName name="工业交易情况">'比较法-工业'!$A$55:$M$55</definedName>
    <definedName name="工业内部装修" localSheetId="46">'[1]比较法-工业'!$B$104:$M$104</definedName>
    <definedName name="工业内部装修">'比较法-工业'!$B$104:$M$104</definedName>
    <definedName name="工业物业管理" localSheetId="46">'[1]比较法-工业'!$B$100:$M$100</definedName>
    <definedName name="工业物业管理">'比较法-工业'!$B$100:$M$100</definedName>
    <definedName name="工业用途" localSheetId="46">'[1]比较法-工业'!$B$57:$M$57</definedName>
    <definedName name="工业用途">'比较法-工业'!$B$57:$M$57</definedName>
    <definedName name="公共配套设施" localSheetId="46">[1]定义!$Q$1:$Q$6</definedName>
    <definedName name="公共配套设施">定义!$Q$1:$Q$6</definedName>
    <definedName name="估价范围判定" localSheetId="46">[1]定义!$D$1:$D$4</definedName>
    <definedName name="估价范围判定">定义!$D$1:$D$4</definedName>
    <definedName name="估价方法" localSheetId="46">[1]定义!$B$1:$B$50</definedName>
    <definedName name="估价方法">定义!$B$1:$B$50</definedName>
    <definedName name="环境" localSheetId="46">[1]定义!$S$1:$S$6</definedName>
    <definedName name="环境">定义!$S$1:$S$6</definedName>
    <definedName name="基础设施水平" localSheetId="46">[1]定义!$R$1:$R$6</definedName>
    <definedName name="基础设施水平">定义!$R$1:$R$6</definedName>
    <definedName name="季度">基准地价修正!$Q$19:$AD$19</definedName>
    <definedName name="价值类型2" localSheetId="46">[1]定义!$B$54:$B$56</definedName>
    <definedName name="价值类型2">定义!$B$54:$B$56</definedName>
    <definedName name="交通便捷度" localSheetId="46">[1]定义!$O$1:$O$6</definedName>
    <definedName name="交通便捷度">定义!$O$1:$O$6</definedName>
    <definedName name="九级">区片价!$Q$1:$Q$51</definedName>
    <definedName name="居住社区成熟度" localSheetId="46">[1]定义!$K$1:$K$6</definedName>
    <definedName name="居住社区成熟度">定义!$K$1:$K$6</definedName>
    <definedName name="可用科目">[2]隐藏数据!$B$1:$B$300</definedName>
    <definedName name="类别" localSheetId="46">[1]定义!$J$1:$J$3</definedName>
    <definedName name="类别">定义!$J$1:$J$3</definedName>
    <definedName name="临街状况" localSheetId="46">[1]定义!$T$1:$T$5</definedName>
    <definedName name="临街状况">定义!$T$1:$T$5</definedName>
    <definedName name="六级">区片价!$N$1:$N$64</definedName>
    <definedName name="内部装修维护情况" localSheetId="46">[1]定义!$U$1:$U$6</definedName>
    <definedName name="内部装修维护情况">定义!$U$1:$U$6</definedName>
    <definedName name="判定">[3]定义!$D$1:$D$4</definedName>
    <definedName name="七级">区片价!$O$1:$O$45</definedName>
    <definedName name="七通一平" localSheetId="46">[1]修正!$A$8:$A$16</definedName>
    <definedName name="七通一平">修正!$A$8:$A$16</definedName>
    <definedName name="区域土地利用方向" localSheetId="46">[1]定义!$P$1:$P$6</definedName>
    <definedName name="区域土地利用方向">定义!$P$1:$P$6</definedName>
    <definedName name="三级">区片价!$K$1:$K$26</definedName>
    <definedName name="商业层高" localSheetId="46">'[1]比较法-商业'!$B$116:$M$116</definedName>
    <definedName name="商业层高">'比较法-商业'!$B$116:$M$116</definedName>
    <definedName name="商业成新度">'比较法-商业'!$B$109:$M$109</definedName>
    <definedName name="商业繁华度" localSheetId="46">[1]定义!$L$1:$L$6</definedName>
    <definedName name="商业繁华度">定义!$L$1:$L$6</definedName>
    <definedName name="商业公共部分装修" localSheetId="46">'[1]比较法-商业'!$B$107:$M$107</definedName>
    <definedName name="商业公共部分装修">'比较法-商业'!$B$107:$M$107</definedName>
    <definedName name="商业基础设施水平" localSheetId="46">'[1]比较法-商业'!$B$112:$M$112</definedName>
    <definedName name="商业基础设施水平">'比较法-商业'!$B$112:$M$112</definedName>
    <definedName name="商业建筑结构" localSheetId="46">'[1]比较法-商业'!$B$105:$M$105</definedName>
    <definedName name="商业建筑结构">'比较法-商业'!$B$105:$M$105</definedName>
    <definedName name="商业交易情况" localSheetId="46">'[1]比较法-商业'!$A$61:$M$61</definedName>
    <definedName name="商业交易情况">'比较法-商业'!$A$61:$M$61</definedName>
    <definedName name="商业街名称" localSheetId="46">[1]修正!$C$71:$C$138</definedName>
    <definedName name="商业街名称">修正!$C$71:$C$138</definedName>
    <definedName name="商业进深比" localSheetId="46">'[1]比较法-商业'!$B$120:$M$120</definedName>
    <definedName name="商业进深比">'比较法-商业'!$B$120:$M$120</definedName>
    <definedName name="商业类型" localSheetId="46">'[1]比较法-商业'!$B$100:$M$100</definedName>
    <definedName name="商业类型">'比较法-商业'!$B$100:$M$100</definedName>
    <definedName name="商业临街状况" localSheetId="46">'[1]比较法-商业'!$B$86:$M$86</definedName>
    <definedName name="商业临街状况">'比较法-商业'!$B$86:$M$86</definedName>
    <definedName name="商业楼层" localSheetId="46">'[1]比较法-商业'!$B$92:$M$92</definedName>
    <definedName name="商业楼层">'比较法-商业'!$B$92:$M$92</definedName>
    <definedName name="商业内部装修" localSheetId="46">'[1]比较法-商业'!$B$122:$M$122</definedName>
    <definedName name="商业内部装修">'比较法-商业'!$B$122:$M$122</definedName>
    <definedName name="商业人流量" localSheetId="46">'[1]比较法-商业'!$B$90:$M$90</definedName>
    <definedName name="商业人流量">'比较法-商业'!$B$90:$M$90</definedName>
    <definedName name="商业业态" localSheetId="46">'[1]比较法-商业'!$B$114:$M$114</definedName>
    <definedName name="商业业态">'比较法-商业'!$B$114:$M$114</definedName>
    <definedName name="商业用途" localSheetId="46">'[1]比较法-商业'!$B$63:$M$63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6">'[1]比较法-仓储'!$B$89:$M$89</definedName>
    <definedName name="是否封闭">'比较法-仓储'!$B$89:$M$89</definedName>
    <definedName name="是否直接入户" localSheetId="46">'[1]比较法-车位'!$B$95:$M$95</definedName>
    <definedName name="是否直接入户">'比较法-车位'!$B$95:$M$95</definedName>
    <definedName name="四级">区片价!$L$1:$L$33</definedName>
    <definedName name="套工道路等级" localSheetId="46">'[1]土地比较法-工业'!$B$97:$M$97</definedName>
    <definedName name="套工道路等级">'土地比较法-工业'!$B$97:$M$97</definedName>
    <definedName name="套工地质条件" localSheetId="46">'[1]土地比较法-工业'!$B$114:$M$114</definedName>
    <definedName name="套工地质条件">'土地比较法-工业'!$B$114:$M$114</definedName>
    <definedName name="套工交易情况" localSheetId="46">'[1]土地比较法-住宅、综合'!$A$72:$M$72</definedName>
    <definedName name="套工交易情况">'土地比较法-住宅、综合'!$A$72:$M$72</definedName>
    <definedName name="套工土地级别" localSheetId="46">'[1]土地比较法-工业'!$B$99:$M$99</definedName>
    <definedName name="套工土地级别">'土地比较法-工业'!$B$99:$M$99</definedName>
    <definedName name="套工用途" localSheetId="46">'[1]土地比较法-工业'!$B$70:$M$70</definedName>
    <definedName name="套工用途">'土地比较法-工业'!$B$70:$M$70</definedName>
    <definedName name="套工宗地开发程度" localSheetId="46">'[1]土地比较法-工业'!$B$112:$M$112</definedName>
    <definedName name="套工宗地开发程度">'土地比较法-工业'!$B$112:$M$112</definedName>
    <definedName name="套工宗地形状" localSheetId="46">'[1]土地比较法-工业'!$B$110:$M$110</definedName>
    <definedName name="套工宗地形状">'土地比较法-工业'!$B$110:$M$110</definedName>
    <definedName name="套综道路等级" localSheetId="46">'[1]土地比较法-住宅、综合'!$B$105:$M$105</definedName>
    <definedName name="套综道路等级">'土地比较法-住宅、综合'!$B$105:$M$105</definedName>
    <definedName name="套综工程地质条件" localSheetId="46">'[1]土地比较法-住宅、综合'!$B$124:$M$124</definedName>
    <definedName name="套综工程地质条件">'土地比较法-住宅、综合'!$B$124:$M$124</definedName>
    <definedName name="套综交易情况" localSheetId="46">'[1]土地比较法-住宅、综合'!$A$72:$M$72</definedName>
    <definedName name="套综交易情况">'土地比较法-住宅、综合'!$A$72:$M$72</definedName>
    <definedName name="套综临街宽度及深度" localSheetId="46">'[1]土地比较法-住宅、综合'!$B$120:$M$120</definedName>
    <definedName name="套综临街宽度及深度">'土地比较法-住宅、综合'!$B$120:$M$120</definedName>
    <definedName name="套综土地级别" localSheetId="46">'[1]土地比较法-住宅、综合'!$B$107:$M$107</definedName>
    <definedName name="套综土地级别">'土地比较法-住宅、综合'!$B$107:$M$107</definedName>
    <definedName name="套综用途" localSheetId="46">'[1]土地比较法-住宅、综合'!$B$74:$M$74</definedName>
    <definedName name="套综用途">'土地比较法-住宅、综合'!$B$74:$M$74</definedName>
    <definedName name="套综宗地内开发程度" localSheetId="46">'[1]土地比较法-住宅、综合'!$B$122:$M$122</definedName>
    <definedName name="套综宗地内开发程度">'土地比较法-住宅、综合'!$B$122:$M$122</definedName>
    <definedName name="套综宗地形状" localSheetId="46">'[1]土地比较法-住宅、综合'!$B$118:$M$118</definedName>
    <definedName name="套综宗地形状">'土地比较法-住宅、综合'!$B$118:$M$118</definedName>
    <definedName name="土地估价师">估价师及机构信息!$D$3:$D$24</definedName>
    <definedName name="土地级别" localSheetId="46">[1]定义!$C$1:$C$14</definedName>
    <definedName name="土地级别">定义!$C$1:$C$14</definedName>
    <definedName name="土地利用方向">定义!$P$1:$P$6</definedName>
    <definedName name="土地年限区间">定义!$I$1:$I$16</definedName>
    <definedName name="位置" localSheetId="46">[1]定义!$E$2:$E$4</definedName>
    <definedName name="位置">定义!$E$2:$E$4</definedName>
    <definedName name="五等判定" localSheetId="46">[1]定义!$W$1:$W$6</definedName>
    <definedName name="五等判定">定义!$W$1:$W$6</definedName>
    <definedName name="五级">区片价!$M$1:$M$41</definedName>
    <definedName name="项目类型" localSheetId="21">'[4]数据-汇总表'!$C$17:$C$26</definedName>
    <definedName name="项目类型" localSheetId="46">'[1]数据-汇总表'!$C$17:$C$26</definedName>
    <definedName name="项目类型">'数据-汇总表'!$C$17:$C$26</definedName>
    <definedName name="写字楼等级" localSheetId="46">'[1]比较法-办公'!$B$113:$M$113</definedName>
    <definedName name="写字楼等级">'比较法-办公'!$B$113:$M$113</definedName>
    <definedName name="一级">区片价!$I$1:$I$6</definedName>
    <definedName name="一修多修正项2" localSheetId="46">[1]典型户型修正!$5:$5</definedName>
    <definedName name="一修多修正项2">典型户型修正!$5:$5</definedName>
    <definedName name="一修多修正项3" localSheetId="46">[1]典型户型修正!$7:$7</definedName>
    <definedName name="一修多修正项3">典型户型修正!$7:$7</definedName>
    <definedName name="一修多修正项4" localSheetId="46">[1]典型户型修正!$9:$9</definedName>
    <definedName name="一修多修正项4">典型户型修正!$9:$9</definedName>
    <definedName name="一修多修正项5" localSheetId="46">[1]典型户型修正!$11:$11</definedName>
    <definedName name="一修多修正项5">典型户型修正!$11:$11</definedName>
    <definedName name="一修多修正项6" localSheetId="46">[1]典型户型修正!$13:$13</definedName>
    <definedName name="一修多修正项6">典型户型修正!$13:$13</definedName>
    <definedName name="一修多修正项7" localSheetId="46">[1]典型户型修正!$15:$15</definedName>
    <definedName name="一修多修正项7">典型户型修正!$15:$15</definedName>
    <definedName name="一修多修正项8" localSheetId="46">[1]典型户型修正!$17:$17</definedName>
    <definedName name="一修多修正项8">典型户型修正!$17:$17</definedName>
    <definedName name="用途明细" localSheetId="46">[1]定义!$A$1:$A$50</definedName>
    <definedName name="用途明细">定义!$A$1:$A$50</definedName>
    <definedName name="有无电梯" localSheetId="46">'[1]比较法-仓储'!$B$84:$M$84</definedName>
    <definedName name="有无电梯">'比较法-仓储'!$B$84:$M$84</definedName>
    <definedName name="主用途" localSheetId="46">[1]定义!$F$1:$F$12</definedName>
    <definedName name="主用途">定义!$F$1:$F$12</definedName>
    <definedName name="住宅朝向" localSheetId="46">'[1]比较法-住宅'!$B$88:$M$88</definedName>
    <definedName name="住宅朝向">'比较法-住宅'!$B$88:$M$88</definedName>
    <definedName name="住宅房型" localSheetId="46">'[1]比较法-住宅'!$B$118:$M$118</definedName>
    <definedName name="住宅房型">'比较法-住宅'!$B$118:$M$118</definedName>
    <definedName name="住宅公共部分装修" localSheetId="46">'[1]比较法-住宅'!$B$109:$M$109</definedName>
    <definedName name="住宅公共部分装修">'比较法-住宅'!$B$109:$M$109</definedName>
    <definedName name="住宅基础设施水平" localSheetId="46">'[1]比较法-住宅'!$B$116:$M$116</definedName>
    <definedName name="住宅基础设施水平">'比较法-住宅'!$B$116:$M$116</definedName>
    <definedName name="住宅建筑结构" localSheetId="46">'[1]比较法-住宅'!$B$105:$M$105</definedName>
    <definedName name="住宅建筑结构">'比较法-住宅'!$B$105:$M$105</definedName>
    <definedName name="住宅建筑类型" localSheetId="46">'[1]比较法-住宅'!$B$100:$M$100</definedName>
    <definedName name="住宅建筑类型">'比较法-住宅'!$B$100:$M$100</definedName>
    <definedName name="住宅建筑品质" localSheetId="46">'[1]比较法-住宅'!$B$107:$M$107</definedName>
    <definedName name="住宅建筑品质">'比较法-住宅'!$B$107:$M$107</definedName>
    <definedName name="住宅交易情况" localSheetId="46">'[1]比较法-住宅'!$A$61:$M$61</definedName>
    <definedName name="住宅交易情况">'比较法-住宅'!$A$61:$M$61</definedName>
    <definedName name="住宅楼层" localSheetId="46">'[1]比较法-住宅'!$B$86:$M$86</definedName>
    <definedName name="住宅楼层">'比较法-住宅'!$B$86:$M$86</definedName>
    <definedName name="住宅内部装修" localSheetId="46">'[1]比较法-住宅'!$B$122:$M$122</definedName>
    <definedName name="住宅内部装修">'比较法-住宅'!$B$122:$M$122</definedName>
    <definedName name="住宅物业管理" localSheetId="46">'[1]比较法-住宅'!$B$114:$M$114</definedName>
    <definedName name="住宅物业管理">'比较法-住宅'!$B$114:$M$114</definedName>
    <definedName name="住宅用途" localSheetId="46">'[1]比较法-住宅'!$B$63:$M$63</definedName>
    <definedName name="住宅用途">'比较法-住宅'!$B$63:$M$63</definedName>
    <definedName name="住宅主力户型面积">'比较法-住宅'!$B$120:$M$120</definedName>
    <definedName name="注册房地产估价师" localSheetId="46">[1]估价师及机构信息!$A$3:$A$16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E34" i="88" l="1"/>
  <c r="E36" i="88" l="1"/>
  <c r="E128" i="34"/>
  <c r="F128" i="34"/>
  <c r="G128" i="34"/>
  <c r="H128" i="34" s="1"/>
  <c r="I128" i="34" s="1"/>
  <c r="D128" i="34"/>
  <c r="K6" i="87" l="1"/>
  <c r="L6" i="87"/>
  <c r="E6" i="87"/>
  <c r="D14" i="9" l="1"/>
  <c r="L31" i="1" l="1"/>
  <c r="J28" i="1"/>
  <c r="J30" i="1"/>
  <c r="J29" i="1"/>
  <c r="L29" i="1" s="1"/>
  <c r="L30" i="1"/>
  <c r="J31" i="1"/>
  <c r="L28" i="1" l="1"/>
  <c r="K28" i="1"/>
  <c r="K27" i="1" s="1"/>
  <c r="L33" i="1" s="1"/>
  <c r="J32" i="1"/>
  <c r="L32" i="1" s="1"/>
  <c r="J34" i="1"/>
  <c r="L34" i="1" l="1"/>
  <c r="K34" i="1" s="1"/>
  <c r="C10" i="39"/>
  <c r="I5" i="39"/>
  <c r="G5" i="39"/>
  <c r="E5" i="39"/>
  <c r="D117" i="39"/>
  <c r="E117" i="39" s="1"/>
  <c r="F117" i="39" s="1"/>
  <c r="G117" i="39" s="1"/>
  <c r="K17" i="34"/>
  <c r="G23" i="82"/>
  <c r="P19" i="9" l="1"/>
  <c r="AH6" i="1"/>
  <c r="AW60" i="34" l="1"/>
  <c r="AV60" i="34"/>
  <c r="AU60" i="34"/>
  <c r="AT60" i="34"/>
  <c r="AS60" i="34"/>
  <c r="AR60" i="34"/>
  <c r="AQ60" i="34"/>
  <c r="AP60" i="34"/>
  <c r="AO60" i="34"/>
  <c r="AN60" i="34"/>
  <c r="AM60" i="34"/>
  <c r="AL60" i="34"/>
  <c r="AK60" i="34"/>
  <c r="AJ60" i="34"/>
  <c r="AI60" i="34"/>
  <c r="AH60" i="34"/>
  <c r="AG60" i="34"/>
  <c r="AF60" i="34"/>
  <c r="AE60" i="34"/>
  <c r="AD60" i="34"/>
  <c r="AC60" i="34"/>
  <c r="AB60" i="34"/>
  <c r="AA60" i="34"/>
  <c r="Z60" i="34"/>
  <c r="Y60" i="34"/>
  <c r="X60" i="34"/>
  <c r="W60" i="34"/>
  <c r="V60" i="34"/>
  <c r="U60" i="34"/>
  <c r="T60" i="34"/>
  <c r="S60" i="34"/>
  <c r="R60" i="34"/>
  <c r="Q60" i="34"/>
  <c r="P60" i="34"/>
  <c r="O60" i="34"/>
  <c r="E45" i="34"/>
  <c r="I45" i="34"/>
  <c r="G45" i="34"/>
  <c r="C45" i="34"/>
  <c r="G117" i="34"/>
  <c r="F117" i="34"/>
  <c r="E117" i="34"/>
  <c r="D117" i="34"/>
  <c r="C117" i="34"/>
  <c r="C94" i="34"/>
  <c r="I6" i="34"/>
  <c r="G6" i="34"/>
  <c r="E6" i="34"/>
  <c r="E34" i="34"/>
  <c r="E7" i="34"/>
  <c r="E5" i="34"/>
  <c r="E48" i="34"/>
  <c r="G48" i="34"/>
  <c r="I48" i="34"/>
  <c r="E105" i="34" l="1"/>
  <c r="D105" i="34"/>
  <c r="V7" i="1"/>
  <c r="I46" i="34" l="1"/>
  <c r="G46" i="34"/>
  <c r="E46" i="34"/>
  <c r="I34" i="34"/>
  <c r="G34" i="34"/>
  <c r="I5" i="34"/>
  <c r="G5" i="34"/>
  <c r="C10" i="34" l="1"/>
  <c r="C34" i="34"/>
  <c r="C46" i="34"/>
  <c r="B14" i="74" l="1"/>
  <c r="G58" i="82"/>
  <c r="O20" i="82"/>
  <c r="S20" i="82" s="1"/>
  <c r="S53" i="82"/>
  <c r="S50" i="82"/>
  <c r="O48" i="82"/>
  <c r="O45" i="82"/>
  <c r="O46" i="82"/>
  <c r="O24" i="82"/>
  <c r="S24" i="82" s="1"/>
  <c r="Q3" i="82"/>
  <c r="Q4" i="82"/>
  <c r="Q5" i="82"/>
  <c r="S3" i="82"/>
  <c r="S4" i="82"/>
  <c r="S5" i="82"/>
  <c r="N21" i="1"/>
  <c r="N23" i="1" l="1"/>
  <c r="N6" i="1" s="1"/>
  <c r="P42" i="83"/>
  <c r="O40" i="83"/>
  <c r="P39" i="83"/>
  <c r="O39" i="83"/>
  <c r="O38" i="83"/>
  <c r="O37" i="83"/>
  <c r="P34" i="83"/>
  <c r="O34" i="83"/>
  <c r="P38" i="83" s="1"/>
  <c r="N33" i="83"/>
  <c r="N32" i="83"/>
  <c r="B30" i="83"/>
  <c r="B29" i="83"/>
  <c r="B28" i="83"/>
  <c r="B27" i="83"/>
  <c r="N26" i="83"/>
  <c r="B26" i="83"/>
  <c r="N25" i="83"/>
  <c r="B25" i="83"/>
  <c r="N24" i="83"/>
  <c r="B24" i="83"/>
  <c r="N23" i="83"/>
  <c r="B23" i="83"/>
  <c r="N22" i="83"/>
  <c r="B22" i="83"/>
  <c r="N21" i="83"/>
  <c r="B21" i="83"/>
  <c r="N20" i="83"/>
  <c r="B20" i="83"/>
  <c r="N19" i="83"/>
  <c r="B19" i="83"/>
  <c r="N18" i="83"/>
  <c r="B18" i="83"/>
  <c r="N17" i="83"/>
  <c r="B17" i="83"/>
  <c r="N16" i="83"/>
  <c r="B16" i="83"/>
  <c r="Q15" i="83"/>
  <c r="Q34" i="83" s="1"/>
  <c r="P40" i="83" s="1"/>
  <c r="N15" i="83"/>
  <c r="B15" i="83" s="1"/>
  <c r="N14" i="83"/>
  <c r="B14" i="83" s="1"/>
  <c r="N13" i="83"/>
  <c r="B13" i="83" s="1"/>
  <c r="N12" i="83"/>
  <c r="B12" i="83" s="1"/>
  <c r="N11" i="83"/>
  <c r="B11" i="83" s="1"/>
  <c r="N10" i="83"/>
  <c r="B10" i="83" s="1"/>
  <c r="N9" i="83"/>
  <c r="B9" i="83" s="1"/>
  <c r="N8" i="83"/>
  <c r="B8" i="83" s="1"/>
  <c r="N7" i="83"/>
  <c r="B7" i="83" s="1"/>
  <c r="N6" i="83"/>
  <c r="B6" i="83" s="1"/>
  <c r="N5" i="83"/>
  <c r="N34" i="83" s="1"/>
  <c r="P37" i="83" s="1"/>
  <c r="W76" i="82"/>
  <c r="AA76" i="82" s="1"/>
  <c r="Q75" i="82"/>
  <c r="R75" i="82" s="1"/>
  <c r="X73" i="82"/>
  <c r="Z73" i="82" s="1"/>
  <c r="Q73" i="82"/>
  <c r="R73" i="82" s="1"/>
  <c r="O73" i="82"/>
  <c r="X72" i="82"/>
  <c r="Z72" i="82" s="1"/>
  <c r="Q72" i="82"/>
  <c r="R72" i="82" s="1"/>
  <c r="Q71" i="82"/>
  <c r="R71" i="82" s="1"/>
  <c r="X70" i="82"/>
  <c r="Z70" i="82" s="1"/>
  <c r="Q70" i="82"/>
  <c r="R70" i="82" s="1"/>
  <c r="AA69" i="82"/>
  <c r="X69" i="82" s="1"/>
  <c r="S69" i="82"/>
  <c r="Q69" i="82" s="1"/>
  <c r="R69" i="82" s="1"/>
  <c r="AA68" i="82"/>
  <c r="X68" i="82" s="1"/>
  <c r="S68" i="82"/>
  <c r="Q68" i="82" s="1"/>
  <c r="R68" i="82" s="1"/>
  <c r="AA67" i="82"/>
  <c r="X67" i="82" s="1"/>
  <c r="O67" i="82"/>
  <c r="S67" i="82" s="1"/>
  <c r="AA66" i="82"/>
  <c r="X66" i="82" s="1"/>
  <c r="O66" i="82"/>
  <c r="S66" i="82" s="1"/>
  <c r="AA65" i="82"/>
  <c r="X65" i="82" s="1"/>
  <c r="O65" i="82"/>
  <c r="S65" i="82" s="1"/>
  <c r="AA64" i="82"/>
  <c r="X64" i="82" s="1"/>
  <c r="Z64" i="82" s="1"/>
  <c r="O64" i="82"/>
  <c r="S64" i="82" s="1"/>
  <c r="AA63" i="82"/>
  <c r="X63" i="82" s="1"/>
  <c r="O63" i="82"/>
  <c r="S63" i="82" s="1"/>
  <c r="AA62" i="82"/>
  <c r="X62" i="82" s="1"/>
  <c r="Z62" i="82" s="1"/>
  <c r="O62" i="82"/>
  <c r="S62" i="82" s="1"/>
  <c r="AA57" i="82"/>
  <c r="X57" i="82" s="1"/>
  <c r="O57" i="82"/>
  <c r="S57" i="82" s="1"/>
  <c r="Q57" i="82" s="1"/>
  <c r="R57" i="82" s="1"/>
  <c r="AA56" i="82"/>
  <c r="X56" i="82" s="1"/>
  <c r="S56" i="82"/>
  <c r="Q56" i="82" s="1"/>
  <c r="R56" i="82" s="1"/>
  <c r="AA55" i="82"/>
  <c r="X55" i="82" s="1"/>
  <c r="S55" i="82"/>
  <c r="Q55" i="82" s="1"/>
  <c r="R55" i="82" s="1"/>
  <c r="AA54" i="82"/>
  <c r="X54" i="82" s="1"/>
  <c r="S54" i="82"/>
  <c r="Q54" i="82" s="1"/>
  <c r="R54" i="82" s="1"/>
  <c r="AA53" i="82"/>
  <c r="X53" i="82" s="1"/>
  <c r="Q53" i="82"/>
  <c r="AA52" i="82"/>
  <c r="V52" i="82"/>
  <c r="O52" i="82"/>
  <c r="S52" i="82" s="1"/>
  <c r="Q52" i="82" s="1"/>
  <c r="R52" i="82" s="1"/>
  <c r="AA51" i="82"/>
  <c r="X51" i="82" s="1"/>
  <c r="O51" i="82"/>
  <c r="S51" i="82" s="1"/>
  <c r="Q51" i="82" s="1"/>
  <c r="R51" i="82" s="1"/>
  <c r="AA50" i="82"/>
  <c r="X50" i="82" s="1"/>
  <c r="O50" i="82"/>
  <c r="Q50" i="82" s="1"/>
  <c r="R50" i="82" s="1"/>
  <c r="AA49" i="82"/>
  <c r="X49" i="82" s="1"/>
  <c r="O49" i="82"/>
  <c r="S49" i="82" s="1"/>
  <c r="Q49" i="82" s="1"/>
  <c r="R49" i="82" s="1"/>
  <c r="AA48" i="82"/>
  <c r="X48" i="82" s="1"/>
  <c r="S48" i="82"/>
  <c r="Q48" i="82" s="1"/>
  <c r="R48" i="82" s="1"/>
  <c r="AA47" i="82"/>
  <c r="X47" i="82" s="1"/>
  <c r="V47" i="82"/>
  <c r="O47" i="82"/>
  <c r="S47" i="82" s="1"/>
  <c r="Q47" i="82" s="1"/>
  <c r="R47" i="82" s="1"/>
  <c r="AA46" i="82"/>
  <c r="X46" i="82" s="1"/>
  <c r="S46" i="82"/>
  <c r="Q46" i="82" s="1"/>
  <c r="R46" i="82" s="1"/>
  <c r="AA45" i="82"/>
  <c r="X45" i="82" s="1"/>
  <c r="S45" i="82"/>
  <c r="Q45" i="82" s="1"/>
  <c r="R45" i="82" s="1"/>
  <c r="AA44" i="82"/>
  <c r="X44" i="82" s="1"/>
  <c r="O44" i="82"/>
  <c r="S44" i="82" s="1"/>
  <c r="Q44" i="82" s="1"/>
  <c r="R44" i="82" s="1"/>
  <c r="AA43" i="82"/>
  <c r="X43" i="82" s="1"/>
  <c r="V43" i="82"/>
  <c r="O43" i="82"/>
  <c r="S43" i="82" s="1"/>
  <c r="Q43" i="82" s="1"/>
  <c r="R43" i="82" s="1"/>
  <c r="AA42" i="82"/>
  <c r="X42" i="82" s="1"/>
  <c r="O42" i="82"/>
  <c r="S42" i="82" s="1"/>
  <c r="Q42" i="82" s="1"/>
  <c r="R42" i="82" s="1"/>
  <c r="AA41" i="82"/>
  <c r="X41" i="82" s="1"/>
  <c r="O41" i="82"/>
  <c r="S41" i="82" s="1"/>
  <c r="Q41" i="82" s="1"/>
  <c r="R41" i="82" s="1"/>
  <c r="AA40" i="82"/>
  <c r="X40" i="82" s="1"/>
  <c r="O40" i="82"/>
  <c r="S40" i="82" s="1"/>
  <c r="Q40" i="82" s="1"/>
  <c r="R40" i="82" s="1"/>
  <c r="AA39" i="82"/>
  <c r="X39" i="82" s="1"/>
  <c r="O39" i="82"/>
  <c r="S39" i="82" s="1"/>
  <c r="Q39" i="82" s="1"/>
  <c r="R39" i="82" s="1"/>
  <c r="AA38" i="82"/>
  <c r="X38" i="82" s="1"/>
  <c r="O38" i="82"/>
  <c r="S38" i="82" s="1"/>
  <c r="Q38" i="82" s="1"/>
  <c r="R38" i="82" s="1"/>
  <c r="AA37" i="82"/>
  <c r="X37" i="82"/>
  <c r="O37" i="82"/>
  <c r="S37" i="82" s="1"/>
  <c r="Q37" i="82" s="1"/>
  <c r="R37" i="82" s="1"/>
  <c r="AA36" i="82"/>
  <c r="X36" i="82" s="1"/>
  <c r="O36" i="82"/>
  <c r="S36" i="82" s="1"/>
  <c r="Q36" i="82" s="1"/>
  <c r="R36" i="82" s="1"/>
  <c r="AA35" i="82"/>
  <c r="X35" i="82" s="1"/>
  <c r="S35" i="82"/>
  <c r="Q35" i="82" s="1"/>
  <c r="R35" i="82" s="1"/>
  <c r="AA34" i="82"/>
  <c r="X34" i="82" s="1"/>
  <c r="S34" i="82"/>
  <c r="Q34" i="82" s="1"/>
  <c r="R34" i="82" s="1"/>
  <c r="AA33" i="82"/>
  <c r="X33" i="82" s="1"/>
  <c r="S33" i="82"/>
  <c r="Q33" i="82" s="1"/>
  <c r="R33" i="82" s="1"/>
  <c r="AA32" i="82"/>
  <c r="X32" i="82" s="1"/>
  <c r="V32" i="82"/>
  <c r="O32" i="82"/>
  <c r="S32" i="82" s="1"/>
  <c r="Q32" i="82" s="1"/>
  <c r="R32" i="82" s="1"/>
  <c r="AA31" i="82"/>
  <c r="X31" i="82" s="1"/>
  <c r="O31" i="82"/>
  <c r="S31" i="82" s="1"/>
  <c r="Q31" i="82" s="1"/>
  <c r="R31" i="82" s="1"/>
  <c r="AA30" i="82"/>
  <c r="X30" i="82"/>
  <c r="O30" i="82"/>
  <c r="S30" i="82" s="1"/>
  <c r="Q30" i="82" s="1"/>
  <c r="R30" i="82" s="1"/>
  <c r="AA29" i="82"/>
  <c r="X29" i="82" s="1"/>
  <c r="O29" i="82"/>
  <c r="S29" i="82" s="1"/>
  <c r="Q29" i="82" s="1"/>
  <c r="R29" i="82" s="1"/>
  <c r="AA28" i="82"/>
  <c r="O28" i="82"/>
  <c r="S28" i="82" s="1"/>
  <c r="Q28" i="82" s="1"/>
  <c r="R28" i="82" s="1"/>
  <c r="AA27" i="82"/>
  <c r="X27" i="82" s="1"/>
  <c r="O27" i="82"/>
  <c r="S27" i="82" s="1"/>
  <c r="Q27" i="82" s="1"/>
  <c r="R27" i="82" s="1"/>
  <c r="AA26" i="82"/>
  <c r="X26" i="82" s="1"/>
  <c r="O26" i="82"/>
  <c r="S26" i="82" s="1"/>
  <c r="Q26" i="82" s="1"/>
  <c r="R26" i="82" s="1"/>
  <c r="AA25" i="82"/>
  <c r="X25" i="82" s="1"/>
  <c r="O25" i="82"/>
  <c r="S25" i="82" s="1"/>
  <c r="Q25" i="82" s="1"/>
  <c r="R25" i="82" s="1"/>
  <c r="AA24" i="82"/>
  <c r="X24" i="82"/>
  <c r="Q24" i="82"/>
  <c r="R24" i="82" s="1"/>
  <c r="AA23" i="82"/>
  <c r="X23" i="82" s="1"/>
  <c r="S23" i="82"/>
  <c r="Q23" i="82" s="1"/>
  <c r="R23" i="82" s="1"/>
  <c r="AA22" i="82"/>
  <c r="X22" i="82" s="1"/>
  <c r="Z22" i="82" s="1"/>
  <c r="S22" i="82"/>
  <c r="Q22" i="82" s="1"/>
  <c r="R22" i="82" s="1"/>
  <c r="AA21" i="82"/>
  <c r="X21" i="82" s="1"/>
  <c r="O21" i="82"/>
  <c r="S21" i="82" s="1"/>
  <c r="Q21" i="82" s="1"/>
  <c r="R21" i="82" s="1"/>
  <c r="AA20" i="82"/>
  <c r="X20" i="82" s="1"/>
  <c r="Q20" i="82"/>
  <c r="AA18" i="82"/>
  <c r="X18" i="82" s="1"/>
  <c r="V18" i="82"/>
  <c r="S18" i="82"/>
  <c r="Q18" i="82" s="1"/>
  <c r="R18" i="82" s="1"/>
  <c r="AA17" i="82"/>
  <c r="X17" i="82" s="1"/>
  <c r="V17" i="82"/>
  <c r="S17" i="82"/>
  <c r="Q17" i="82" s="1"/>
  <c r="R17" i="82" s="1"/>
  <c r="AA16" i="82"/>
  <c r="X16" i="82" s="1"/>
  <c r="O16" i="82"/>
  <c r="S16" i="82" s="1"/>
  <c r="Q16" i="82" s="1"/>
  <c r="R16" i="82" s="1"/>
  <c r="AA15" i="82"/>
  <c r="X15" i="82" s="1"/>
  <c r="O15" i="82"/>
  <c r="S15" i="82" s="1"/>
  <c r="Q15" i="82" s="1"/>
  <c r="R15" i="82" s="1"/>
  <c r="AA14" i="82"/>
  <c r="X14" i="82" s="1"/>
  <c r="O14" i="82"/>
  <c r="S14" i="82" s="1"/>
  <c r="Q14" i="82" s="1"/>
  <c r="R14" i="82" s="1"/>
  <c r="AA13" i="82"/>
  <c r="X13" i="82" s="1"/>
  <c r="S13" i="82"/>
  <c r="Q13" i="82" s="1"/>
  <c r="R13" i="82" s="1"/>
  <c r="AA12" i="82"/>
  <c r="X12" i="82" s="1"/>
  <c r="S12" i="82"/>
  <c r="Q12" i="82" s="1"/>
  <c r="R12" i="82" s="1"/>
  <c r="AA11" i="82"/>
  <c r="O11" i="82"/>
  <c r="S11" i="82" s="1"/>
  <c r="Q11" i="82" s="1"/>
  <c r="R11" i="82" s="1"/>
  <c r="AA10" i="82"/>
  <c r="X10" i="82" s="1"/>
  <c r="O10" i="82"/>
  <c r="S10" i="82" s="1"/>
  <c r="Q10" i="82" s="1"/>
  <c r="R10" i="82" s="1"/>
  <c r="AA9" i="82"/>
  <c r="Z9" i="82"/>
  <c r="X9" i="82"/>
  <c r="O9" i="82"/>
  <c r="S9" i="82" s="1"/>
  <c r="Q9" i="82" s="1"/>
  <c r="R9" i="82" s="1"/>
  <c r="AA8" i="82"/>
  <c r="O8" i="82"/>
  <c r="S8" i="82" s="1"/>
  <c r="Q8" i="82" s="1"/>
  <c r="R8" i="82" s="1"/>
  <c r="AA7" i="82"/>
  <c r="X7" i="82"/>
  <c r="O7" i="82"/>
  <c r="S7" i="82" s="1"/>
  <c r="Q7" i="82" s="1"/>
  <c r="R7" i="82" s="1"/>
  <c r="AA6" i="82"/>
  <c r="X6" i="82" s="1"/>
  <c r="O6" i="82"/>
  <c r="S6" i="82" s="1"/>
  <c r="Q6" i="82" s="1"/>
  <c r="R6" i="82" s="1"/>
  <c r="C37" i="34" l="1"/>
  <c r="R20" i="82"/>
  <c r="Q58" i="82"/>
  <c r="Z15" i="82"/>
  <c r="X28" i="82"/>
  <c r="Z28" i="82" s="1"/>
  <c r="Z47" i="82"/>
  <c r="Z26" i="82"/>
  <c r="Z54" i="82"/>
  <c r="Z37" i="82"/>
  <c r="Z41" i="82"/>
  <c r="Z45" i="82"/>
  <c r="X52" i="82"/>
  <c r="Z52" i="82" s="1"/>
  <c r="Z53" i="82"/>
  <c r="Z56" i="82"/>
  <c r="Z7" i="82"/>
  <c r="X11" i="82"/>
  <c r="Z11" i="82" s="1"/>
  <c r="Z12" i="82"/>
  <c r="Z13" i="82"/>
  <c r="Z17" i="82"/>
  <c r="Z21" i="82"/>
  <c r="Z24" i="82"/>
  <c r="Z30" i="82"/>
  <c r="Z39" i="82"/>
  <c r="Z48" i="82"/>
  <c r="Z51" i="82"/>
  <c r="Z66" i="82"/>
  <c r="Z23" i="82"/>
  <c r="Z44" i="82"/>
  <c r="Z46" i="82"/>
  <c r="Z55" i="82"/>
  <c r="Z16" i="82"/>
  <c r="Z18" i="82"/>
  <c r="Z27" i="82"/>
  <c r="Z31" i="82"/>
  <c r="Z32" i="82"/>
  <c r="Z34" i="82"/>
  <c r="Z36" i="82"/>
  <c r="Z40" i="82"/>
  <c r="Z49" i="82"/>
  <c r="Z67" i="82"/>
  <c r="Z68" i="82"/>
  <c r="Z69" i="82"/>
  <c r="Z6" i="82"/>
  <c r="Z10" i="82"/>
  <c r="Z14" i="82"/>
  <c r="Z20" i="82"/>
  <c r="Z25" i="82"/>
  <c r="Z29" i="82"/>
  <c r="Z33" i="82"/>
  <c r="Z35" i="82"/>
  <c r="Z38" i="82"/>
  <c r="Z42" i="82"/>
  <c r="Z43" i="82"/>
  <c r="Z50" i="82"/>
  <c r="R53" i="82"/>
  <c r="Z57" i="82"/>
  <c r="Z63" i="82"/>
  <c r="Z65" i="82"/>
  <c r="Q40" i="83"/>
  <c r="P41" i="83"/>
  <c r="Q38" i="83"/>
  <c r="B5" i="83"/>
  <c r="B34" i="83" s="1"/>
  <c r="Q42" i="83" s="1"/>
  <c r="Q62" i="82"/>
  <c r="R62" i="82" s="1"/>
  <c r="Q64" i="82"/>
  <c r="R64" i="82" s="1"/>
  <c r="Q66" i="82"/>
  <c r="R66" i="82" s="1"/>
  <c r="Q67" i="82"/>
  <c r="R67" i="82" s="1"/>
  <c r="Q63" i="82"/>
  <c r="R63" i="82" s="1"/>
  <c r="Q65" i="82"/>
  <c r="R65" i="82" s="1"/>
  <c r="X76" i="82"/>
  <c r="Z76" i="82" s="1"/>
  <c r="X8" i="82"/>
  <c r="Z8" i="82" s="1"/>
  <c r="R58" i="82" l="1"/>
  <c r="O58" i="82"/>
  <c r="Q37" i="83"/>
  <c r="Q41" i="83" s="1"/>
  <c r="Q39" i="83"/>
  <c r="J52" i="81" l="1"/>
  <c r="Q51" i="81" s="1"/>
  <c r="J52" i="15"/>
  <c r="B35" i="1"/>
  <c r="B21" i="1"/>
  <c r="D42" i="43"/>
  <c r="D33" i="43"/>
  <c r="Q72" i="81"/>
  <c r="Q59" i="81"/>
  <c r="K59" i="81"/>
  <c r="P74" i="81" s="1"/>
  <c r="F59" i="81"/>
  <c r="Q58" i="81"/>
  <c r="J50" i="81"/>
  <c r="M47" i="81"/>
  <c r="D46" i="81"/>
  <c r="F33" i="81"/>
  <c r="F61" i="81" s="1"/>
  <c r="F31" i="81"/>
  <c r="F23" i="81"/>
  <c r="D23" i="81" s="1"/>
  <c r="F21" i="81"/>
  <c r="F20" i="81"/>
  <c r="M19" i="81"/>
  <c r="F18" i="81"/>
  <c r="M17" i="81"/>
  <c r="F17" i="81"/>
  <c r="F15" i="81"/>
  <c r="G1" i="81"/>
  <c r="Y6" i="1"/>
  <c r="Y7" i="1" s="1"/>
  <c r="N7" i="1"/>
  <c r="J7" i="1"/>
  <c r="G20" i="6"/>
  <c r="F19" i="6"/>
  <c r="F13" i="4"/>
  <c r="C76" i="81"/>
  <c r="Q71" i="81" l="1"/>
  <c r="D24" i="81"/>
  <c r="P61" i="81"/>
  <c r="D22" i="81"/>
  <c r="I29" i="79"/>
  <c r="I28" i="79"/>
  <c r="N28" i="79"/>
  <c r="M28" i="79"/>
  <c r="P28" i="79" s="1"/>
  <c r="L28" i="79"/>
  <c r="N29" i="79"/>
  <c r="M29" i="79"/>
  <c r="L29" i="79"/>
  <c r="O6" i="79"/>
  <c r="N6" i="79"/>
  <c r="M6" i="79"/>
  <c r="P6" i="79" s="1"/>
  <c r="L6" i="79"/>
  <c r="K6" i="79"/>
  <c r="O7" i="79"/>
  <c r="N7" i="79"/>
  <c r="M7" i="79"/>
  <c r="P7" i="79" s="1"/>
  <c r="L7" i="79"/>
  <c r="K7" i="79"/>
  <c r="F42" i="81"/>
  <c r="M28" i="81"/>
  <c r="F16" i="81"/>
  <c r="J15" i="81"/>
  <c r="M22" i="81"/>
  <c r="F6" i="81"/>
  <c r="F13" i="81"/>
  <c r="F9" i="81"/>
  <c r="F8" i="81"/>
  <c r="M6" i="81"/>
  <c r="F7" i="81"/>
  <c r="M29" i="81"/>
  <c r="M8" i="81"/>
  <c r="M27" i="81"/>
  <c r="M23" i="81"/>
  <c r="L47" i="81"/>
  <c r="F40" i="81"/>
  <c r="M26" i="81"/>
  <c r="M9" i="81"/>
  <c r="F38" i="81"/>
  <c r="F36" i="81"/>
  <c r="M24" i="81"/>
  <c r="F37" i="81"/>
  <c r="F43" i="81"/>
  <c r="F26" i="81"/>
  <c r="F50" i="81" l="1"/>
  <c r="M7" i="81"/>
  <c r="J6" i="81" s="1"/>
  <c r="F66" i="81"/>
  <c r="F64" i="81"/>
  <c r="F71" i="81"/>
  <c r="F68" i="81"/>
  <c r="F51" i="81"/>
  <c r="F65" i="81"/>
  <c r="C27" i="81"/>
  <c r="C6" i="81"/>
  <c r="P29" i="79"/>
  <c r="C17" i="81"/>
  <c r="C49" i="81" l="1"/>
  <c r="G14" i="73"/>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U25" i="79" s="1"/>
  <c r="M27" i="79"/>
  <c r="L27" i="79"/>
  <c r="L25" i="79" s="1"/>
  <c r="I27" i="79"/>
  <c r="AD27" i="79" s="1"/>
  <c r="AA25" i="79"/>
  <c r="AD25" i="79" s="1"/>
  <c r="T25" i="79"/>
  <c r="W25" i="79" s="1"/>
  <c r="M25" i="79"/>
  <c r="P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M15" i="79"/>
  <c r="L15" i="79"/>
  <c r="K15" i="79"/>
  <c r="R15" i="79" s="1"/>
  <c r="I15" i="79"/>
  <c r="AD14" i="79"/>
  <c r="AC14" i="79"/>
  <c r="AB14" i="79"/>
  <c r="AA14" i="79"/>
  <c r="Z14" i="79"/>
  <c r="Y14" i="79"/>
  <c r="O14" i="79"/>
  <c r="V14" i="79" s="1"/>
  <c r="N14" i="79"/>
  <c r="M14" i="79"/>
  <c r="T14" i="79" s="1"/>
  <c r="W14" i="79" s="1"/>
  <c r="L14" i="79"/>
  <c r="K14" i="79"/>
  <c r="R14" i="79" s="1"/>
  <c r="I14" i="79"/>
  <c r="AC13" i="79"/>
  <c r="AB13" i="79"/>
  <c r="AA13" i="79"/>
  <c r="AD13" i="79" s="1"/>
  <c r="Z13" i="79"/>
  <c r="Y13" i="79"/>
  <c r="O13" i="79"/>
  <c r="N13" i="79"/>
  <c r="U13" i="79" s="1"/>
  <c r="M13" i="79"/>
  <c r="L13" i="79"/>
  <c r="S13" i="79" s="1"/>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U3" i="79" s="1"/>
  <c r="M11" i="79"/>
  <c r="L11" i="79"/>
  <c r="S3" i="79" s="1"/>
  <c r="K11" i="79"/>
  <c r="I11" i="79"/>
  <c r="AC5" i="79"/>
  <c r="AB5" i="79"/>
  <c r="AB3" i="79" s="1"/>
  <c r="AA5" i="79"/>
  <c r="AD5" i="79" s="1"/>
  <c r="Z5" i="79"/>
  <c r="Z3" i="79" s="1"/>
  <c r="Y5" i="79"/>
  <c r="O5" i="79"/>
  <c r="O3" i="79" s="1"/>
  <c r="N5" i="79"/>
  <c r="M5" i="79"/>
  <c r="P5" i="79" s="1"/>
  <c r="L5" i="79"/>
  <c r="K5" i="79"/>
  <c r="K3" i="79" s="1"/>
  <c r="I5" i="79"/>
  <c r="V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Y3" i="79"/>
  <c r="AC3" i="79"/>
  <c r="S12" i="79"/>
  <c r="U12" i="79"/>
  <c r="R13" i="79"/>
  <c r="V13" i="79"/>
  <c r="S14" i="79"/>
  <c r="U14" i="79"/>
  <c r="S15" i="79"/>
  <c r="U15" i="79"/>
  <c r="N25" i="79"/>
  <c r="T27" i="79"/>
  <c r="S28" i="79"/>
  <c r="U28" i="79"/>
  <c r="AD34" i="79"/>
  <c r="T34" i="79"/>
  <c r="S35" i="79"/>
  <c r="U35" i="79"/>
  <c r="AD36" i="79"/>
  <c r="S37" i="79"/>
  <c r="U37" i="79"/>
  <c r="AD38" i="79"/>
  <c r="S27" i="79"/>
  <c r="M3" i="79"/>
  <c r="P3" i="79" s="1"/>
  <c r="T3" i="79"/>
  <c r="W3" i="79" s="1"/>
  <c r="U27" i="79"/>
  <c r="AD33" i="79"/>
  <c r="T32" i="79"/>
  <c r="T30" i="79"/>
  <c r="W30" i="79" s="1"/>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2"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B66" i="71" s="1"/>
  <c r="N65"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c r="D62" i="71" s="1"/>
  <c r="N61" i="71"/>
  <c r="B62" i="71"/>
  <c r="B63" i="71" s="1"/>
  <c r="B64" i="71" s="1"/>
  <c r="S64" i="71" s="1"/>
  <c r="D61" i="71"/>
  <c r="Q60" i="71"/>
  <c r="P60" i="71"/>
  <c r="O60" i="71"/>
  <c r="N60" i="71"/>
  <c r="Q59" i="71"/>
  <c r="P59" i="71"/>
  <c r="O59" i="71"/>
  <c r="N59" i="71"/>
  <c r="Q58" i="71"/>
  <c r="P58" i="71"/>
  <c r="E59" i="71" s="1"/>
  <c r="E60" i="71" s="1"/>
  <c r="U60" i="71" s="1"/>
  <c r="O58" i="71"/>
  <c r="N58" i="71"/>
  <c r="Q57" i="71"/>
  <c r="F58" i="71"/>
  <c r="F59" i="71" s="1"/>
  <c r="F60" i="71" s="1"/>
  <c r="V60" i="71" s="1"/>
  <c r="P57" i="71"/>
  <c r="E58" i="71" s="1"/>
  <c r="O57" i="71"/>
  <c r="C58" i="71" s="1"/>
  <c r="N57" i="71"/>
  <c r="B58" i="71" s="1"/>
  <c r="D57" i="71"/>
  <c r="Q56" i="71"/>
  <c r="P56" i="71"/>
  <c r="O56" i="71"/>
  <c r="N56" i="71"/>
  <c r="Q55" i="71"/>
  <c r="P55" i="71"/>
  <c r="O55" i="71"/>
  <c r="N55" i="71"/>
  <c r="Q54" i="71"/>
  <c r="P54" i="71"/>
  <c r="O54" i="71"/>
  <c r="N54" i="71"/>
  <c r="C54" i="71"/>
  <c r="D54" i="71" s="1"/>
  <c r="Q53" i="71"/>
  <c r="F54" i="71"/>
  <c r="F55" i="71" s="1"/>
  <c r="F56" i="71" s="1"/>
  <c r="V56" i="71" s="1"/>
  <c r="P53" i="71"/>
  <c r="E54" i="71" s="1"/>
  <c r="E55"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C43" i="71" s="1"/>
  <c r="D43" i="71" s="1"/>
  <c r="N41" i="71"/>
  <c r="B42" i="71" s="1"/>
  <c r="B43" i="71"/>
  <c r="B44" i="71" s="1"/>
  <c r="S44" i="71" s="1"/>
  <c r="D41" i="71"/>
  <c r="Q40" i="71"/>
  <c r="P40" i="71"/>
  <c r="O40" i="71"/>
  <c r="N40" i="71"/>
  <c r="AB39" i="71"/>
  <c r="Q39" i="71"/>
  <c r="P39" i="71"/>
  <c r="O39" i="71"/>
  <c r="N39" i="71"/>
  <c r="X39" i="71"/>
  <c r="Q38" i="71"/>
  <c r="AB38" i="71"/>
  <c r="P38" i="71"/>
  <c r="O38" i="71"/>
  <c r="N38" i="71"/>
  <c r="Q37" i="71"/>
  <c r="AB34" i="71" s="1"/>
  <c r="P37" i="71"/>
  <c r="O37" i="71"/>
  <c r="C38" i="71" s="1"/>
  <c r="C39" i="71" s="1"/>
  <c r="D39" i="71" s="1"/>
  <c r="N37" i="71"/>
  <c r="D37" i="71"/>
  <c r="Q36" i="71"/>
  <c r="AB36" i="71"/>
  <c r="P36" i="71"/>
  <c r="O36" i="71"/>
  <c r="Y36" i="71" s="1"/>
  <c r="Z36" i="71" s="1"/>
  <c r="N36" i="71"/>
  <c r="Q35" i="71"/>
  <c r="P35" i="71"/>
  <c r="O35" i="71"/>
  <c r="Y35" i="71"/>
  <c r="Z35" i="71" s="1"/>
  <c r="N35" i="71"/>
  <c r="Q34" i="71"/>
  <c r="P34" i="71"/>
  <c r="O34" i="71"/>
  <c r="N34" i="71"/>
  <c r="Q33" i="71"/>
  <c r="AB30" i="71" s="1"/>
  <c r="P33" i="71"/>
  <c r="O33" i="71"/>
  <c r="C34" i="71" s="1"/>
  <c r="N33" i="71"/>
  <c r="D33" i="71"/>
  <c r="Q32" i="71"/>
  <c r="AB32" i="71"/>
  <c r="P32" i="71"/>
  <c r="O32" i="71"/>
  <c r="Y32" i="71" s="1"/>
  <c r="Z32" i="71" s="1"/>
  <c r="N32" i="71"/>
  <c r="Q31" i="71"/>
  <c r="P31" i="71"/>
  <c r="O31" i="71"/>
  <c r="Y31" i="71"/>
  <c r="Z31" i="71" s="1"/>
  <c r="N31" i="71"/>
  <c r="X29" i="71" s="1"/>
  <c r="Q30" i="71"/>
  <c r="P30" i="71"/>
  <c r="O30" i="71"/>
  <c r="N30" i="71"/>
  <c r="Q29" i="71"/>
  <c r="P29" i="71"/>
  <c r="O29" i="71"/>
  <c r="N29" i="71"/>
  <c r="D29" i="71"/>
  <c r="O28" i="71"/>
  <c r="N28" i="7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Y33" i="71"/>
  <c r="Z33" i="71" s="1"/>
  <c r="AA34" i="71"/>
  <c r="X36" i="71"/>
  <c r="AA36" i="71"/>
  <c r="Y37" i="71"/>
  <c r="Z37" i="71" s="1"/>
  <c r="X38" i="71"/>
  <c r="AA38" i="71"/>
  <c r="F51" i="71"/>
  <c r="F52" i="71"/>
  <c r="V52" i="71" s="1"/>
  <c r="C28" i="71"/>
  <c r="C27" i="71" s="1"/>
  <c r="D27" i="71" s="1"/>
  <c r="X25" i="71"/>
  <c r="C31" i="71"/>
  <c r="D31" i="71" s="1"/>
  <c r="D38" i="71"/>
  <c r="C51" i="71"/>
  <c r="D51" i="71" s="1"/>
  <c r="D50" i="71"/>
  <c r="P28" i="71"/>
  <c r="E56" i="71"/>
  <c r="U56" i="71" s="1"/>
  <c r="E64" i="71"/>
  <c r="U64" i="71" s="1"/>
  <c r="U68" i="71"/>
  <c r="E67" i="71"/>
  <c r="E66" i="71" s="1"/>
  <c r="P66" i="71" s="1"/>
  <c r="Q28" i="71"/>
  <c r="C55" i="71"/>
  <c r="D55" i="71" s="1"/>
  <c r="C59" i="71"/>
  <c r="D59" i="71" s="1"/>
  <c r="D58" i="71"/>
  <c r="N67" i="71"/>
  <c r="O68" i="71"/>
  <c r="C67" i="71"/>
  <c r="O67" i="71" s="1"/>
  <c r="C71" i="71"/>
  <c r="D71" i="71" s="1"/>
  <c r="E71" i="71"/>
  <c r="E70" i="71"/>
  <c r="D72" i="71"/>
  <c r="C75" i="71"/>
  <c r="C74" i="71" s="1"/>
  <c r="D74" i="71" s="1"/>
  <c r="E75" i="71"/>
  <c r="E74" i="71"/>
  <c r="C79" i="71"/>
  <c r="C78" i="71" s="1"/>
  <c r="E79" i="71"/>
  <c r="E78" i="71"/>
  <c r="D80" i="71"/>
  <c r="C83" i="71"/>
  <c r="D83" i="71" s="1"/>
  <c r="C87" i="71"/>
  <c r="F28" i="71"/>
  <c r="F27" i="71"/>
  <c r="F26" i="71" s="1"/>
  <c r="AB27" i="71"/>
  <c r="E28" i="71"/>
  <c r="AA27" i="71"/>
  <c r="C66" i="71"/>
  <c r="D66" i="71" s="1"/>
  <c r="D67" i="71"/>
  <c r="C82" i="71"/>
  <c r="D82" i="71" s="1"/>
  <c r="D75" i="71"/>
  <c r="N66" i="71"/>
  <c r="D87" i="71"/>
  <c r="C86" i="71"/>
  <c r="D86" i="71" s="1"/>
  <c r="D79" i="71"/>
  <c r="D78" i="71"/>
  <c r="C60" i="71"/>
  <c r="T60" i="71" s="1"/>
  <c r="P67" i="71"/>
  <c r="C52" i="71"/>
  <c r="T52" i="71" s="1"/>
  <c r="C44" i="71"/>
  <c r="T44" i="71" s="1"/>
  <c r="C26" i="71"/>
  <c r="D26" i="71" s="1"/>
  <c r="P65" i="71"/>
  <c r="O65" i="71"/>
  <c r="D44" i="71"/>
  <c r="D52"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94" i="40" s="1"/>
  <c r="G94" i="40" s="1"/>
  <c r="F25" i="40"/>
  <c r="AA25" i="40"/>
  <c r="Q29" i="39"/>
  <c r="Z29" i="39" s="1"/>
  <c r="D102" i="39"/>
  <c r="E102" i="39" s="1"/>
  <c r="F102" i="39" s="1"/>
  <c r="G102" i="39" s="1"/>
  <c r="F29" i="39"/>
  <c r="AA29" i="39" s="1"/>
  <c r="Q18" i="36"/>
  <c r="Z18" i="36" s="1"/>
  <c r="D66" i="36"/>
  <c r="E66" i="36" s="1"/>
  <c r="F66" i="36"/>
  <c r="G66" i="36" s="1"/>
  <c r="H18" i="36"/>
  <c r="AB18" i="36"/>
  <c r="F18" i="36"/>
  <c r="AA18" i="36"/>
  <c r="C18" i="36"/>
  <c r="Z18" i="35"/>
  <c r="Q18" i="35"/>
  <c r="D68" i="35"/>
  <c r="E68" i="35" s="1"/>
  <c r="F68" i="35" s="1"/>
  <c r="G68" i="35" s="1"/>
  <c r="F18" i="35"/>
  <c r="AA18" i="35" s="1"/>
  <c r="C18" i="35"/>
  <c r="Q21" i="37"/>
  <c r="Z21" i="37" s="1"/>
  <c r="D77" i="37"/>
  <c r="E77" i="37"/>
  <c r="F77" i="37" s="1"/>
  <c r="C21" i="37"/>
  <c r="Z21" i="34"/>
  <c r="Q21" i="34"/>
  <c r="D84" i="34"/>
  <c r="E84" i="34" s="1"/>
  <c r="F21" i="34"/>
  <c r="C21" i="34"/>
  <c r="Q21" i="33"/>
  <c r="Z21" i="33" s="1"/>
  <c r="D83" i="33"/>
  <c r="E83" i="33"/>
  <c r="F83" i="33" s="1"/>
  <c r="G83" i="33" s="1"/>
  <c r="C21" i="33"/>
  <c r="C21" i="21"/>
  <c r="Q21" i="21"/>
  <c r="Z21" i="21"/>
  <c r="H19" i="21"/>
  <c r="D83" i="21"/>
  <c r="F21" i="21"/>
  <c r="AA21" i="21"/>
  <c r="D81" i="21"/>
  <c r="G20" i="20"/>
  <c r="B88" i="43" s="1"/>
  <c r="C22" i="20"/>
  <c r="B57" i="43" s="1"/>
  <c r="S25" i="40"/>
  <c r="S18" i="36"/>
  <c r="U18" i="36"/>
  <c r="H25" i="40"/>
  <c r="J25" i="40"/>
  <c r="H29" i="39"/>
  <c r="AB29" i="39" s="1"/>
  <c r="J29" i="39"/>
  <c r="AC29" i="39" s="1"/>
  <c r="J18" i="36"/>
  <c r="H18" i="35"/>
  <c r="S18" i="35"/>
  <c r="J18" i="35"/>
  <c r="AC18" i="35" s="1"/>
  <c r="H21" i="37"/>
  <c r="F21" i="37"/>
  <c r="AA21" i="37" s="1"/>
  <c r="F84" i="34"/>
  <c r="H21" i="34"/>
  <c r="AB21" i="34" s="1"/>
  <c r="H21" i="33"/>
  <c r="U21" i="33" s="1"/>
  <c r="F21" i="33"/>
  <c r="E83" i="21"/>
  <c r="F83" i="21" s="1"/>
  <c r="G83" i="21" s="1"/>
  <c r="S21" i="21"/>
  <c r="H1" i="69"/>
  <c r="AC25" i="40"/>
  <c r="W25" i="40"/>
  <c r="AB25" i="40"/>
  <c r="U25" i="40"/>
  <c r="AC18" i="36"/>
  <c r="W18" i="36"/>
  <c r="AB21" i="37"/>
  <c r="U21" i="37"/>
  <c r="S21" i="37"/>
  <c r="AB21" i="33"/>
  <c r="AA21" i="33"/>
  <c r="S21" i="33"/>
  <c r="AB18" i="35"/>
  <c r="U18" i="35"/>
  <c r="W18" i="35"/>
  <c r="G77" i="37"/>
  <c r="J21" i="37"/>
  <c r="W21" i="37" s="1"/>
  <c r="G84" i="34"/>
  <c r="J21" i="34"/>
  <c r="W21" i="34" s="1"/>
  <c r="J21" i="33"/>
  <c r="W21" i="33" s="1"/>
  <c r="H21" i="21"/>
  <c r="U21" i="21" s="1"/>
  <c r="F38" i="69"/>
  <c r="E37" i="69"/>
  <c r="F36" i="69"/>
  <c r="F35" i="69"/>
  <c r="F21" i="69"/>
  <c r="F40" i="69" s="1"/>
  <c r="F20" i="69"/>
  <c r="F39" i="69" s="1"/>
  <c r="E10" i="69"/>
  <c r="E9" i="69"/>
  <c r="C7" i="69"/>
  <c r="AC21" i="37"/>
  <c r="AC21" i="33"/>
  <c r="AB21"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s="1"/>
  <c r="D53" i="43"/>
  <c r="M52" i="43"/>
  <c r="N52" i="43" s="1"/>
  <c r="K52" i="43"/>
  <c r="J52" i="43" s="1"/>
  <c r="M51" i="43"/>
  <c r="N51" i="43" s="1"/>
  <c r="K51" i="43"/>
  <c r="J51" i="43"/>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J51" i="81" s="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Z39" i="3" s="1"/>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s="1"/>
  <c r="AZ20" i="3" s="1"/>
  <c r="AX20" i="3"/>
  <c r="AW20" i="3"/>
  <c r="AV20" i="3"/>
  <c r="AC20" i="3"/>
  <c r="H20" i="3"/>
  <c r="G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R35" i="4"/>
  <c r="Q35" i="4"/>
  <c r="P35" i="4"/>
  <c r="O35" i="4"/>
  <c r="N35" i="4"/>
  <c r="M35" i="4"/>
  <c r="L35" i="4"/>
  <c r="K34" i="4"/>
  <c r="T34" i="4" s="1"/>
  <c r="G13" i="1"/>
  <c r="H15" i="4"/>
  <c r="F9" i="1" s="1"/>
  <c r="G9" i="1" s="1"/>
  <c r="G15" i="4"/>
  <c r="F12" i="1" s="1"/>
  <c r="G12" i="1" s="1"/>
  <c r="F15" i="4"/>
  <c r="F11" i="1" s="1"/>
  <c r="G11" i="1" s="1"/>
  <c r="D15" i="4"/>
  <c r="F7" i="1" s="1"/>
  <c r="C15" i="4"/>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H493" i="3"/>
  <c r="G493" i="3" s="1"/>
  <c r="AC493" i="3"/>
  <c r="BB493" i="3"/>
  <c r="BB5" i="3" s="1"/>
  <c r="BC493" i="3"/>
  <c r="BD493" i="3"/>
  <c r="BE493" i="3"/>
  <c r="BF493" i="3"/>
  <c r="BF5" i="3" s="1"/>
  <c r="BG493" i="3"/>
  <c r="BH493" i="3"/>
  <c r="BI493" i="3"/>
  <c r="BJ493" i="3"/>
  <c r="BJ5" i="3" s="1"/>
  <c r="BK493" i="3"/>
  <c r="BM493" i="3"/>
  <c r="BN493" i="3"/>
  <c r="BO493" i="3"/>
  <c r="BO5" i="3" s="1"/>
  <c r="BP493" i="3"/>
  <c r="BR493" i="3"/>
  <c r="BS493" i="3"/>
  <c r="BT493" i="3"/>
  <c r="H494" i="3"/>
  <c r="AC494" i="3"/>
  <c r="AC5" i="3" s="1"/>
  <c r="BB494" i="3"/>
  <c r="BC494" i="3"/>
  <c r="BA494" i="3" s="1"/>
  <c r="BD494" i="3"/>
  <c r="BE494" i="3"/>
  <c r="BF494" i="3"/>
  <c r="BG494" i="3"/>
  <c r="BG5" i="3" s="1"/>
  <c r="BH494" i="3"/>
  <c r="BI494" i="3"/>
  <c r="BJ494" i="3"/>
  <c r="BK494" i="3"/>
  <c r="BK5" i="3" s="1"/>
  <c r="BM494" i="3"/>
  <c r="BN494" i="3"/>
  <c r="BL494" i="3" s="1"/>
  <c r="BO494" i="3"/>
  <c r="BP494" i="3"/>
  <c r="BQ494" i="3"/>
  <c r="BR494" i="3"/>
  <c r="BS494" i="3"/>
  <c r="BT494" i="3"/>
  <c r="H495" i="3"/>
  <c r="AC495" i="3"/>
  <c r="BB495" i="3"/>
  <c r="BC495" i="3"/>
  <c r="BA495" i="3" s="1"/>
  <c r="BD495" i="3"/>
  <c r="BE495" i="3"/>
  <c r="BF495" i="3"/>
  <c r="BG495" i="3"/>
  <c r="BH495" i="3"/>
  <c r="BI495" i="3"/>
  <c r="BJ495" i="3"/>
  <c r="BK495" i="3"/>
  <c r="BM495" i="3"/>
  <c r="BN495" i="3"/>
  <c r="BL495" i="3" s="1"/>
  <c r="BO495" i="3"/>
  <c r="BP495" i="3"/>
  <c r="BR495" i="3"/>
  <c r="BS495" i="3"/>
  <c r="BS5" i="3" s="1"/>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L497" i="3" s="1"/>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BB499" i="3"/>
  <c r="BC499" i="3"/>
  <c r="BA499" i="3" s="1"/>
  <c r="BD499" i="3"/>
  <c r="BE499" i="3"/>
  <c r="BF499" i="3"/>
  <c r="BG499" i="3"/>
  <c r="BH499" i="3"/>
  <c r="BI499" i="3"/>
  <c r="BJ499" i="3"/>
  <c r="BK499" i="3"/>
  <c r="BM499" i="3"/>
  <c r="BN499" i="3"/>
  <c r="BL499" i="3" s="1"/>
  <c r="BO499" i="3"/>
  <c r="BP499" i="3"/>
  <c r="BR499" i="3"/>
  <c r="BS499" i="3"/>
  <c r="BT499" i="3"/>
  <c r="H500" i="3"/>
  <c r="AC500" i="3"/>
  <c r="BB500" i="3"/>
  <c r="BA500" i="3" s="1"/>
  <c r="BC500" i="3"/>
  <c r="BD500" i="3"/>
  <c r="BE500" i="3"/>
  <c r="BF500" i="3"/>
  <c r="BG500" i="3"/>
  <c r="BH500" i="3"/>
  <c r="BI500" i="3"/>
  <c r="BJ500" i="3"/>
  <c r="BK500" i="3"/>
  <c r="BM500" i="3"/>
  <c r="BL500" i="3" s="1"/>
  <c r="BN500" i="3"/>
  <c r="BO500" i="3"/>
  <c r="BP500" i="3"/>
  <c r="BQ500" i="3"/>
  <c r="BR500" i="3"/>
  <c r="BS500" i="3"/>
  <c r="BT500" i="3"/>
  <c r="H501" i="3"/>
  <c r="G501" i="3" s="1"/>
  <c r="AC501" i="3"/>
  <c r="BB501" i="3"/>
  <c r="BC501" i="3"/>
  <c r="BD501" i="3"/>
  <c r="BE501" i="3"/>
  <c r="BF501" i="3"/>
  <c r="BG501" i="3"/>
  <c r="BH501" i="3"/>
  <c r="BI501" i="3"/>
  <c r="BJ501" i="3"/>
  <c r="BK501" i="3"/>
  <c r="BM501" i="3"/>
  <c r="BL501" i="3" s="1"/>
  <c r="BN501" i="3"/>
  <c r="BO501" i="3"/>
  <c r="BP501" i="3"/>
  <c r="BR501" i="3"/>
  <c r="BS501" i="3"/>
  <c r="BT501" i="3"/>
  <c r="H502" i="3"/>
  <c r="AC502" i="3"/>
  <c r="BB502" i="3"/>
  <c r="BC502" i="3"/>
  <c r="BD502" i="3"/>
  <c r="BE502" i="3"/>
  <c r="BF502" i="3"/>
  <c r="BG502" i="3"/>
  <c r="BH502" i="3"/>
  <c r="BI502" i="3"/>
  <c r="BJ502" i="3"/>
  <c r="BK502" i="3"/>
  <c r="BM502" i="3"/>
  <c r="BN502" i="3"/>
  <c r="BL502" i="3" s="1"/>
  <c r="AZ502" i="3" s="1"/>
  <c r="BO502" i="3"/>
  <c r="BP502" i="3"/>
  <c r="BQ502" i="3"/>
  <c r="BR502" i="3"/>
  <c r="BS502" i="3"/>
  <c r="BT502" i="3"/>
  <c r="H503" i="3"/>
  <c r="AC503" i="3"/>
  <c r="BB503" i="3"/>
  <c r="BC503" i="3"/>
  <c r="BA503" i="3" s="1"/>
  <c r="AZ503" i="3" s="1"/>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L505" i="3" s="1"/>
  <c r="AZ505" i="3" s="1"/>
  <c r="BN505" i="3"/>
  <c r="BO505" i="3"/>
  <c r="BP505" i="3"/>
  <c r="BR505" i="3"/>
  <c r="BS505" i="3"/>
  <c r="BT505" i="3"/>
  <c r="H506" i="3"/>
  <c r="AC506" i="3"/>
  <c r="BB506" i="3"/>
  <c r="BC506" i="3"/>
  <c r="BA506" i="3" s="1"/>
  <c r="AZ506" i="3" s="1"/>
  <c r="BD506" i="3"/>
  <c r="BE506" i="3"/>
  <c r="BF506" i="3"/>
  <c r="BG506" i="3"/>
  <c r="BH506" i="3"/>
  <c r="BI506" i="3"/>
  <c r="BJ506" i="3"/>
  <c r="BK506" i="3"/>
  <c r="BM506" i="3"/>
  <c r="BN506" i="3"/>
  <c r="BO506" i="3"/>
  <c r="BP506" i="3"/>
  <c r="BQ506" i="3"/>
  <c r="BR506" i="3"/>
  <c r="BS506" i="3"/>
  <c r="BT506" i="3"/>
  <c r="H507" i="3"/>
  <c r="AC507" i="3"/>
  <c r="BB507" i="3"/>
  <c r="BC507" i="3"/>
  <c r="BA507" i="3" s="1"/>
  <c r="AZ507" i="3" s="1"/>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G509" i="3" s="1"/>
  <c r="BB509" i="3"/>
  <c r="BC509" i="3"/>
  <c r="BD509" i="3"/>
  <c r="BE509" i="3"/>
  <c r="BF509" i="3"/>
  <c r="BG509" i="3"/>
  <c r="BH509" i="3"/>
  <c r="BI509" i="3"/>
  <c r="BJ509" i="3"/>
  <c r="BK509" i="3"/>
  <c r="BM509" i="3"/>
  <c r="BN509" i="3"/>
  <c r="BL509" i="3" s="1"/>
  <c r="AZ509" i="3" s="1"/>
  <c r="BO509" i="3"/>
  <c r="BP509" i="3"/>
  <c r="BR509" i="3"/>
  <c r="BS509" i="3"/>
  <c r="BT509" i="3"/>
  <c r="H510" i="3"/>
  <c r="G510" i="3" s="1"/>
  <c r="AC510" i="3"/>
  <c r="BB510" i="3"/>
  <c r="BC510" i="3"/>
  <c r="BD510" i="3"/>
  <c r="BE510" i="3"/>
  <c r="BF510" i="3"/>
  <c r="BG510" i="3"/>
  <c r="BH510" i="3"/>
  <c r="BI510" i="3"/>
  <c r="BJ510" i="3"/>
  <c r="BK510" i="3"/>
  <c r="BM510" i="3"/>
  <c r="BL510" i="3" s="1"/>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L512" i="3" s="1"/>
  <c r="BO512" i="3"/>
  <c r="BP512" i="3"/>
  <c r="BQ512" i="3"/>
  <c r="BR512" i="3"/>
  <c r="BS512" i="3"/>
  <c r="BT512" i="3"/>
  <c r="H513" i="3"/>
  <c r="AC513" i="3"/>
  <c r="G513" i="3" s="1"/>
  <c r="BB513" i="3"/>
  <c r="BC513" i="3"/>
  <c r="BA513" i="3" s="1"/>
  <c r="BD513" i="3"/>
  <c r="BE513" i="3"/>
  <c r="BF513" i="3"/>
  <c r="BG513" i="3"/>
  <c r="BH513" i="3"/>
  <c r="BI513" i="3"/>
  <c r="BJ513" i="3"/>
  <c r="BK513" i="3"/>
  <c r="BM513" i="3"/>
  <c r="BN513" i="3"/>
  <c r="BL513" i="3" s="1"/>
  <c r="BO513" i="3"/>
  <c r="BP513" i="3"/>
  <c r="BR513" i="3"/>
  <c r="BS513" i="3"/>
  <c r="BT513" i="3"/>
  <c r="H514" i="3"/>
  <c r="AC514" i="3"/>
  <c r="BB514" i="3"/>
  <c r="BA514" i="3" s="1"/>
  <c r="AZ514" i="3" s="1"/>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A516" i="3" s="1"/>
  <c r="AZ516" i="3" s="1"/>
  <c r="BD516" i="3"/>
  <c r="BE516" i="3"/>
  <c r="BF516" i="3"/>
  <c r="BG516" i="3"/>
  <c r="BH516" i="3"/>
  <c r="BI516" i="3"/>
  <c r="BJ516" i="3"/>
  <c r="BK516" i="3"/>
  <c r="BM516" i="3"/>
  <c r="BN516" i="3"/>
  <c r="BO516" i="3"/>
  <c r="BP516" i="3"/>
  <c r="BQ516" i="3"/>
  <c r="BR516" i="3"/>
  <c r="BS516" i="3"/>
  <c r="BT516" i="3"/>
  <c r="H517" i="3"/>
  <c r="AC517" i="3"/>
  <c r="G517" i="3" s="1"/>
  <c r="BB517" i="3"/>
  <c r="BC517" i="3"/>
  <c r="BA517" i="3" s="1"/>
  <c r="BD517" i="3"/>
  <c r="BE517" i="3"/>
  <c r="BF517" i="3"/>
  <c r="BG517" i="3"/>
  <c r="BH517" i="3"/>
  <c r="BI517" i="3"/>
  <c r="BJ517" i="3"/>
  <c r="BK517" i="3"/>
  <c r="BM517" i="3"/>
  <c r="BN517" i="3"/>
  <c r="BL517" i="3" s="1"/>
  <c r="BO517" i="3"/>
  <c r="BP517" i="3"/>
  <c r="BR517" i="3"/>
  <c r="BS517" i="3"/>
  <c r="BT517" i="3"/>
  <c r="H518" i="3"/>
  <c r="G518" i="3" s="1"/>
  <c r="AC518" i="3"/>
  <c r="BB518" i="3"/>
  <c r="BA518" i="3" s="1"/>
  <c r="BC518" i="3"/>
  <c r="BD518" i="3"/>
  <c r="BE518" i="3"/>
  <c r="BF518" i="3"/>
  <c r="BG518" i="3"/>
  <c r="BH518" i="3"/>
  <c r="BI518" i="3"/>
  <c r="BJ518" i="3"/>
  <c r="BK518" i="3"/>
  <c r="BM518" i="3"/>
  <c r="BL518" i="3" s="1"/>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L521" i="3" s="1"/>
  <c r="BN521" i="3"/>
  <c r="BO521" i="3"/>
  <c r="BP521" i="3"/>
  <c r="BR521" i="3"/>
  <c r="BS521" i="3"/>
  <c r="BT521" i="3"/>
  <c r="H522" i="3"/>
  <c r="AC522" i="3"/>
  <c r="G522" i="3" s="1"/>
  <c r="BB522" i="3"/>
  <c r="BC522" i="3"/>
  <c r="BA522" i="3" s="1"/>
  <c r="BD522" i="3"/>
  <c r="BE522" i="3"/>
  <c r="BF522" i="3"/>
  <c r="BG522" i="3"/>
  <c r="BH522" i="3"/>
  <c r="BI522" i="3"/>
  <c r="BJ522" i="3"/>
  <c r="BK522" i="3"/>
  <c r="BM522" i="3"/>
  <c r="BN522" i="3"/>
  <c r="BL522" i="3" s="1"/>
  <c r="BO522" i="3"/>
  <c r="BP522" i="3"/>
  <c r="BQ522" i="3"/>
  <c r="BR522" i="3"/>
  <c r="BS522" i="3"/>
  <c r="BT522" i="3"/>
  <c r="H523" i="3"/>
  <c r="AC523" i="3"/>
  <c r="BB523" i="3"/>
  <c r="BC523" i="3"/>
  <c r="BA523" i="3" s="1"/>
  <c r="AZ523" i="3" s="1"/>
  <c r="BD523" i="3"/>
  <c r="BE523" i="3"/>
  <c r="BF523" i="3"/>
  <c r="BG523" i="3"/>
  <c r="BH523" i="3"/>
  <c r="BI523" i="3"/>
  <c r="BJ523" i="3"/>
  <c r="BK523" i="3"/>
  <c r="BM523" i="3"/>
  <c r="BN523" i="3"/>
  <c r="BO523" i="3"/>
  <c r="BP523" i="3"/>
  <c r="BR523" i="3"/>
  <c r="BS523" i="3"/>
  <c r="BT523" i="3"/>
  <c r="H524" i="3"/>
  <c r="AC524" i="3"/>
  <c r="BB524" i="3"/>
  <c r="BA524" i="3" s="1"/>
  <c r="AZ524" i="3" s="1"/>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L525" i="3" s="1"/>
  <c r="AZ525" i="3" s="1"/>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L551" i="3" s="1"/>
  <c r="BO551" i="3"/>
  <c r="BP551" i="3"/>
  <c r="BR551" i="3"/>
  <c r="BS551" i="3"/>
  <c r="BT551" i="3"/>
  <c r="H552" i="3"/>
  <c r="AC552" i="3"/>
  <c r="G552" i="3"/>
  <c r="BB552" i="3"/>
  <c r="BC552" i="3"/>
  <c r="BD552" i="3"/>
  <c r="BE552" i="3"/>
  <c r="BF552" i="3"/>
  <c r="BG552" i="3"/>
  <c r="BH552" i="3"/>
  <c r="BI552" i="3"/>
  <c r="BJ552" i="3"/>
  <c r="BK552" i="3"/>
  <c r="BM552" i="3"/>
  <c r="BN552" i="3"/>
  <c r="BL552" i="3" s="1"/>
  <c r="BO552" i="3"/>
  <c r="BP552" i="3"/>
  <c r="BQ552" i="3"/>
  <c r="BR552" i="3"/>
  <c r="BS552" i="3"/>
  <c r="BT552" i="3"/>
  <c r="H553" i="3"/>
  <c r="AC553" i="3"/>
  <c r="BB553" i="3"/>
  <c r="BC553" i="3"/>
  <c r="BA553" i="3" s="1"/>
  <c r="AZ553" i="3" s="1"/>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L555" i="3" s="1"/>
  <c r="AZ555" i="3" s="1"/>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A562" i="3" s="1"/>
  <c r="BC562" i="3"/>
  <c r="BD562" i="3"/>
  <c r="BE562" i="3"/>
  <c r="BF562" i="3"/>
  <c r="BG562" i="3"/>
  <c r="BH562" i="3"/>
  <c r="BI562" i="3"/>
  <c r="BJ562" i="3"/>
  <c r="BK562" i="3"/>
  <c r="BM562" i="3"/>
  <c r="BL562" i="3" s="1"/>
  <c r="BN562" i="3"/>
  <c r="BO562" i="3"/>
  <c r="BP562" i="3"/>
  <c r="BQ562" i="3"/>
  <c r="BR562" i="3"/>
  <c r="BS562" i="3"/>
  <c r="BT562" i="3"/>
  <c r="H563" i="3"/>
  <c r="AC563" i="3"/>
  <c r="BB563" i="3"/>
  <c r="BA563" i="3" s="1"/>
  <c r="BC563" i="3"/>
  <c r="BD563" i="3"/>
  <c r="BE563" i="3"/>
  <c r="BF563" i="3"/>
  <c r="BG563" i="3"/>
  <c r="BH563" i="3"/>
  <c r="BI563" i="3"/>
  <c r="BJ563" i="3"/>
  <c r="BK563" i="3"/>
  <c r="BM563" i="3"/>
  <c r="BL563" i="3" s="1"/>
  <c r="BN563" i="3"/>
  <c r="BO563" i="3"/>
  <c r="BP563" i="3"/>
  <c r="BR563" i="3"/>
  <c r="BS563" i="3"/>
  <c r="BT563" i="3"/>
  <c r="H564" i="3"/>
  <c r="AC564" i="3"/>
  <c r="G564" i="3" s="1"/>
  <c r="BB564" i="3"/>
  <c r="BC564" i="3"/>
  <c r="BA564" i="3" s="1"/>
  <c r="AZ564" i="3" s="1"/>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c r="BB566" i="3"/>
  <c r="BC566" i="3"/>
  <c r="BA566" i="3" s="1"/>
  <c r="AZ566" i="3" s="1"/>
  <c r="BD566" i="3"/>
  <c r="BE566" i="3"/>
  <c r="BF566" i="3"/>
  <c r="BG566" i="3"/>
  <c r="BH566" i="3"/>
  <c r="BI566" i="3"/>
  <c r="BJ566" i="3"/>
  <c r="BK566" i="3"/>
  <c r="BM566" i="3"/>
  <c r="BN566" i="3"/>
  <c r="BO566" i="3"/>
  <c r="BP566" i="3"/>
  <c r="BQ566" i="3"/>
  <c r="BR566" i="3"/>
  <c r="BS566" i="3"/>
  <c r="BT566" i="3"/>
  <c r="H567" i="3"/>
  <c r="AC567" i="3"/>
  <c r="BB567" i="3"/>
  <c r="BC567" i="3"/>
  <c r="BA567" i="3" s="1"/>
  <c r="BD567" i="3"/>
  <c r="BE567" i="3"/>
  <c r="BF567" i="3"/>
  <c r="BG567" i="3"/>
  <c r="BH567" i="3"/>
  <c r="BI567" i="3"/>
  <c r="BJ567" i="3"/>
  <c r="BK567" i="3"/>
  <c r="BM567" i="3"/>
  <c r="BN567" i="3"/>
  <c r="BL567" i="3" s="1"/>
  <c r="BO567" i="3"/>
  <c r="BP567" i="3"/>
  <c r="BR567" i="3"/>
  <c r="BS567" i="3"/>
  <c r="BT567" i="3"/>
  <c r="H568" i="3"/>
  <c r="AC568" i="3"/>
  <c r="BB568" i="3"/>
  <c r="BA568" i="3" s="1"/>
  <c r="BC568" i="3"/>
  <c r="BD568" i="3"/>
  <c r="BE568" i="3"/>
  <c r="BF568" i="3"/>
  <c r="BG568" i="3"/>
  <c r="BH568" i="3"/>
  <c r="BI568" i="3"/>
  <c r="BJ568" i="3"/>
  <c r="BK568" i="3"/>
  <c r="BM568" i="3"/>
  <c r="BL568" i="3" s="1"/>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A578" i="3" s="1"/>
  <c r="BC578" i="3"/>
  <c r="BD578" i="3"/>
  <c r="BE578" i="3"/>
  <c r="BF578" i="3"/>
  <c r="BG578" i="3"/>
  <c r="BH578" i="3"/>
  <c r="BI578" i="3"/>
  <c r="BJ578" i="3"/>
  <c r="BK578" i="3"/>
  <c r="BM578" i="3"/>
  <c r="BL578" i="3" s="1"/>
  <c r="BN578" i="3"/>
  <c r="BO578" i="3"/>
  <c r="BP578" i="3"/>
  <c r="BQ578" i="3"/>
  <c r="BR578" i="3"/>
  <c r="BS578" i="3"/>
  <c r="BT578" i="3"/>
  <c r="H579" i="3"/>
  <c r="AC579" i="3"/>
  <c r="BB579" i="3"/>
  <c r="BA579" i="3" s="1"/>
  <c r="BC579" i="3"/>
  <c r="BD579" i="3"/>
  <c r="BE579" i="3"/>
  <c r="BF579" i="3"/>
  <c r="BG579" i="3"/>
  <c r="BH579" i="3"/>
  <c r="BI579" i="3"/>
  <c r="BJ579" i="3"/>
  <c r="BK579" i="3"/>
  <c r="BM579" i="3"/>
  <c r="BL579" i="3" s="1"/>
  <c r="BN579" i="3"/>
  <c r="BO579" i="3"/>
  <c r="BP579" i="3"/>
  <c r="BR579" i="3"/>
  <c r="BS579" i="3"/>
  <c r="BT579" i="3"/>
  <c r="H580" i="3"/>
  <c r="AC580" i="3"/>
  <c r="G580" i="3" s="1"/>
  <c r="BB580" i="3"/>
  <c r="BC580" i="3"/>
  <c r="BA580" i="3" s="1"/>
  <c r="AZ580" i="3" s="1"/>
  <c r="BD580" i="3"/>
  <c r="BE580" i="3"/>
  <c r="BF580" i="3"/>
  <c r="BG580" i="3"/>
  <c r="BH580" i="3"/>
  <c r="BI580" i="3"/>
  <c r="BJ580" i="3"/>
  <c r="BK580" i="3"/>
  <c r="BM580" i="3"/>
  <c r="BN580" i="3"/>
  <c r="BO580" i="3"/>
  <c r="BP580" i="3"/>
  <c r="BQ580" i="3"/>
  <c r="BR580" i="3"/>
  <c r="BS580" i="3"/>
  <c r="BT580" i="3"/>
  <c r="H581" i="3"/>
  <c r="AC581" i="3"/>
  <c r="G581" i="3" s="1"/>
  <c r="BB581" i="3"/>
  <c r="BC581" i="3"/>
  <c r="BA581" i="3" s="1"/>
  <c r="BD581" i="3"/>
  <c r="BE581" i="3"/>
  <c r="BF581" i="3"/>
  <c r="BG581" i="3"/>
  <c r="BH581" i="3"/>
  <c r="BI581" i="3"/>
  <c r="BJ581" i="3"/>
  <c r="BK581" i="3"/>
  <c r="BM581" i="3"/>
  <c r="BN581" i="3"/>
  <c r="BL581" i="3" s="1"/>
  <c r="BO581" i="3"/>
  <c r="BP581" i="3"/>
  <c r="BR581" i="3"/>
  <c r="BS581" i="3"/>
  <c r="BT581" i="3"/>
  <c r="H582" i="3"/>
  <c r="AC582" i="3"/>
  <c r="G582" i="3"/>
  <c r="BB582" i="3"/>
  <c r="BC582" i="3"/>
  <c r="BA582" i="3" s="1"/>
  <c r="AZ582" i="3" s="1"/>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L584" i="3" s="1"/>
  <c r="AZ584" i="3" s="1"/>
  <c r="BN584" i="3"/>
  <c r="BO584" i="3"/>
  <c r="BP584" i="3"/>
  <c r="BQ584" i="3"/>
  <c r="BR584" i="3"/>
  <c r="BS584" i="3"/>
  <c r="BT584" i="3"/>
  <c r="H7" i="12"/>
  <c r="I7" i="12"/>
  <c r="J7" i="12"/>
  <c r="K7" i="12"/>
  <c r="H111" i="21"/>
  <c r="B109" i="39"/>
  <c r="B111" i="39"/>
  <c r="F36" i="39" s="1"/>
  <c r="J30" i="36"/>
  <c r="H30" i="36"/>
  <c r="AB30" i="36" s="1"/>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AA42" i="34" s="1"/>
  <c r="J38" i="34"/>
  <c r="W38" i="34" s="1"/>
  <c r="D114" i="34"/>
  <c r="F38" i="34"/>
  <c r="S38" i="34" s="1"/>
  <c r="D112" i="34"/>
  <c r="E112" i="34" s="1"/>
  <c r="F112" i="34" s="1"/>
  <c r="F40" i="33"/>
  <c r="AA40" i="33" s="1"/>
  <c r="J41" i="33"/>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H14" i="40" s="1"/>
  <c r="B79" i="40"/>
  <c r="B77" i="40"/>
  <c r="J12" i="40" s="1"/>
  <c r="AC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D96" i="39"/>
  <c r="J23" i="39"/>
  <c r="AC23" i="39" s="1"/>
  <c r="D94" i="39"/>
  <c r="E94" i="39" s="1"/>
  <c r="F94" i="39"/>
  <c r="D92" i="39"/>
  <c r="E92" i="39"/>
  <c r="F92" i="39" s="1"/>
  <c r="G92" i="39" s="1"/>
  <c r="D90" i="39"/>
  <c r="E90" i="39"/>
  <c r="F90" i="39" s="1"/>
  <c r="G90" i="39" s="1"/>
  <c r="D88" i="39"/>
  <c r="E88" i="39" s="1"/>
  <c r="F88" i="39" s="1"/>
  <c r="G88" i="39" s="1"/>
  <c r="B85" i="39"/>
  <c r="F14" i="39" s="1"/>
  <c r="B83" i="39"/>
  <c r="B81" i="39"/>
  <c r="J12" i="39" s="1"/>
  <c r="W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B110" i="37"/>
  <c r="J39" i="37"/>
  <c r="AC39" i="37" s="1"/>
  <c r="B108" i="37"/>
  <c r="H38" i="37" s="1"/>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F28" i="37" s="1"/>
  <c r="B84" i="37"/>
  <c r="H27" i="37"/>
  <c r="U27" i="37" s="1"/>
  <c r="B82" i="37"/>
  <c r="D79" i="37"/>
  <c r="E79" i="37"/>
  <c r="D75" i="37"/>
  <c r="E75" i="37"/>
  <c r="D73" i="37"/>
  <c r="E73" i="37"/>
  <c r="F73" i="37" s="1"/>
  <c r="D71" i="37"/>
  <c r="E71" i="37" s="1"/>
  <c r="F71" i="37" s="1"/>
  <c r="G71" i="37" s="1"/>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F79" i="36"/>
  <c r="E79" i="36"/>
  <c r="D79" i="36"/>
  <c r="C79" i="36"/>
  <c r="B93" i="36"/>
  <c r="H33" i="36"/>
  <c r="U33" i="36" s="1"/>
  <c r="B91" i="36"/>
  <c r="F32" i="36"/>
  <c r="AA32" i="36" s="1"/>
  <c r="B95" i="36"/>
  <c r="H34" i="36"/>
  <c r="U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c r="D64" i="36"/>
  <c r="E64" i="36"/>
  <c r="F64" i="36" s="1"/>
  <c r="G64" i="36" s="1"/>
  <c r="J16" i="36"/>
  <c r="W16" i="36"/>
  <c r="D62" i="36"/>
  <c r="E62" i="36"/>
  <c r="F62" i="36" s="1"/>
  <c r="G62" i="36"/>
  <c r="B59" i="36"/>
  <c r="B57" i="36"/>
  <c r="J12" i="36" s="1"/>
  <c r="AC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AC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s="1"/>
  <c r="Q31" i="34"/>
  <c r="Z31" i="34"/>
  <c r="Q30" i="34"/>
  <c r="Z30" i="34" s="1"/>
  <c r="Q29" i="34"/>
  <c r="Z29" i="34" s="1"/>
  <c r="Q28" i="34"/>
  <c r="Z28" i="34" s="1"/>
  <c r="Q27" i="34"/>
  <c r="Z27" i="34"/>
  <c r="Q25" i="34"/>
  <c r="Z25" i="34" s="1"/>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U9" i="34" s="1"/>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F27" i="33" s="1"/>
  <c r="D87" i="33"/>
  <c r="E87" i="33"/>
  <c r="F87" i="33" s="1"/>
  <c r="G87" i="33" s="1"/>
  <c r="H87" i="33" s="1"/>
  <c r="I87" i="33" s="1"/>
  <c r="J87" i="33" s="1"/>
  <c r="K87" i="33" s="1"/>
  <c r="L87" i="33" s="1"/>
  <c r="M87" i="33" s="1"/>
  <c r="D85" i="33"/>
  <c r="E85" i="33"/>
  <c r="F85" i="33" s="1"/>
  <c r="G85" i="33" s="1"/>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AA9" i="21" s="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F77" i="21" s="1"/>
  <c r="G77" i="21" s="1"/>
  <c r="B130" i="21"/>
  <c r="B128" i="21"/>
  <c r="J45" i="21" s="1"/>
  <c r="B126" i="21"/>
  <c r="B98" i="21"/>
  <c r="H31" i="21" s="1"/>
  <c r="B96" i="21"/>
  <c r="H30" i="21" s="1"/>
  <c r="B94" i="21"/>
  <c r="J29" i="21"/>
  <c r="AC29" i="21" s="1"/>
  <c r="B92" i="21"/>
  <c r="H28" i="21" s="1"/>
  <c r="B90" i="21"/>
  <c r="J27" i="21"/>
  <c r="W27" i="21" s="1"/>
  <c r="B74" i="21"/>
  <c r="J14" i="21" s="1"/>
  <c r="B72" i="21"/>
  <c r="H13" i="21"/>
  <c r="U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A586" i="3" s="1"/>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c r="J45" i="39"/>
  <c r="W45" i="39"/>
  <c r="J44" i="39"/>
  <c r="AC44" i="39"/>
  <c r="J35" i="39"/>
  <c r="AC35" i="39" s="1"/>
  <c r="F35" i="39"/>
  <c r="AA35" i="39" s="1"/>
  <c r="U30" i="37"/>
  <c r="E103" i="37"/>
  <c r="F103" i="37" s="1"/>
  <c r="G103" i="37" s="1"/>
  <c r="H103" i="37" s="1"/>
  <c r="I103" i="37" s="1"/>
  <c r="J103" i="37" s="1"/>
  <c r="K103" i="37" s="1"/>
  <c r="L103" i="37" s="1"/>
  <c r="M103" i="37" s="1"/>
  <c r="F39" i="37"/>
  <c r="S39" i="37"/>
  <c r="F29" i="36"/>
  <c r="AA29" i="36" s="1"/>
  <c r="F16" i="36"/>
  <c r="AA16" i="36"/>
  <c r="W28" i="36"/>
  <c r="J33" i="36"/>
  <c r="AC33" i="36" s="1"/>
  <c r="H22" i="35"/>
  <c r="AB22" i="35"/>
  <c r="AC27" i="35"/>
  <c r="W28" i="35"/>
  <c r="S34" i="35"/>
  <c r="W34" i="35"/>
  <c r="W36" i="35"/>
  <c r="W22" i="35"/>
  <c r="S31" i="35"/>
  <c r="F36" i="34"/>
  <c r="S36" i="34" s="1"/>
  <c r="J35" i="34"/>
  <c r="U34" i="34"/>
  <c r="H39" i="33"/>
  <c r="AB39" i="33" s="1"/>
  <c r="F26" i="33"/>
  <c r="AA26" i="33" s="1"/>
  <c r="U33" i="33"/>
  <c r="S40" i="33"/>
  <c r="W39" i="33"/>
  <c r="H39" i="37"/>
  <c r="AB39" i="37"/>
  <c r="S27" i="35"/>
  <c r="F11" i="40"/>
  <c r="AA11" i="40" s="1"/>
  <c r="H11" i="40"/>
  <c r="AB11" i="40" s="1"/>
  <c r="W8" i="40"/>
  <c r="AC40" i="40"/>
  <c r="AA9" i="40"/>
  <c r="AC9" i="40"/>
  <c r="U9" i="40"/>
  <c r="S34" i="40"/>
  <c r="S40" i="40"/>
  <c r="W31" i="40"/>
  <c r="U34" i="40"/>
  <c r="U40" i="40"/>
  <c r="F42" i="39"/>
  <c r="AA42" i="39" s="1"/>
  <c r="F41" i="39"/>
  <c r="S41" i="39" s="1"/>
  <c r="H40" i="39"/>
  <c r="AB40" i="39" s="1"/>
  <c r="H39" i="39"/>
  <c r="U39" i="39" s="1"/>
  <c r="S38" i="39"/>
  <c r="H34" i="39"/>
  <c r="U34" i="39" s="1"/>
  <c r="E108"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S27" i="39" s="1"/>
  <c r="F11" i="21"/>
  <c r="S11" i="21" s="1"/>
  <c r="S40" i="21"/>
  <c r="U34" i="21"/>
  <c r="S34" i="21"/>
  <c r="C25" i="39"/>
  <c r="C27" i="39"/>
  <c r="C21" i="39"/>
  <c r="H11" i="39"/>
  <c r="U11" i="39" s="1"/>
  <c r="S40" i="39"/>
  <c r="C15" i="39"/>
  <c r="H32" i="33"/>
  <c r="AB32" i="33"/>
  <c r="H11" i="21"/>
  <c r="U11" i="21" s="1"/>
  <c r="J11" i="21"/>
  <c r="W11" i="21" s="1"/>
  <c r="H37" i="40"/>
  <c r="U37" i="40"/>
  <c r="H36" i="40"/>
  <c r="AB36" i="40"/>
  <c r="F35" i="40"/>
  <c r="AA35" i="40"/>
  <c r="H23" i="40"/>
  <c r="AB23" i="40"/>
  <c r="H17" i="40"/>
  <c r="U17" i="40"/>
  <c r="J15" i="40"/>
  <c r="W15" i="40"/>
  <c r="J11" i="40"/>
  <c r="W11" i="40"/>
  <c r="AB12" i="33"/>
  <c r="AB12" i="35"/>
  <c r="F37" i="39"/>
  <c r="AA37" i="39"/>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S12" i="36" s="1"/>
  <c r="F34" i="36"/>
  <c r="S34" i="36"/>
  <c r="F14" i="35"/>
  <c r="AA14" i="35"/>
  <c r="J32" i="35"/>
  <c r="AC32" i="35" s="1"/>
  <c r="J16" i="35"/>
  <c r="AC16" i="35" s="1"/>
  <c r="H16" i="35"/>
  <c r="U16" i="35" s="1"/>
  <c r="F16" i="35"/>
  <c r="S16" i="35" s="1"/>
  <c r="H14" i="35"/>
  <c r="AB14" i="35" s="1"/>
  <c r="J29" i="35"/>
  <c r="W29" i="35" s="1"/>
  <c r="H33" i="35"/>
  <c r="AB33" i="35"/>
  <c r="J20" i="35"/>
  <c r="W20" i="35"/>
  <c r="F35" i="37"/>
  <c r="S35" i="37"/>
  <c r="E101" i="37"/>
  <c r="F101" i="37"/>
  <c r="G101" i="37" s="1"/>
  <c r="H101" i="37" s="1"/>
  <c r="I101" i="37" s="1"/>
  <c r="J101" i="37" s="1"/>
  <c r="K101" i="37" s="1"/>
  <c r="L101" i="37" s="1"/>
  <c r="M101" i="37" s="1"/>
  <c r="J34" i="37"/>
  <c r="W34" i="37" s="1"/>
  <c r="AA39" i="37"/>
  <c r="AB34" i="37"/>
  <c r="J33" i="37"/>
  <c r="AC33" i="37" s="1"/>
  <c r="U42" i="34"/>
  <c r="H40" i="34"/>
  <c r="U40" i="34" s="1"/>
  <c r="E114" i="34"/>
  <c r="F114" i="34" s="1"/>
  <c r="G114" i="34" s="1"/>
  <c r="H114" i="34" s="1"/>
  <c r="I114" i="34" s="1"/>
  <c r="J114" i="34" s="1"/>
  <c r="K114" i="34" s="1"/>
  <c r="L114" i="34" s="1"/>
  <c r="M114" i="34" s="1"/>
  <c r="H36" i="34"/>
  <c r="U36" i="34" s="1"/>
  <c r="F28" i="34"/>
  <c r="AA28" i="34" s="1"/>
  <c r="F25" i="34"/>
  <c r="S25" i="34" s="1"/>
  <c r="H23" i="34"/>
  <c r="U23" i="34" s="1"/>
  <c r="J23" i="34"/>
  <c r="AC23" i="34" s="1"/>
  <c r="F19" i="34"/>
  <c r="S19" i="34" s="1"/>
  <c r="H17" i="34"/>
  <c r="U17" i="34" s="1"/>
  <c r="F15" i="34"/>
  <c r="S15" i="34" s="1"/>
  <c r="H15" i="34"/>
  <c r="AB15" i="34" s="1"/>
  <c r="W8" i="34"/>
  <c r="J28" i="34"/>
  <c r="W28" i="34" s="1"/>
  <c r="F41" i="33"/>
  <c r="AA41" i="33" s="1"/>
  <c r="S38"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AA12" i="36"/>
  <c r="U33" i="35"/>
  <c r="F29" i="35"/>
  <c r="S29" i="35" s="1"/>
  <c r="H29" i="35"/>
  <c r="AB29" i="35" s="1"/>
  <c r="H33" i="37"/>
  <c r="AB33" i="37" s="1"/>
  <c r="F33" i="37"/>
  <c r="AA33" i="37" s="1"/>
  <c r="U34" i="37"/>
  <c r="S34" i="37"/>
  <c r="AA34" i="37"/>
  <c r="J43" i="34"/>
  <c r="W43" i="34" s="1"/>
  <c r="AB42" i="34"/>
  <c r="J40" i="34"/>
  <c r="W40" i="34" s="1"/>
  <c r="H38" i="34"/>
  <c r="AB38" i="34"/>
  <c r="J36" i="34"/>
  <c r="AC36" i="34" s="1"/>
  <c r="H25" i="34"/>
  <c r="AB25" i="34" s="1"/>
  <c r="J25" i="34"/>
  <c r="AC25" i="34" s="1"/>
  <c r="F23" i="34"/>
  <c r="AA23" i="34" s="1"/>
  <c r="J19" i="34"/>
  <c r="AC19" i="34" s="1"/>
  <c r="F17" i="34"/>
  <c r="AA17" i="34" s="1"/>
  <c r="J17" i="34"/>
  <c r="W17" i="34" s="1"/>
  <c r="S41" i="33"/>
  <c r="H37" i="33"/>
  <c r="AB37" i="33"/>
  <c r="H15" i="33"/>
  <c r="AB15" i="33"/>
  <c r="H11" i="33"/>
  <c r="AB11" i="33" s="1"/>
  <c r="F28" i="40"/>
  <c r="AA28" i="40" s="1"/>
  <c r="AA29" i="35"/>
  <c r="S42" i="34"/>
  <c r="AC38" i="34"/>
  <c r="AA38" i="34"/>
  <c r="J11" i="33"/>
  <c r="W11" i="33" s="1"/>
  <c r="S28" i="34"/>
  <c r="U23" i="40"/>
  <c r="J42" i="21"/>
  <c r="AC42" i="21" s="1"/>
  <c r="H42" i="21"/>
  <c r="U42" i="21" s="1"/>
  <c r="J44" i="34"/>
  <c r="W44" i="34" s="1"/>
  <c r="F44" i="34"/>
  <c r="AA44" i="34" s="1"/>
  <c r="J10" i="35"/>
  <c r="AC10" i="35" s="1"/>
  <c r="BL587" i="3"/>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13" i="33"/>
  <c r="H13" i="33"/>
  <c r="U13" i="33" s="1"/>
  <c r="F13" i="33"/>
  <c r="S13" i="33"/>
  <c r="J29" i="33"/>
  <c r="AC29" i="33"/>
  <c r="H29" i="33"/>
  <c r="U29" i="33"/>
  <c r="F29" i="33"/>
  <c r="S29" i="33"/>
  <c r="J31" i="33"/>
  <c r="W31" i="33"/>
  <c r="H31" i="33"/>
  <c r="F31" i="33"/>
  <c r="S31" i="33" s="1"/>
  <c r="H45" i="33"/>
  <c r="U45" i="33"/>
  <c r="J45" i="33"/>
  <c r="W45" i="33"/>
  <c r="F45" i="33"/>
  <c r="AA45" i="33"/>
  <c r="J14" i="34"/>
  <c r="W14" i="34" s="1"/>
  <c r="F14" i="34"/>
  <c r="S14" i="34" s="1"/>
  <c r="H14" i="34"/>
  <c r="H30" i="34"/>
  <c r="AB30" i="34" s="1"/>
  <c r="F30" i="34"/>
  <c r="S30" i="34" s="1"/>
  <c r="J30" i="34"/>
  <c r="W30" i="34" s="1"/>
  <c r="H32" i="34"/>
  <c r="F32" i="34"/>
  <c r="AA32" i="34" s="1"/>
  <c r="J32" i="34"/>
  <c r="W32" i="34" s="1"/>
  <c r="H46" i="34"/>
  <c r="U46" i="34" s="1"/>
  <c r="F46" i="34"/>
  <c r="J46" i="34"/>
  <c r="AC46" i="34" s="1"/>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W12" i="40"/>
  <c r="H14" i="33"/>
  <c r="U14" i="33"/>
  <c r="F14" i="33"/>
  <c r="S14" i="33"/>
  <c r="J14" i="33"/>
  <c r="H30" i="33"/>
  <c r="AB30" i="33" s="1"/>
  <c r="F30" i="33"/>
  <c r="S30" i="33" s="1"/>
  <c r="J30" i="33"/>
  <c r="H44" i="33"/>
  <c r="U44" i="33" s="1"/>
  <c r="J44" i="33"/>
  <c r="AC44" i="33"/>
  <c r="F44" i="33"/>
  <c r="S44" i="33"/>
  <c r="J46" i="33"/>
  <c r="AC46" i="33"/>
  <c r="F46" i="33"/>
  <c r="AA46" i="33"/>
  <c r="H46" i="33"/>
  <c r="AB46" i="33"/>
  <c r="H13" i="34"/>
  <c r="U13" i="34"/>
  <c r="J13" i="34"/>
  <c r="W13" i="34" s="1"/>
  <c r="F13" i="34"/>
  <c r="AA13" i="34" s="1"/>
  <c r="J29" i="34"/>
  <c r="W29" i="34" s="1"/>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43" i="39"/>
  <c r="AA43" i="39" s="1"/>
  <c r="H43" i="39"/>
  <c r="U43" i="39" s="1"/>
  <c r="J14" i="39"/>
  <c r="AC14" i="39" s="1"/>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S13" i="39" s="1"/>
  <c r="J13" i="39"/>
  <c r="W13" i="39" s="1"/>
  <c r="H13" i="39"/>
  <c r="AB13" i="39" s="1"/>
  <c r="J14" i="37"/>
  <c r="AC14" i="37"/>
  <c r="J27" i="37"/>
  <c r="AC27" i="37"/>
  <c r="AA44" i="33"/>
  <c r="AA13" i="35"/>
  <c r="U46" i="33"/>
  <c r="AA14" i="33"/>
  <c r="J36" i="37"/>
  <c r="AC36" i="37" s="1"/>
  <c r="G105" i="37"/>
  <c r="J10" i="36"/>
  <c r="AC10" i="36" s="1"/>
  <c r="AB26" i="33"/>
  <c r="AA14" i="37"/>
  <c r="AC13" i="36"/>
  <c r="W13" i="36"/>
  <c r="S11" i="36"/>
  <c r="AC30" i="34"/>
  <c r="AA14" i="34"/>
  <c r="S45" i="33"/>
  <c r="AB45" i="33"/>
  <c r="AB31" i="33"/>
  <c r="U31" i="33"/>
  <c r="W29" i="33"/>
  <c r="BA585" i="3"/>
  <c r="AZ585" i="3" s="1"/>
  <c r="F17" i="21"/>
  <c r="AA17" i="21"/>
  <c r="H17" i="21"/>
  <c r="AB17" i="21"/>
  <c r="F15" i="21"/>
  <c r="S15" i="21"/>
  <c r="J41" i="39"/>
  <c r="W41" i="39" s="1"/>
  <c r="AC45" i="39"/>
  <c r="W44" i="39"/>
  <c r="W35" i="39"/>
  <c r="S35" i="39"/>
  <c r="G544" i="3"/>
  <c r="G540" i="3"/>
  <c r="G536" i="3"/>
  <c r="G535" i="3"/>
  <c r="G532" i="3"/>
  <c r="G531" i="3"/>
  <c r="G528" i="3"/>
  <c r="G527" i="3"/>
  <c r="G523" i="3"/>
  <c r="G514" i="3"/>
  <c r="G508" i="3"/>
  <c r="G500" i="3"/>
  <c r="G584" i="3"/>
  <c r="G576" i="3"/>
  <c r="G572" i="3"/>
  <c r="G568" i="3"/>
  <c r="G560" i="3"/>
  <c r="G550" i="3"/>
  <c r="BL580" i="3"/>
  <c r="BL576" i="3"/>
  <c r="BL572" i="3"/>
  <c r="BL564" i="3"/>
  <c r="BL560" i="3"/>
  <c r="BL554" i="3"/>
  <c r="BL546" i="3"/>
  <c r="BL542" i="3"/>
  <c r="BL538" i="3"/>
  <c r="BL534" i="3"/>
  <c r="BL530" i="3"/>
  <c r="BL526" i="3"/>
  <c r="BL516" i="3"/>
  <c r="BL506" i="3"/>
  <c r="BL498" i="3"/>
  <c r="BL582" i="3"/>
  <c r="BL574" i="3"/>
  <c r="BL570" i="3"/>
  <c r="BL566" i="3"/>
  <c r="BL556" i="3"/>
  <c r="BL544" i="3"/>
  <c r="BL540" i="3"/>
  <c r="BL536" i="3"/>
  <c r="G533" i="3"/>
  <c r="BL532" i="3"/>
  <c r="G529" i="3"/>
  <c r="BL528" i="3"/>
  <c r="BL524" i="3"/>
  <c r="BL514" i="3"/>
  <c r="BL504" i="3"/>
  <c r="BL496" i="3"/>
  <c r="BA584" i="3"/>
  <c r="BA576" i="3"/>
  <c r="AZ576" i="3"/>
  <c r="BA574" i="3"/>
  <c r="AZ574" i="3"/>
  <c r="BA572" i="3"/>
  <c r="AZ572" i="3"/>
  <c r="BA570" i="3"/>
  <c r="AZ570"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AZ530" i="3" s="1"/>
  <c r="BA528" i="3"/>
  <c r="AZ528" i="3"/>
  <c r="BA526" i="3"/>
  <c r="AZ526" i="3"/>
  <c r="BA520" i="3"/>
  <c r="AZ520" i="3" s="1"/>
  <c r="BA512" i="3"/>
  <c r="AZ512" i="3" s="1"/>
  <c r="BA510" i="3"/>
  <c r="AZ510" i="3" s="1"/>
  <c r="BA508" i="3"/>
  <c r="AZ508" i="3" s="1"/>
  <c r="BA504" i="3"/>
  <c r="AZ504" i="3" s="1"/>
  <c r="BA502" i="3"/>
  <c r="BA498" i="3"/>
  <c r="AZ498" i="3" s="1"/>
  <c r="BA496" i="3"/>
  <c r="BA587" i="3"/>
  <c r="AZ587" i="3" s="1"/>
  <c r="BA583" i="3"/>
  <c r="AZ583" i="3" s="1"/>
  <c r="BA577" i="3"/>
  <c r="AZ577" i="3" s="1"/>
  <c r="BA575" i="3"/>
  <c r="BA573" i="3"/>
  <c r="AZ573" i="3" s="1"/>
  <c r="BA571" i="3"/>
  <c r="BA569" i="3"/>
  <c r="AZ569" i="3" s="1"/>
  <c r="BA565" i="3"/>
  <c r="AZ565" i="3" s="1"/>
  <c r="BA561" i="3"/>
  <c r="BA559" i="3"/>
  <c r="BA555" i="3"/>
  <c r="BA549" i="3"/>
  <c r="BA547" i="3"/>
  <c r="BA545" i="3"/>
  <c r="BA543" i="3"/>
  <c r="BA541" i="3"/>
  <c r="BA539" i="3"/>
  <c r="BA537" i="3"/>
  <c r="BA535" i="3"/>
  <c r="BA533" i="3"/>
  <c r="BA531" i="3"/>
  <c r="BA529" i="3"/>
  <c r="BA527" i="3"/>
  <c r="BA525" i="3"/>
  <c r="BA519" i="3"/>
  <c r="AZ519" i="3" s="1"/>
  <c r="BA515" i="3"/>
  <c r="AZ515" i="3" s="1"/>
  <c r="BA511" i="3"/>
  <c r="AZ511" i="3" s="1"/>
  <c r="BA505" i="3"/>
  <c r="BA501" i="3"/>
  <c r="AZ501" i="3" s="1"/>
  <c r="BA497" i="3"/>
  <c r="AZ497" i="3" s="1"/>
  <c r="BA493" i="3"/>
  <c r="AZ493" i="3" s="1"/>
  <c r="AZ560" i="3"/>
  <c r="G583" i="3"/>
  <c r="G579" i="3"/>
  <c r="G577" i="3"/>
  <c r="G575" i="3"/>
  <c r="G573" i="3"/>
  <c r="G571" i="3"/>
  <c r="G567" i="3"/>
  <c r="G563" i="3"/>
  <c r="G561" i="3"/>
  <c r="BL558" i="3"/>
  <c r="BA557" i="3"/>
  <c r="AC557" i="3"/>
  <c r="G557" i="3"/>
  <c r="BQ557" i="3"/>
  <c r="BL557" i="3"/>
  <c r="AZ557" i="3" s="1"/>
  <c r="BQ583" i="3"/>
  <c r="BL583" i="3"/>
  <c r="BQ581" i="3"/>
  <c r="BQ579" i="3"/>
  <c r="BQ577" i="3"/>
  <c r="BL577" i="3"/>
  <c r="BQ575" i="3"/>
  <c r="BL575" i="3" s="1"/>
  <c r="AZ575" i="3" s="1"/>
  <c r="BQ573" i="3"/>
  <c r="BL573" i="3"/>
  <c r="BQ571" i="3"/>
  <c r="BL571" i="3" s="1"/>
  <c r="AZ571" i="3" s="1"/>
  <c r="BQ569" i="3"/>
  <c r="BL569" i="3"/>
  <c r="BQ567" i="3"/>
  <c r="BQ565" i="3"/>
  <c r="BL565" i="3"/>
  <c r="BQ563" i="3"/>
  <c r="BQ561" i="3"/>
  <c r="BL561" i="3" s="1"/>
  <c r="AZ561" i="3" s="1"/>
  <c r="BQ559" i="3"/>
  <c r="BL559" i="3"/>
  <c r="AZ559" i="3" s="1"/>
  <c r="G559" i="3"/>
  <c r="G553" i="3"/>
  <c r="G547" i="3"/>
  <c r="G545" i="3"/>
  <c r="G543" i="3"/>
  <c r="G541" i="3"/>
  <c r="G539" i="3"/>
  <c r="G537" i="3"/>
  <c r="BQ555" i="3"/>
  <c r="BQ553" i="3"/>
  <c r="BL553" i="3"/>
  <c r="BQ551" i="3"/>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Q523" i="3"/>
  <c r="BL523" i="3"/>
  <c r="BA521" i="3"/>
  <c r="AZ521" i="3" s="1"/>
  <c r="AC521" i="3"/>
  <c r="G521" i="3" s="1"/>
  <c r="BQ521" i="3"/>
  <c r="BL520" i="3"/>
  <c r="G519" i="3"/>
  <c r="G515" i="3"/>
  <c r="G511" i="3"/>
  <c r="BQ519" i="3"/>
  <c r="BL519" i="3"/>
  <c r="BQ517" i="3"/>
  <c r="BQ515" i="3"/>
  <c r="BL515" i="3"/>
  <c r="BQ513" i="3"/>
  <c r="BQ511" i="3"/>
  <c r="BL511" i="3"/>
  <c r="BA509" i="3"/>
  <c r="AC509" i="3"/>
  <c r="BQ509" i="3"/>
  <c r="BL508" i="3"/>
  <c r="G507" i="3"/>
  <c r="G503" i="3"/>
  <c r="G499" i="3"/>
  <c r="G495" i="3"/>
  <c r="BQ507" i="3"/>
  <c r="BL507" i="3"/>
  <c r="BQ505" i="3"/>
  <c r="BQ503" i="3"/>
  <c r="BL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G125" i="33" s="1"/>
  <c r="H43" i="33"/>
  <c r="AB43" i="33"/>
  <c r="H17" i="37"/>
  <c r="U17" i="37"/>
  <c r="U32" i="33"/>
  <c r="F39" i="33"/>
  <c r="AA39" i="33" s="1"/>
  <c r="E123" i="33"/>
  <c r="F123" i="33" s="1"/>
  <c r="G123" i="33" s="1"/>
  <c r="H123" i="33" s="1"/>
  <c r="I123" i="33" s="1"/>
  <c r="J123" i="33" s="1"/>
  <c r="K123" i="33" s="1"/>
  <c r="L123" i="33" s="1"/>
  <c r="M123" i="33" s="1"/>
  <c r="F42" i="33"/>
  <c r="AA42" i="33"/>
  <c r="H28" i="34"/>
  <c r="AB28" i="34" s="1"/>
  <c r="F14" i="36"/>
  <c r="AA14" i="36"/>
  <c r="F22" i="36"/>
  <c r="S22" i="36"/>
  <c r="F26" i="36"/>
  <c r="S26" i="36"/>
  <c r="H35" i="34"/>
  <c r="U35" i="34" s="1"/>
  <c r="F41" i="34"/>
  <c r="S41" i="34" s="1"/>
  <c r="H41" i="34"/>
  <c r="U41" i="34"/>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H42" i="33"/>
  <c r="AB42" i="33"/>
  <c r="J43" i="33"/>
  <c r="AC43" i="33" s="1"/>
  <c r="U43" i="33"/>
  <c r="S28" i="31"/>
  <c r="S27" i="31"/>
  <c r="S26" i="31"/>
  <c r="U35" i="35"/>
  <c r="AA12" i="35"/>
  <c r="W14" i="37"/>
  <c r="U33" i="37"/>
  <c r="U39" i="37"/>
  <c r="AB13" i="34"/>
  <c r="AA13" i="33"/>
  <c r="AC31" i="33"/>
  <c r="AC45" i="33"/>
  <c r="W44" i="33"/>
  <c r="U11" i="33"/>
  <c r="U19" i="21"/>
  <c r="W44" i="21"/>
  <c r="U26" i="21"/>
  <c r="AC46" i="21"/>
  <c r="U12" i="21"/>
  <c r="AB38" i="21"/>
  <c r="F43" i="33"/>
  <c r="AA43" i="33" s="1"/>
  <c r="W16" i="35"/>
  <c r="W40" i="37"/>
  <c r="G107" i="37"/>
  <c r="H107" i="37" s="1"/>
  <c r="I107" i="37" s="1"/>
  <c r="J107" i="37" s="1"/>
  <c r="K107" i="37" s="1"/>
  <c r="L107" i="37" s="1"/>
  <c r="M107" i="37" s="1"/>
  <c r="H37" i="21"/>
  <c r="U37" i="21" s="1"/>
  <c r="S42" i="21"/>
  <c r="H19" i="34"/>
  <c r="AB19" i="34" s="1"/>
  <c r="F36" i="35"/>
  <c r="S36" i="35"/>
  <c r="J9" i="37"/>
  <c r="W9" i="37" s="1"/>
  <c r="H9" i="37"/>
  <c r="U9" i="37" s="1"/>
  <c r="F9" i="37"/>
  <c r="S9" i="37" s="1"/>
  <c r="J12" i="37"/>
  <c r="W12" i="37" s="1"/>
  <c r="H12" i="37"/>
  <c r="AB12" i="37" s="1"/>
  <c r="F12" i="37"/>
  <c r="S12" i="37" s="1"/>
  <c r="F15" i="37"/>
  <c r="AA15" i="37" s="1"/>
  <c r="E94" i="37"/>
  <c r="F31" i="37"/>
  <c r="S31" i="37"/>
  <c r="J42" i="39"/>
  <c r="AC42" i="39" s="1"/>
  <c r="H21" i="40"/>
  <c r="AB21" i="40"/>
  <c r="F94" i="37"/>
  <c r="G94" i="37" s="1"/>
  <c r="H94" i="37" s="1"/>
  <c r="I94" i="37" s="1"/>
  <c r="J94" i="37" s="1"/>
  <c r="K94" i="37" s="1"/>
  <c r="L94" i="37" s="1"/>
  <c r="M94" i="37" s="1"/>
  <c r="H31" i="37"/>
  <c r="U31" i="37" s="1"/>
  <c r="J15" i="37"/>
  <c r="W15" i="37" s="1"/>
  <c r="AT6" i="3"/>
  <c r="AA25" i="21"/>
  <c r="H19" i="40"/>
  <c r="U19" i="40"/>
  <c r="F88" i="40"/>
  <c r="G88" i="40"/>
  <c r="F19" i="40"/>
  <c r="S19" i="40"/>
  <c r="AC13" i="40"/>
  <c r="W23" i="39"/>
  <c r="AC43" i="39"/>
  <c r="W43" i="39"/>
  <c r="U45" i="39"/>
  <c r="AB45" i="39"/>
  <c r="H37" i="39"/>
  <c r="AB37" i="39" s="1"/>
  <c r="AC37" i="39"/>
  <c r="W37" i="39"/>
  <c r="H25" i="39"/>
  <c r="AB25" i="39" s="1"/>
  <c r="J25" i="39"/>
  <c r="AC25" i="39" s="1"/>
  <c r="F25" i="39"/>
  <c r="AA25" i="39" s="1"/>
  <c r="F15" i="39"/>
  <c r="AA15" i="39" s="1"/>
  <c r="H15" i="39"/>
  <c r="U15" i="39" s="1"/>
  <c r="J15" i="39"/>
  <c r="W15" i="39" s="1"/>
  <c r="H41" i="39"/>
  <c r="AB41" i="39" s="1"/>
  <c r="W27" i="39"/>
  <c r="AB34" i="39"/>
  <c r="U40" i="39"/>
  <c r="AA41" i="39"/>
  <c r="W9" i="39"/>
  <c r="W8" i="39"/>
  <c r="J19" i="40"/>
  <c r="AC19" i="40"/>
  <c r="J50" i="40"/>
  <c r="H103" i="9"/>
  <c r="D8" i="53" s="1"/>
  <c r="B16" i="53"/>
  <c r="B33" i="72" s="1"/>
  <c r="C7" i="37"/>
  <c r="C7" i="34"/>
  <c r="C7" i="36"/>
  <c r="C46" i="36" s="1"/>
  <c r="D46" i="36" s="1"/>
  <c r="E46" i="36" s="1"/>
  <c r="F46" i="36" s="1"/>
  <c r="G46" i="36" s="1"/>
  <c r="H46" i="36" s="1"/>
  <c r="I46" i="36" s="1"/>
  <c r="A118" i="9"/>
  <c r="A4" i="52"/>
  <c r="B41" i="72" s="1"/>
  <c r="J11" i="39"/>
  <c r="W11" i="39" s="1"/>
  <c r="F11" i="39"/>
  <c r="AA11" i="39" s="1"/>
  <c r="G4" i="4"/>
  <c r="I4" i="4"/>
  <c r="A2" i="9"/>
  <c r="F61" i="43"/>
  <c r="H64" i="43" s="1"/>
  <c r="AZ32" i="3"/>
  <c r="BL549"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16" i="3"/>
  <c r="G506"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AZ342" i="3" s="1"/>
  <c r="BL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BA16" i="3"/>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H5" i="3"/>
  <c r="BD5" i="3"/>
  <c r="AZ317" i="3"/>
  <c r="AZ333" i="3"/>
  <c r="BQ5" i="3"/>
  <c r="AZ549" i="3"/>
  <c r="AZ496" i="3"/>
  <c r="G548" i="3"/>
  <c r="G538" i="3"/>
  <c r="G502" i="3"/>
  <c r="BP5" i="3"/>
  <c r="AZ343" i="3"/>
  <c r="BI5" i="3"/>
  <c r="BE5" i="3"/>
  <c r="G17" i="3"/>
  <c r="BA17" i="3"/>
  <c r="BT5" i="3"/>
  <c r="AZ350" i="3"/>
  <c r="AZ352" i="3"/>
  <c r="AZ360" i="3"/>
  <c r="AZ368" i="3"/>
  <c r="BA15" i="3"/>
  <c r="AZ15" i="3" s="1"/>
  <c r="BR5" i="3"/>
  <c r="AZ384" i="3"/>
  <c r="AZ388" i="3"/>
  <c r="AZ392" i="3"/>
  <c r="AZ396" i="3"/>
  <c r="AZ394" i="3"/>
  <c r="BL493" i="3"/>
  <c r="AZ491" i="3"/>
  <c r="AZ376" i="3"/>
  <c r="AZ382" i="3"/>
  <c r="U36" i="40"/>
  <c r="F83" i="43"/>
  <c r="H85" i="43" s="1"/>
  <c r="F50" i="43"/>
  <c r="H54" i="43" s="1"/>
  <c r="F72" i="43"/>
  <c r="H75" i="43" s="1"/>
  <c r="U17" i="39"/>
  <c r="S14" i="35"/>
  <c r="U43" i="21"/>
  <c r="U35" i="21"/>
  <c r="AC35" i="21"/>
  <c r="G8" i="1"/>
  <c r="G10" i="1"/>
  <c r="W37" i="37"/>
  <c r="U13" i="37"/>
  <c r="AA12" i="40"/>
  <c r="J37" i="33"/>
  <c r="W37" i="33"/>
  <c r="J34" i="33"/>
  <c r="W34" i="33" s="1"/>
  <c r="F33" i="34"/>
  <c r="S33" i="34" s="1"/>
  <c r="W12" i="36"/>
  <c r="H20" i="36"/>
  <c r="U20" i="36" s="1"/>
  <c r="J20" i="36"/>
  <c r="W20" i="36" s="1"/>
  <c r="W24" i="36"/>
  <c r="J27" i="36"/>
  <c r="W27" i="36" s="1"/>
  <c r="AC33" i="40"/>
  <c r="F111" i="40"/>
  <c r="G111" i="40" s="1"/>
  <c r="H111" i="40" s="1"/>
  <c r="I111" i="40" s="1"/>
  <c r="J111" i="40" s="1"/>
  <c r="K111" i="40" s="1"/>
  <c r="L111" i="40" s="1"/>
  <c r="M111" i="40" s="1"/>
  <c r="H35" i="40"/>
  <c r="AB35" i="40" s="1"/>
  <c r="AC29" i="35"/>
  <c r="H35" i="37"/>
  <c r="U35" i="37" s="1"/>
  <c r="AC14" i="35"/>
  <c r="H20" i="35"/>
  <c r="U20" i="35"/>
  <c r="F20" i="35"/>
  <c r="AA20" i="35"/>
  <c r="AB29" i="36"/>
  <c r="H32" i="37"/>
  <c r="AB32" i="37" s="1"/>
  <c r="F96" i="37"/>
  <c r="G96" i="37" s="1"/>
  <c r="H96" i="37" s="1"/>
  <c r="I96" i="37" s="1"/>
  <c r="J96" i="37" s="1"/>
  <c r="K96" i="37" s="1"/>
  <c r="L96" i="37" s="1"/>
  <c r="M96" i="37" s="1"/>
  <c r="H27" i="40"/>
  <c r="U27" i="40"/>
  <c r="J27" i="40"/>
  <c r="AC27" i="40"/>
  <c r="F27" i="40"/>
  <c r="S27" i="40"/>
  <c r="J30" i="40"/>
  <c r="AC30" i="40"/>
  <c r="F30" i="40"/>
  <c r="AA30"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1" i="3"/>
  <c r="AZ33"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c r="F20" i="36"/>
  <c r="AA20" i="36" s="1"/>
  <c r="J33" i="34"/>
  <c r="AC33" i="34" s="1"/>
  <c r="H23" i="39"/>
  <c r="U23" i="39" s="1"/>
  <c r="K9" i="1"/>
  <c r="M9" i="1" s="1"/>
  <c r="D93" i="9"/>
  <c r="K6" i="1"/>
  <c r="AP6" i="1" s="1"/>
  <c r="AB34" i="36"/>
  <c r="AB33" i="36"/>
  <c r="AC12" i="39"/>
  <c r="AZ401" i="3"/>
  <c r="AZ412" i="3"/>
  <c r="AZ417" i="3"/>
  <c r="AZ428" i="3"/>
  <c r="AZ433" i="3"/>
  <c r="AZ465" i="3"/>
  <c r="W12" i="33"/>
  <c r="AC12" i="33"/>
  <c r="S32" i="36"/>
  <c r="AZ408" i="3"/>
  <c r="AZ437" i="3"/>
  <c r="AZ441" i="3"/>
  <c r="AZ457" i="3"/>
  <c r="AZ473" i="3"/>
  <c r="AZ490" i="3"/>
  <c r="BL14" i="3"/>
  <c r="AZ266" i="3"/>
  <c r="AA47" i="34"/>
  <c r="S19" i="39"/>
  <c r="F12" i="33"/>
  <c r="AA12" i="33" s="1"/>
  <c r="F39" i="40"/>
  <c r="BA14" i="3"/>
  <c r="AZ14" i="3" s="1"/>
  <c r="AZ367" i="3"/>
  <c r="AZ213" i="3"/>
  <c r="AZ224" i="3"/>
  <c r="AZ234" i="3"/>
  <c r="AZ238" i="3"/>
  <c r="AZ250" i="3"/>
  <c r="AZ254" i="3"/>
  <c r="AZ281" i="3"/>
  <c r="AZ286" i="3"/>
  <c r="AZ297" i="3"/>
  <c r="AZ149" i="3"/>
  <c r="AZ157" i="3"/>
  <c r="AZ165" i="3"/>
  <c r="AZ173" i="3"/>
  <c r="AZ181" i="3"/>
  <c r="AZ189" i="3"/>
  <c r="AZ197" i="3"/>
  <c r="AZ26" i="3"/>
  <c r="B12" i="1"/>
  <c r="E12" i="1" s="1"/>
  <c r="B10" i="1"/>
  <c r="E10" i="1" s="1"/>
  <c r="AZ80" i="3"/>
  <c r="AZ84" i="3"/>
  <c r="AZ88" i="3"/>
  <c r="AZ107" i="3"/>
  <c r="AZ111" i="3"/>
  <c r="K12" i="1"/>
  <c r="M12" i="1" s="1"/>
  <c r="S13" i="1"/>
  <c r="AR13" i="1" s="1"/>
  <c r="R13" i="1"/>
  <c r="J51" i="67"/>
  <c r="C42" i="1"/>
  <c r="AA34" i="33"/>
  <c r="AB37" i="40"/>
  <c r="S35" i="40"/>
  <c r="U35" i="40"/>
  <c r="S17" i="40"/>
  <c r="AC17" i="40"/>
  <c r="AC15" i="40"/>
  <c r="AB27" i="40"/>
  <c r="S30" i="40"/>
  <c r="AA19" i="40"/>
  <c r="AA27" i="40"/>
  <c r="U21" i="40"/>
  <c r="AB19" i="40"/>
  <c r="S37" i="39"/>
  <c r="U35" i="39"/>
  <c r="F32" i="39"/>
  <c r="S32" i="39" s="1"/>
  <c r="F106" i="39"/>
  <c r="G106" i="39" s="1"/>
  <c r="H106" i="39" s="1"/>
  <c r="I106" i="39" s="1"/>
  <c r="J106" i="39" s="1"/>
  <c r="K106" i="39" s="1"/>
  <c r="L106" i="39" s="1"/>
  <c r="M106" i="39" s="1"/>
  <c r="AB27" i="39"/>
  <c r="J21" i="39"/>
  <c r="W21" i="39" s="1"/>
  <c r="F21" i="39"/>
  <c r="S21" i="39" s="1"/>
  <c r="G94" i="39"/>
  <c r="H21" i="39"/>
  <c r="AB21" i="39" s="1"/>
  <c r="W19" i="39"/>
  <c r="S17" i="39"/>
  <c r="U14" i="39"/>
  <c r="AC13" i="39"/>
  <c r="S23" i="36"/>
  <c r="U13" i="36"/>
  <c r="S33" i="36"/>
  <c r="AA26" i="36"/>
  <c r="AA34" i="36"/>
  <c r="AC26" i="36"/>
  <c r="AA22" i="36"/>
  <c r="AB14" i="36"/>
  <c r="U22" i="36"/>
  <c r="S16" i="36"/>
  <c r="AA25" i="36"/>
  <c r="U23" i="36"/>
  <c r="U16" i="36"/>
  <c r="S14" i="36"/>
  <c r="AA25" i="35"/>
  <c r="W24" i="35"/>
  <c r="AB13" i="35"/>
  <c r="U29" i="35"/>
  <c r="U28" i="35"/>
  <c r="AB27" i="35"/>
  <c r="U32" i="35"/>
  <c r="AC30" i="35"/>
  <c r="S32" i="35"/>
  <c r="AA36" i="35"/>
  <c r="S28" i="35"/>
  <c r="AB16" i="35"/>
  <c r="U22" i="35"/>
  <c r="S20" i="35"/>
  <c r="AC20" i="35"/>
  <c r="S22" i="35"/>
  <c r="AA11" i="35"/>
  <c r="W9" i="35"/>
  <c r="AC12" i="35"/>
  <c r="W13" i="35"/>
  <c r="H9" i="35"/>
  <c r="U9" i="35" s="1"/>
  <c r="AB40" i="37"/>
  <c r="W27" i="37"/>
  <c r="AC29" i="37"/>
  <c r="U29" i="37"/>
  <c r="S32" i="37"/>
  <c r="AB31" i="37"/>
  <c r="S36" i="37"/>
  <c r="U32" i="37"/>
  <c r="AC35" i="37"/>
  <c r="W39" i="37"/>
  <c r="S30" i="37"/>
  <c r="AC15" i="37"/>
  <c r="J17" i="37"/>
  <c r="W17" i="37"/>
  <c r="G73" i="37"/>
  <c r="F17" i="37"/>
  <c r="AA17" i="37" s="1"/>
  <c r="AB17" i="37"/>
  <c r="F75" i="37"/>
  <c r="F19" i="37"/>
  <c r="AA19" i="37" s="1"/>
  <c r="F79" i="37"/>
  <c r="F23" i="37"/>
  <c r="S23" i="37" s="1"/>
  <c r="U23" i="37"/>
  <c r="U15" i="37"/>
  <c r="AC13" i="37"/>
  <c r="H10" i="37"/>
  <c r="AB10" i="37" s="1"/>
  <c r="F63" i="37"/>
  <c r="F11" i="37"/>
  <c r="S11" i="37" s="1"/>
  <c r="W25" i="34"/>
  <c r="AC42" i="34"/>
  <c r="AB35" i="34"/>
  <c r="AB41" i="34"/>
  <c r="AA25" i="34"/>
  <c r="S23" i="34"/>
  <c r="S13" i="34"/>
  <c r="H10" i="34"/>
  <c r="AB10" i="34" s="1"/>
  <c r="F11" i="34"/>
  <c r="S11" i="34" s="1"/>
  <c r="W42" i="33"/>
  <c r="AA29" i="33"/>
  <c r="AB29" i="33"/>
  <c r="W38" i="33"/>
  <c r="H41" i="33"/>
  <c r="U42" i="33"/>
  <c r="S42" i="33"/>
  <c r="F36" i="33"/>
  <c r="AA36" i="33" s="1"/>
  <c r="J35" i="33"/>
  <c r="S37" i="33"/>
  <c r="AA37" i="33"/>
  <c r="S39" i="33"/>
  <c r="J32" i="33"/>
  <c r="S46" i="33"/>
  <c r="S43" i="33"/>
  <c r="H27" i="33"/>
  <c r="AB27" i="33" s="1"/>
  <c r="H25" i="33"/>
  <c r="AB25" i="33" s="1"/>
  <c r="F25" i="33"/>
  <c r="J23" i="33"/>
  <c r="W23" i="33" s="1"/>
  <c r="H23" i="33"/>
  <c r="U23" i="33" s="1"/>
  <c r="F19" i="33"/>
  <c r="S19" i="33" s="1"/>
  <c r="W19" i="33"/>
  <c r="J17" i="33"/>
  <c r="F79" i="33"/>
  <c r="G79" i="33" s="1"/>
  <c r="S15" i="33"/>
  <c r="W15" i="33"/>
  <c r="J10" i="33"/>
  <c r="W10" i="33" s="1"/>
  <c r="H10" i="33"/>
  <c r="U10" i="33" s="1"/>
  <c r="AC11" i="33"/>
  <c r="AB14" i="33"/>
  <c r="W43" i="21"/>
  <c r="W36" i="21"/>
  <c r="W41" i="21"/>
  <c r="AA43" i="21"/>
  <c r="S39" i="21"/>
  <c r="AA38" i="21"/>
  <c r="AA36" i="21"/>
  <c r="AC40" i="21"/>
  <c r="J15" i="21"/>
  <c r="W15" i="21"/>
  <c r="F23" i="21"/>
  <c r="S23" i="21"/>
  <c r="E85" i="21"/>
  <c r="F34" i="67"/>
  <c r="F62" i="67" s="1"/>
  <c r="M20" i="67"/>
  <c r="F34" i="15"/>
  <c r="F62" i="15" s="1"/>
  <c r="G13" i="3"/>
  <c r="BA13" i="3"/>
  <c r="BL17" i="3"/>
  <c r="AZ17" i="3" s="1"/>
  <c r="BL13" i="3"/>
  <c r="J56" i="9"/>
  <c r="J57" i="9" s="1"/>
  <c r="J59" i="9" s="1"/>
  <c r="J61" i="9" s="1"/>
  <c r="A24" i="51"/>
  <c r="B18" i="72" s="1"/>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L20" i="6"/>
  <c r="B6" i="1"/>
  <c r="E6" i="1" s="1"/>
  <c r="K11" i="1"/>
  <c r="M11" i="1" s="1"/>
  <c r="O11" i="1" s="1"/>
  <c r="B9" i="1"/>
  <c r="E9" i="1" s="1"/>
  <c r="K7" i="1"/>
  <c r="M7" i="1" s="1"/>
  <c r="G1" i="15"/>
  <c r="G1" i="69"/>
  <c r="G1" i="67"/>
  <c r="W23" i="40"/>
  <c r="AB31" i="40"/>
  <c r="AB28" i="40"/>
  <c r="W28" i="40"/>
  <c r="W34" i="40"/>
  <c r="W19" i="40"/>
  <c r="W27" i="40"/>
  <c r="W37" i="40"/>
  <c r="S13" i="40"/>
  <c r="AA15" i="40"/>
  <c r="S31" i="40"/>
  <c r="U15" i="40"/>
  <c r="AB17" i="40"/>
  <c r="U8" i="40"/>
  <c r="S8" i="40"/>
  <c r="U42" i="39"/>
  <c r="U13" i="39"/>
  <c r="AA13" i="39"/>
  <c r="AB43" i="39"/>
  <c r="AB11" i="39"/>
  <c r="W17" i="39"/>
  <c r="AC17" i="39"/>
  <c r="AA45" i="39"/>
  <c r="AB39" i="39"/>
  <c r="W34" i="39"/>
  <c r="U38" i="39"/>
  <c r="S8" i="39"/>
  <c r="S20" i="36"/>
  <c r="AC25" i="36"/>
  <c r="U32" i="36"/>
  <c r="W29" i="36"/>
  <c r="AC20" i="36"/>
  <c r="U25" i="36"/>
  <c r="AB28" i="36"/>
  <c r="W9" i="36"/>
  <c r="W22" i="36"/>
  <c r="W23" i="36"/>
  <c r="S9" i="36"/>
  <c r="AB20" i="35"/>
  <c r="AC25" i="35"/>
  <c r="U25" i="35"/>
  <c r="U24" i="35"/>
  <c r="S35" i="35"/>
  <c r="W35" i="35"/>
  <c r="AA35" i="37"/>
  <c r="S27" i="37"/>
  <c r="W32" i="37"/>
  <c r="S40" i="37"/>
  <c r="AB37" i="37"/>
  <c r="AB35" i="37"/>
  <c r="AA31" i="37"/>
  <c r="U19" i="37"/>
  <c r="AA29" i="37"/>
  <c r="U8" i="37"/>
  <c r="AA31" i="34"/>
  <c r="AA30" i="34"/>
  <c r="AB47" i="34"/>
  <c r="AC14" i="34"/>
  <c r="S32" i="34"/>
  <c r="U30" i="34"/>
  <c r="U38" i="34"/>
  <c r="AA8" i="34"/>
  <c r="S8" i="34"/>
  <c r="S46" i="34"/>
  <c r="AA46" i="34"/>
  <c r="U32" i="34"/>
  <c r="AB32" i="34"/>
  <c r="U14" i="34"/>
  <c r="AB14" i="34"/>
  <c r="W23" i="34"/>
  <c r="AC35" i="34"/>
  <c r="W35" i="34"/>
  <c r="U12" i="34"/>
  <c r="AB12" i="34"/>
  <c r="AB28" i="33"/>
  <c r="AC37" i="33"/>
  <c r="W46" i="33"/>
  <c r="U38" i="33"/>
  <c r="AB34" i="33"/>
  <c r="AB44" i="33"/>
  <c r="AA30" i="33"/>
  <c r="AC14" i="33"/>
  <c r="W14" i="33"/>
  <c r="AC30" i="33"/>
  <c r="W30" i="33"/>
  <c r="AA31" i="33"/>
  <c r="W13" i="33"/>
  <c r="AC13" i="33"/>
  <c r="U15" i="33"/>
  <c r="S11" i="33"/>
  <c r="U37" i="33"/>
  <c r="AC28" i="33"/>
  <c r="W9" i="33"/>
  <c r="W8" i="33"/>
  <c r="S44" i="21"/>
  <c r="F33" i="21"/>
  <c r="AA33" i="21" s="1"/>
  <c r="J33" i="21"/>
  <c r="AC33" i="21" s="1"/>
  <c r="H33" i="21"/>
  <c r="AB33" i="21" s="1"/>
  <c r="F37" i="21"/>
  <c r="AA37" i="21" s="1"/>
  <c r="AA26" i="21"/>
  <c r="AB46" i="21"/>
  <c r="AC15" i="21"/>
  <c r="AB13" i="21"/>
  <c r="J37" i="21"/>
  <c r="W37" i="21" s="1"/>
  <c r="H15" i="21"/>
  <c r="U15" i="21"/>
  <c r="J17" i="21"/>
  <c r="AC17" i="21"/>
  <c r="W39" i="21"/>
  <c r="S46" i="21"/>
  <c r="H45" i="21"/>
  <c r="U45" i="21" s="1"/>
  <c r="F29" i="21"/>
  <c r="S29" i="21" s="1"/>
  <c r="F13" i="21"/>
  <c r="AA13" i="21" s="1"/>
  <c r="AC38" i="21"/>
  <c r="H32" i="21"/>
  <c r="H9" i="21"/>
  <c r="U9" i="21" s="1"/>
  <c r="J9" i="21"/>
  <c r="J32" i="21"/>
  <c r="W32" i="21" s="1"/>
  <c r="F32" i="21"/>
  <c r="U17" i="21"/>
  <c r="W29" i="21"/>
  <c r="S9" i="21"/>
  <c r="K141" i="21"/>
  <c r="K144" i="21"/>
  <c r="K143" i="21"/>
  <c r="U27" i="21"/>
  <c r="AB25" i="21"/>
  <c r="AB44" i="21"/>
  <c r="W13" i="21"/>
  <c r="W42" i="21"/>
  <c r="F10" i="21"/>
  <c r="AA10" i="21" s="1"/>
  <c r="K145" i="21"/>
  <c r="W17" i="21"/>
  <c r="W25" i="21"/>
  <c r="AA29" i="21"/>
  <c r="S27" i="21"/>
  <c r="S17" i="21"/>
  <c r="AA15" i="21"/>
  <c r="AC26" i="21"/>
  <c r="AB29" i="21"/>
  <c r="W12" i="21"/>
  <c r="W30" i="40"/>
  <c r="C19" i="39"/>
  <c r="C15" i="40"/>
  <c r="C17" i="40"/>
  <c r="C23" i="40"/>
  <c r="C21" i="40"/>
  <c r="U30" i="40"/>
  <c r="B56" i="43"/>
  <c r="B67" i="43"/>
  <c r="B51" i="43"/>
  <c r="B54" i="43"/>
  <c r="B58" i="43"/>
  <c r="B62" i="43"/>
  <c r="B65" i="43"/>
  <c r="B69" i="43"/>
  <c r="D23" i="15"/>
  <c r="D22" i="15"/>
  <c r="E4" i="4"/>
  <c r="B5" i="62" s="1"/>
  <c r="B73" i="72" s="1"/>
  <c r="C4" i="4"/>
  <c r="AA39" i="40"/>
  <c r="S39" i="40"/>
  <c r="S12" i="33"/>
  <c r="J32" i="39"/>
  <c r="W32" i="39" s="1"/>
  <c r="H32" i="39"/>
  <c r="AB32" i="39" s="1"/>
  <c r="AC17" i="37"/>
  <c r="J19" i="37"/>
  <c r="AC19" i="37" s="1"/>
  <c r="G75" i="37"/>
  <c r="S19" i="37"/>
  <c r="AA23" i="37"/>
  <c r="J23" i="37"/>
  <c r="G79" i="37"/>
  <c r="J10" i="37"/>
  <c r="W10" i="37" s="1"/>
  <c r="G63" i="37"/>
  <c r="H11" i="37"/>
  <c r="AB11" i="37" s="1"/>
  <c r="H11" i="34"/>
  <c r="U11" i="34" s="1"/>
  <c r="J10" i="34"/>
  <c r="AC10" i="34" s="1"/>
  <c r="AB41" i="33"/>
  <c r="U41" i="33"/>
  <c r="W35" i="33"/>
  <c r="AC35" i="33"/>
  <c r="J36" i="33"/>
  <c r="W36" i="33" s="1"/>
  <c r="H36" i="33"/>
  <c r="U36" i="33" s="1"/>
  <c r="AC32" i="33"/>
  <c r="W32" i="33"/>
  <c r="U27" i="33"/>
  <c r="U25" i="33"/>
  <c r="S25" i="33"/>
  <c r="AA25" i="33"/>
  <c r="J25" i="33"/>
  <c r="AB23" i="33"/>
  <c r="F23" i="33"/>
  <c r="AA23" i="33" s="1"/>
  <c r="AC23" i="33"/>
  <c r="AA19" i="33"/>
  <c r="H19" i="33"/>
  <c r="H17" i="33"/>
  <c r="U17" i="33" s="1"/>
  <c r="F17" i="33"/>
  <c r="W17" i="33"/>
  <c r="AC17" i="33"/>
  <c r="S37" i="21"/>
  <c r="AA23" i="21"/>
  <c r="AB15" i="21"/>
  <c r="J23" i="21"/>
  <c r="F85" i="21"/>
  <c r="G85" i="21" s="1"/>
  <c r="H23" i="21"/>
  <c r="U23" i="21" s="1"/>
  <c r="AP7" i="1"/>
  <c r="AB9" i="21"/>
  <c r="AA32" i="21"/>
  <c r="S32" i="21"/>
  <c r="W9" i="21"/>
  <c r="AC9" i="21"/>
  <c r="AB32" i="21"/>
  <c r="U32" i="21"/>
  <c r="W19" i="37"/>
  <c r="W23" i="37"/>
  <c r="AC23" i="37"/>
  <c r="H63" i="37"/>
  <c r="I63" i="37" s="1"/>
  <c r="J63" i="37"/>
  <c r="K63" i="37" s="1"/>
  <c r="L63" i="37" s="1"/>
  <c r="M63" i="37" s="1"/>
  <c r="J11" i="37"/>
  <c r="AC11" i="37" s="1"/>
  <c r="I70" i="34"/>
  <c r="J70" i="34" s="1"/>
  <c r="K70" i="34"/>
  <c r="L70" i="34" s="1"/>
  <c r="M70" i="34" s="1"/>
  <c r="J11" i="34"/>
  <c r="W11" i="34" s="1"/>
  <c r="AB36" i="33"/>
  <c r="W25" i="33"/>
  <c r="AC25" i="33"/>
  <c r="S23" i="33"/>
  <c r="AB19" i="33"/>
  <c r="U19" i="33"/>
  <c r="AA17" i="33"/>
  <c r="S17" i="33"/>
  <c r="AB17" i="33"/>
  <c r="AB23" i="21"/>
  <c r="AC23" i="21"/>
  <c r="W23" i="21"/>
  <c r="H109" i="9"/>
  <c r="D16" i="53" s="1"/>
  <c r="B34" i="72" s="1"/>
  <c r="AD3" i="71"/>
  <c r="J1" i="7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F6" i="67"/>
  <c r="M8" i="67"/>
  <c r="L47" i="67"/>
  <c r="F9" i="15"/>
  <c r="F26" i="67"/>
  <c r="M24" i="15"/>
  <c r="F42" i="15"/>
  <c r="M29" i="15"/>
  <c r="B11" i="76"/>
  <c r="M22" i="15"/>
  <c r="F37" i="67"/>
  <c r="L48" i="81"/>
  <c r="M9" i="15"/>
  <c r="C76" i="15"/>
  <c r="F43" i="15"/>
  <c r="E8" i="76"/>
  <c r="J15" i="15"/>
  <c r="E2" i="68"/>
  <c r="M9" i="67"/>
  <c r="F38" i="15"/>
  <c r="F8" i="67"/>
  <c r="M6" i="15"/>
  <c r="F26" i="15"/>
  <c r="B7" i="76"/>
  <c r="F7" i="67"/>
  <c r="M29" i="67"/>
  <c r="C14" i="81"/>
  <c r="F7" i="73"/>
  <c r="F40" i="67"/>
  <c r="E9" i="76"/>
  <c r="B12" i="76"/>
  <c r="M28" i="15"/>
  <c r="F40" i="15"/>
  <c r="F36" i="67"/>
  <c r="M22" i="67"/>
  <c r="F3" i="73"/>
  <c r="F9" i="67"/>
  <c r="M23" i="67"/>
  <c r="F16" i="67"/>
  <c r="L47" i="15"/>
  <c r="F20" i="31"/>
  <c r="B13" i="76"/>
  <c r="M8" i="15"/>
  <c r="E11" i="76"/>
  <c r="F42" i="67"/>
  <c r="E2" i="69"/>
  <c r="M6" i="67"/>
  <c r="L48" i="67"/>
  <c r="M28" i="67"/>
  <c r="C76" i="67"/>
  <c r="F8" i="15"/>
  <c r="E10" i="76"/>
  <c r="E13" i="76"/>
  <c r="B9" i="76"/>
  <c r="F13" i="15"/>
  <c r="E7" i="76"/>
  <c r="J15" i="67"/>
  <c r="F16" i="15"/>
  <c r="C16" i="81"/>
  <c r="F7" i="15"/>
  <c r="F13" i="67"/>
  <c r="F6" i="15"/>
  <c r="M26" i="15"/>
  <c r="M23" i="15"/>
  <c r="F37" i="15"/>
  <c r="B8" i="76"/>
  <c r="AO13" i="1"/>
  <c r="M26" i="67"/>
  <c r="B10" i="76"/>
  <c r="F6" i="73"/>
  <c r="F36" i="15"/>
  <c r="E12" i="76"/>
  <c r="F43" i="67"/>
  <c r="F38" i="67"/>
  <c r="F4" i="73"/>
  <c r="M24" i="67"/>
  <c r="F5" i="73"/>
  <c r="C21" i="68" l="1"/>
  <c r="AC32" i="39"/>
  <c r="U41" i="39"/>
  <c r="AC41" i="39"/>
  <c r="S11" i="39"/>
  <c r="W25" i="39"/>
  <c r="W40" i="39"/>
  <c r="W29" i="39"/>
  <c r="U9" i="39"/>
  <c r="U32" i="39"/>
  <c r="U21" i="39"/>
  <c r="U29" i="39"/>
  <c r="AA27" i="39"/>
  <c r="S42" i="39"/>
  <c r="AA21" i="39"/>
  <c r="AA32" i="39"/>
  <c r="S23" i="39"/>
  <c r="AA39" i="39"/>
  <c r="S43" i="39"/>
  <c r="S34" i="39"/>
  <c r="C40" i="69"/>
  <c r="J51" i="15"/>
  <c r="N59" i="81"/>
  <c r="L59" i="81"/>
  <c r="AB9" i="34"/>
  <c r="AC45" i="34"/>
  <c r="W36" i="34"/>
  <c r="S35" i="34"/>
  <c r="AC40" i="34"/>
  <c r="AB40" i="34"/>
  <c r="AA36" i="34"/>
  <c r="AB36" i="34"/>
  <c r="AA29" i="34"/>
  <c r="AC29" i="34"/>
  <c r="U29" i="34"/>
  <c r="AB33" i="34"/>
  <c r="U43" i="34"/>
  <c r="AC44" i="34"/>
  <c r="S44" i="34"/>
  <c r="AC43" i="34"/>
  <c r="S43" i="34"/>
  <c r="C18" i="9"/>
  <c r="D18" i="9" s="1"/>
  <c r="AB23" i="34"/>
  <c r="AA19" i="34"/>
  <c r="S17" i="34"/>
  <c r="AA12" i="34"/>
  <c r="L58" i="81"/>
  <c r="I54" i="81"/>
  <c r="J57" i="81"/>
  <c r="J55" i="81" s="1"/>
  <c r="J58" i="81" s="1"/>
  <c r="Q50" i="81" s="1"/>
  <c r="J53" i="81"/>
  <c r="L56" i="81"/>
  <c r="F6" i="1"/>
  <c r="G7" i="1"/>
  <c r="G44" i="43"/>
  <c r="AA45" i="34"/>
  <c r="C15" i="81"/>
  <c r="C18" i="81"/>
  <c r="O7" i="1"/>
  <c r="P7" i="1" s="1"/>
  <c r="G112" i="34"/>
  <c r="F37" i="34" s="1"/>
  <c r="J37" i="34"/>
  <c r="AC37" i="34" s="1"/>
  <c r="U15" i="34"/>
  <c r="AA15" i="34"/>
  <c r="W19" i="34"/>
  <c r="U19" i="34"/>
  <c r="J15" i="34"/>
  <c r="AB45" i="34"/>
  <c r="AB46" i="34"/>
  <c r="AA33" i="34"/>
  <c r="U31" i="34"/>
  <c r="W46" i="34"/>
  <c r="AC32" i="34"/>
  <c r="W41" i="34"/>
  <c r="AC13" i="34"/>
  <c r="AC17" i="34"/>
  <c r="W47" i="34"/>
  <c r="W31" i="34"/>
  <c r="W9" i="34"/>
  <c r="AC21" i="34"/>
  <c r="U28" i="34"/>
  <c r="AB17" i="34"/>
  <c r="U21" i="34"/>
  <c r="D52" i="43"/>
  <c r="D54" i="43"/>
  <c r="M20" i="15"/>
  <c r="F34" i="81"/>
  <c r="F62" i="81" s="1"/>
  <c r="M20" i="81"/>
  <c r="B41" i="1"/>
  <c r="F48" i="9" s="1"/>
  <c r="O52" i="9" s="1"/>
  <c r="M18" i="81"/>
  <c r="J18" i="81" s="1"/>
  <c r="C24" i="12"/>
  <c r="J19" i="81"/>
  <c r="C33" i="81"/>
  <c r="C61" i="81"/>
  <c r="F32" i="67"/>
  <c r="F60" i="67" s="1"/>
  <c r="F34" i="68"/>
  <c r="C36" i="68" s="1"/>
  <c r="M59" i="81"/>
  <c r="BA19" i="3"/>
  <c r="BL19" i="3"/>
  <c r="BA21" i="3"/>
  <c r="AZ21" i="3" s="1"/>
  <c r="BL21" i="3"/>
  <c r="BL24" i="3"/>
  <c r="AZ24" i="3" s="1"/>
  <c r="BL28" i="3"/>
  <c r="AZ28" i="3" s="1"/>
  <c r="BL34" i="3"/>
  <c r="BA36" i="3"/>
  <c r="AZ36" i="3" s="1"/>
  <c r="BA37" i="3"/>
  <c r="AZ37" i="3" s="1"/>
  <c r="BA38" i="3"/>
  <c r="BL38" i="3"/>
  <c r="BA40" i="3"/>
  <c r="AZ40" i="3" s="1"/>
  <c r="BL16" i="3"/>
  <c r="AZ16" i="3" s="1"/>
  <c r="AZ34" i="3"/>
  <c r="F28" i="6"/>
  <c r="BA41" i="3"/>
  <c r="AZ41" i="3" s="1"/>
  <c r="B13" i="53"/>
  <c r="B29" i="72" s="1"/>
  <c r="AZ586" i="3"/>
  <c r="AB28" i="21"/>
  <c r="U28" i="21"/>
  <c r="U31" i="21"/>
  <c r="AB31" i="21"/>
  <c r="AC45" i="21"/>
  <c r="W45" i="21"/>
  <c r="W26" i="33"/>
  <c r="AC26" i="33"/>
  <c r="AC27" i="34"/>
  <c r="W27" i="34"/>
  <c r="AA14" i="39"/>
  <c r="S14" i="39"/>
  <c r="U31" i="39"/>
  <c r="AB31" i="39"/>
  <c r="AA36" i="39"/>
  <c r="S36" i="39"/>
  <c r="AZ581" i="3"/>
  <c r="AZ579" i="3"/>
  <c r="AZ578" i="3"/>
  <c r="AZ568" i="3"/>
  <c r="AZ567" i="3"/>
  <c r="AZ563" i="3"/>
  <c r="AZ562" i="3"/>
  <c r="AZ522" i="3"/>
  <c r="AZ518" i="3"/>
  <c r="AZ517" i="3"/>
  <c r="AZ513" i="3"/>
  <c r="AZ500" i="3"/>
  <c r="AZ499" i="3"/>
  <c r="AZ495" i="3"/>
  <c r="AZ494" i="3"/>
  <c r="E19" i="71"/>
  <c r="E18" i="71" s="1"/>
  <c r="E17" i="71" s="1"/>
  <c r="E16" i="71" s="1"/>
  <c r="V20" i="71"/>
  <c r="C20" i="71"/>
  <c r="AC14" i="21"/>
  <c r="W14" i="21"/>
  <c r="AB30" i="21"/>
  <c r="U30" i="21"/>
  <c r="AB9" i="33"/>
  <c r="U9" i="33"/>
  <c r="AA27" i="33"/>
  <c r="S27" i="33"/>
  <c r="S28" i="37"/>
  <c r="AA28" i="37"/>
  <c r="U38" i="37"/>
  <c r="AB38" i="37"/>
  <c r="AB14" i="40"/>
  <c r="U14" i="40"/>
  <c r="G28" i="6"/>
  <c r="F29" i="6"/>
  <c r="F38" i="40"/>
  <c r="J38" i="40"/>
  <c r="H38" i="40"/>
  <c r="BL550" i="3"/>
  <c r="AZ550" i="3" s="1"/>
  <c r="AZ548" i="3"/>
  <c r="H23" i="35"/>
  <c r="J23" i="35"/>
  <c r="H25" i="37"/>
  <c r="J25" i="37"/>
  <c r="F25" i="37"/>
  <c r="H69" i="43"/>
  <c r="AB45" i="21"/>
  <c r="S13" i="21"/>
  <c r="J27" i="33"/>
  <c r="S36" i="33"/>
  <c r="S17" i="37"/>
  <c r="AB36" i="21"/>
  <c r="AC34" i="21"/>
  <c r="AC27" i="21"/>
  <c r="S19" i="21"/>
  <c r="AC19" i="21"/>
  <c r="S35" i="21"/>
  <c r="U40" i="21"/>
  <c r="AB42" i="21"/>
  <c r="S28" i="33"/>
  <c r="S33" i="33"/>
  <c r="U39" i="33"/>
  <c r="W33" i="34"/>
  <c r="U25" i="34"/>
  <c r="AA40" i="34"/>
  <c r="AC34" i="37"/>
  <c r="U36" i="37"/>
  <c r="W36" i="37"/>
  <c r="AA16" i="35"/>
  <c r="S24" i="35"/>
  <c r="AA13" i="36"/>
  <c r="AB13" i="40"/>
  <c r="U11" i="40"/>
  <c r="S33" i="40"/>
  <c r="S36" i="40"/>
  <c r="S37" i="40"/>
  <c r="U32" i="40"/>
  <c r="H67" i="43"/>
  <c r="BL5" i="3"/>
  <c r="G5" i="3"/>
  <c r="B3" i="3" s="1"/>
  <c r="E156" i="3" s="1"/>
  <c r="D120" i="9"/>
  <c r="AB39" i="21"/>
  <c r="W43" i="33"/>
  <c r="S32" i="33"/>
  <c r="AA35" i="33"/>
  <c r="U39" i="34"/>
  <c r="AC39" i="34"/>
  <c r="U44" i="34"/>
  <c r="AB8" i="34"/>
  <c r="AA13" i="37"/>
  <c r="S37" i="37"/>
  <c r="W30" i="37"/>
  <c r="F9" i="35"/>
  <c r="S9" i="35" s="1"/>
  <c r="U14" i="35"/>
  <c r="AA33" i="35"/>
  <c r="U36" i="35"/>
  <c r="AB20" i="36"/>
  <c r="W14" i="36"/>
  <c r="U26" i="36"/>
  <c r="S9" i="39"/>
  <c r="S15" i="39"/>
  <c r="U19" i="39"/>
  <c r="U25" i="39"/>
  <c r="U37" i="39"/>
  <c r="S28" i="40"/>
  <c r="S23" i="40"/>
  <c r="AA32" i="40"/>
  <c r="AC36" i="40"/>
  <c r="AC34" i="33"/>
  <c r="H12" i="39"/>
  <c r="U30" i="33"/>
  <c r="AA39" i="34"/>
  <c r="S11" i="40"/>
  <c r="AC21" i="40"/>
  <c r="U12" i="40"/>
  <c r="S15" i="37"/>
  <c r="AC11" i="39"/>
  <c r="BC5" i="3"/>
  <c r="E14" i="6" s="1"/>
  <c r="BN5" i="3"/>
  <c r="G29" i="6" s="1"/>
  <c r="E29" i="6" s="1"/>
  <c r="K15" i="1" s="1"/>
  <c r="W35" i="40"/>
  <c r="AB33" i="40"/>
  <c r="H5" i="3"/>
  <c r="AC12" i="37"/>
  <c r="F12" i="39"/>
  <c r="H27" i="34"/>
  <c r="AB27" i="37"/>
  <c r="S21" i="40"/>
  <c r="F14" i="40"/>
  <c r="J14" i="40"/>
  <c r="F38" i="37"/>
  <c r="J38" i="37"/>
  <c r="H28" i="37"/>
  <c r="J28" i="37"/>
  <c r="AC11" i="35"/>
  <c r="F45" i="21"/>
  <c r="F31" i="21"/>
  <c r="J31" i="21"/>
  <c r="J30" i="21"/>
  <c r="F30" i="21"/>
  <c r="J28" i="21"/>
  <c r="F28" i="21"/>
  <c r="H14" i="21"/>
  <c r="F14" i="21"/>
  <c r="S26" i="33"/>
  <c r="F27" i="34"/>
  <c r="F23" i="35"/>
  <c r="F24" i="36"/>
  <c r="W32" i="40"/>
  <c r="AC12" i="34"/>
  <c r="AB8" i="39"/>
  <c r="J31" i="39"/>
  <c r="F31" i="39"/>
  <c r="W33" i="33"/>
  <c r="U35" i="33"/>
  <c r="U34" i="35"/>
  <c r="U31" i="35"/>
  <c r="U31" i="36"/>
  <c r="U9" i="36"/>
  <c r="U14" i="37"/>
  <c r="W31" i="37"/>
  <c r="J36" i="39"/>
  <c r="H36" i="39"/>
  <c r="H12" i="36"/>
  <c r="H24" i="36"/>
  <c r="J26" i="37"/>
  <c r="H26" i="37"/>
  <c r="F26" i="37"/>
  <c r="H44" i="39"/>
  <c r="F44" i="39"/>
  <c r="J39" i="40"/>
  <c r="H39" i="40"/>
  <c r="BA551" i="3"/>
  <c r="AZ551" i="3" s="1"/>
  <c r="AZ400" i="3"/>
  <c r="AZ413" i="3"/>
  <c r="AZ424" i="3"/>
  <c r="AZ429" i="3"/>
  <c r="AZ439" i="3"/>
  <c r="AZ444" i="3"/>
  <c r="AZ456" i="3"/>
  <c r="AZ466" i="3"/>
  <c r="AZ472" i="3"/>
  <c r="AZ475" i="3"/>
  <c r="AZ483" i="3"/>
  <c r="AZ489" i="3"/>
  <c r="AZ316" i="3"/>
  <c r="AZ332" i="3"/>
  <c r="AZ397" i="3"/>
  <c r="AZ212" i="3"/>
  <c r="AZ217" i="3"/>
  <c r="AZ220" i="3"/>
  <c r="AZ228" i="3"/>
  <c r="AZ231" i="3"/>
  <c r="AZ244" i="3"/>
  <c r="AZ247" i="3"/>
  <c r="AZ260" i="3"/>
  <c r="AZ264" i="3"/>
  <c r="AZ282" i="3"/>
  <c r="AZ285" i="3"/>
  <c r="AZ290" i="3"/>
  <c r="AZ293" i="3"/>
  <c r="AZ153" i="3"/>
  <c r="A15" i="62"/>
  <c r="B61" i="72" s="1"/>
  <c r="AZ193" i="3"/>
  <c r="AZ205" i="3"/>
  <c r="AZ23" i="3"/>
  <c r="AZ38" i="3"/>
  <c r="AZ44" i="3"/>
  <c r="AZ48" i="3"/>
  <c r="AZ60" i="3"/>
  <c r="AZ64" i="3"/>
  <c r="AZ78" i="3"/>
  <c r="AZ91" i="3"/>
  <c r="AZ98" i="3"/>
  <c r="AZ104" i="3"/>
  <c r="AZ108" i="3"/>
  <c r="C35" i="71"/>
  <c r="D34" i="71"/>
  <c r="C64" i="71"/>
  <c r="D63" i="71"/>
  <c r="AA21" i="34"/>
  <c r="S21" i="34"/>
  <c r="B28" i="71"/>
  <c r="X26" i="71"/>
  <c r="X28" i="71"/>
  <c r="Y29" i="71"/>
  <c r="Z29" i="71" s="1"/>
  <c r="Y28" i="71"/>
  <c r="Z28" i="71" s="1"/>
  <c r="AB29" i="71"/>
  <c r="AB28" i="71"/>
  <c r="F30" i="71"/>
  <c r="F31" i="71" s="1"/>
  <c r="F32" i="71" s="1"/>
  <c r="V32" i="71" s="1"/>
  <c r="AA30" i="71"/>
  <c r="AA31" i="71"/>
  <c r="F34" i="71"/>
  <c r="F35" i="71" s="1"/>
  <c r="F36" i="71" s="1"/>
  <c r="V36" i="71" s="1"/>
  <c r="AA33" i="71"/>
  <c r="AA32" i="71"/>
  <c r="F38" i="71"/>
  <c r="F39" i="71" s="1"/>
  <c r="F40" i="71" s="1"/>
  <c r="V40" i="71" s="1"/>
  <c r="Y9" i="71"/>
  <c r="Z9" i="71" s="1"/>
  <c r="Y39" i="71"/>
  <c r="Z39" i="71" s="1"/>
  <c r="Y27" i="71"/>
  <c r="Z27" i="71" s="1"/>
  <c r="Y25" i="71"/>
  <c r="Z25" i="71" s="1"/>
  <c r="Y26" i="71"/>
  <c r="Z26" i="71" s="1"/>
  <c r="AB24" i="71"/>
  <c r="AB26" i="71"/>
  <c r="AA22" i="71"/>
  <c r="AA24" i="71"/>
  <c r="X21" i="71"/>
  <c r="Y21" i="71"/>
  <c r="Z21" i="71" s="1"/>
  <c r="Y14" i="71"/>
  <c r="Z14" i="71" s="1"/>
  <c r="Y17" i="71"/>
  <c r="Z17" i="71" s="1"/>
  <c r="Y11" i="71"/>
  <c r="Z11" i="71" s="1"/>
  <c r="AB17" i="71"/>
  <c r="AB10" i="71"/>
  <c r="AB11" i="71"/>
  <c r="Y10" i="71"/>
  <c r="Z10" i="71" s="1"/>
  <c r="AA13" i="71"/>
  <c r="C25" i="40"/>
  <c r="B100" i="43"/>
  <c r="B77" i="43"/>
  <c r="B68" i="43"/>
  <c r="C29" i="39"/>
  <c r="D60" i="71"/>
  <c r="O66" i="71"/>
  <c r="C32" i="71"/>
  <c r="C40" i="71"/>
  <c r="C56" i="71"/>
  <c r="C70" i="71"/>
  <c r="D70" i="71" s="1"/>
  <c r="D28" i="71"/>
  <c r="U28" i="71" s="1"/>
  <c r="AA25" i="71"/>
  <c r="E27" i="71"/>
  <c r="E26" i="71" s="1"/>
  <c r="V28" i="71"/>
  <c r="AB25" i="71"/>
  <c r="T28" i="71"/>
  <c r="AA26" i="71"/>
  <c r="AA28" i="71"/>
  <c r="D42" i="71"/>
  <c r="X27" i="71"/>
  <c r="AB37" i="71"/>
  <c r="AA35" i="71"/>
  <c r="AB33" i="71"/>
  <c r="Y30" i="71"/>
  <c r="Z30" i="71" s="1"/>
  <c r="AB31" i="71"/>
  <c r="Y34" i="71"/>
  <c r="Z34" i="71" s="1"/>
  <c r="X33" i="71"/>
  <c r="X34" i="71"/>
  <c r="X35" i="71"/>
  <c r="AB35" i="71"/>
  <c r="Y38" i="71"/>
  <c r="Z38" i="71" s="1"/>
  <c r="AA9" i="71"/>
  <c r="AA10" i="71"/>
  <c r="AA39" i="71"/>
  <c r="AA37" i="71"/>
  <c r="C47" i="71"/>
  <c r="D47" i="71" s="1"/>
  <c r="D46" i="71"/>
  <c r="B59" i="71"/>
  <c r="B60" i="71" s="1"/>
  <c r="S60" i="71" s="1"/>
  <c r="T68" i="71"/>
  <c r="D68" i="71"/>
  <c r="V68" i="71"/>
  <c r="F67" i="71"/>
  <c r="Q68" i="71"/>
  <c r="T76" i="71"/>
  <c r="D76" i="71"/>
  <c r="AB21" i="71"/>
  <c r="Y22" i="71"/>
  <c r="Z22" i="71" s="1"/>
  <c r="AA23" i="71"/>
  <c r="AB23" i="71"/>
  <c r="X22" i="71"/>
  <c r="AA18" i="71"/>
  <c r="X18" i="71"/>
  <c r="Y18" i="71"/>
  <c r="Z18" i="71" s="1"/>
  <c r="AA3" i="71"/>
  <c r="AB18" i="71"/>
  <c r="AB13" i="71"/>
  <c r="Y13" i="71"/>
  <c r="Z13" i="71" s="1"/>
  <c r="X12" i="71"/>
  <c r="X9" i="71"/>
  <c r="X10" i="71"/>
  <c r="AB9" i="71"/>
  <c r="X24" i="71"/>
  <c r="Y24" i="71"/>
  <c r="Z24" i="71" s="1"/>
  <c r="Y23" i="71"/>
  <c r="Z23" i="71" s="1"/>
  <c r="AA21" i="71"/>
  <c r="X15" i="71"/>
  <c r="X14" i="71"/>
  <c r="X11" i="71"/>
  <c r="AA15" i="71"/>
  <c r="AA12" i="71"/>
  <c r="AA11" i="71"/>
  <c r="X17" i="71"/>
  <c r="AA17" i="71"/>
  <c r="AA14" i="71"/>
  <c r="X13" i="71"/>
  <c r="AB15" i="71"/>
  <c r="AB12" i="71"/>
  <c r="AB14" i="71"/>
  <c r="Y12" i="71"/>
  <c r="Z12"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F53" i="9"/>
  <c r="C5" i="11"/>
  <c r="C4" i="12"/>
  <c r="I4" i="6"/>
  <c r="F30" i="6"/>
  <c r="E28" i="6"/>
  <c r="K14" i="1" s="1"/>
  <c r="K16" i="1" s="1"/>
  <c r="L19" i="6"/>
  <c r="L27" i="6" s="1"/>
  <c r="M6" i="1"/>
  <c r="O6" i="1" s="1"/>
  <c r="T13" i="1"/>
  <c r="C58" i="21"/>
  <c r="C58" i="33"/>
  <c r="C59" i="34"/>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AK59" i="34" s="1"/>
  <c r="AL59" i="34" s="1"/>
  <c r="AM59" i="34" s="1"/>
  <c r="AN59" i="34" s="1"/>
  <c r="AO59" i="34" s="1"/>
  <c r="AP59" i="34" s="1"/>
  <c r="AQ59" i="34" s="1"/>
  <c r="AR59" i="34" s="1"/>
  <c r="AS59" i="34" s="1"/>
  <c r="AT59" i="34" s="1"/>
  <c r="AU59" i="34" s="1"/>
  <c r="AV59" i="34" s="1"/>
  <c r="AW59" i="34" s="1"/>
  <c r="AX59" i="34" s="1"/>
  <c r="AY59" i="34" s="1"/>
  <c r="AZ59" i="34" s="1"/>
  <c r="BA59" i="34" s="1"/>
  <c r="BB59" i="34" s="1"/>
  <c r="BC59" i="34" s="1"/>
  <c r="BD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53" i="3"/>
  <c r="E319"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15" i="6"/>
  <c r="E64" i="39" s="1"/>
  <c r="E11" i="6"/>
  <c r="E60" i="39" s="1"/>
  <c r="E10" i="6"/>
  <c r="E13" i="6"/>
  <c r="H16" i="1"/>
  <c r="P11"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A19" i="51"/>
  <c r="B14" i="72" s="1"/>
  <c r="T35" i="4"/>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B20" i="31"/>
  <c r="B21" i="31" s="1"/>
  <c r="I1" i="73"/>
  <c r="B39" i="1" s="1"/>
  <c r="F51" i="67"/>
  <c r="F65" i="67"/>
  <c r="J53" i="67"/>
  <c r="J57" i="67"/>
  <c r="J55" i="67" s="1"/>
  <c r="J58" i="67" s="1"/>
  <c r="Q50" i="67" s="1"/>
  <c r="L56" i="67"/>
  <c r="I54" i="67"/>
  <c r="M7" i="15"/>
  <c r="J6" i="15" s="1"/>
  <c r="F50" i="15"/>
  <c r="F51" i="15"/>
  <c r="F71" i="15"/>
  <c r="C6" i="15"/>
  <c r="F66" i="67"/>
  <c r="L59" i="15"/>
  <c r="N59" i="15"/>
  <c r="M59" i="15"/>
  <c r="F66" i="15"/>
  <c r="Q71" i="67"/>
  <c r="F64" i="15"/>
  <c r="C27" i="67"/>
  <c r="F71" i="67"/>
  <c r="C27" i="15"/>
  <c r="F65" i="15"/>
  <c r="N59" i="67"/>
  <c r="L59" i="67"/>
  <c r="L58" i="67"/>
  <c r="M59" i="67"/>
  <c r="B13" i="70"/>
  <c r="M7" i="67"/>
  <c r="J6" i="67" s="1"/>
  <c r="F50" i="67"/>
  <c r="F68" i="67"/>
  <c r="F64" i="67"/>
  <c r="F68" i="15"/>
  <c r="D9" i="69"/>
  <c r="C36" i="69"/>
  <c r="D9" i="68"/>
  <c r="D5" i="73"/>
  <c r="D6" i="73"/>
  <c r="D3" i="73"/>
  <c r="C16" i="15"/>
  <c r="D4" i="73"/>
  <c r="D7" i="73"/>
  <c r="C16" i="67"/>
  <c r="L48" i="15"/>
  <c r="Q61" i="81" l="1"/>
  <c r="Q74" i="81"/>
  <c r="I54" i="15"/>
  <c r="L58" i="15"/>
  <c r="Q60" i="15" s="1"/>
  <c r="J53" i="15"/>
  <c r="L56" i="15" s="1"/>
  <c r="J57" i="15"/>
  <c r="J55" i="15" s="1"/>
  <c r="J58" i="15" s="1"/>
  <c r="Q50" i="15" s="1"/>
  <c r="F1" i="81"/>
  <c r="Q52" i="81"/>
  <c r="G6" i="1"/>
  <c r="G16" i="1" s="1"/>
  <c r="F10" i="39" s="1"/>
  <c r="I24" i="43"/>
  <c r="C24" i="43" s="1"/>
  <c r="Q60" i="81"/>
  <c r="Q73" i="81"/>
  <c r="C19" i="81"/>
  <c r="C20" i="81" s="1"/>
  <c r="C26" i="81" s="1"/>
  <c r="AA37" i="34"/>
  <c r="S37" i="34"/>
  <c r="H112" i="34"/>
  <c r="I112" i="34" s="1"/>
  <c r="J112" i="34" s="1"/>
  <c r="K112" i="34" s="1"/>
  <c r="L112" i="34" s="1"/>
  <c r="M112" i="34" s="1"/>
  <c r="H37" i="34"/>
  <c r="AC15" i="34"/>
  <c r="W15" i="34"/>
  <c r="F28" i="67"/>
  <c r="C28" i="67" s="1"/>
  <c r="F28" i="15"/>
  <c r="C28" i="15" s="1"/>
  <c r="F32" i="81"/>
  <c r="C32" i="81" s="1"/>
  <c r="F30" i="68"/>
  <c r="C48" i="68" s="1"/>
  <c r="F52" i="9"/>
  <c r="F32" i="15"/>
  <c r="F60" i="15" s="1"/>
  <c r="D68" i="9"/>
  <c r="F28" i="81"/>
  <c r="C28" i="81" s="1"/>
  <c r="F31" i="12"/>
  <c r="C31" i="12" s="1"/>
  <c r="F30" i="69"/>
  <c r="F30" i="11"/>
  <c r="M18" i="67"/>
  <c r="M18" i="15"/>
  <c r="F54" i="9"/>
  <c r="F60" i="81"/>
  <c r="F11" i="81"/>
  <c r="M11" i="81"/>
  <c r="J10" i="81" s="1"/>
  <c r="J5" i="81" s="1"/>
  <c r="AZ19" i="3"/>
  <c r="G30" i="6"/>
  <c r="G31" i="6" s="1"/>
  <c r="E63" i="39"/>
  <c r="E59" i="40"/>
  <c r="E12" i="6"/>
  <c r="E57" i="40" s="1"/>
  <c r="E530" i="3"/>
  <c r="E175" i="3"/>
  <c r="P6" i="3"/>
  <c r="E316" i="3"/>
  <c r="E496" i="3"/>
  <c r="E44" i="3"/>
  <c r="E88" i="3"/>
  <c r="E32" i="3"/>
  <c r="E330" i="3"/>
  <c r="E441" i="3"/>
  <c r="E384" i="3"/>
  <c r="E166" i="3"/>
  <c r="E444" i="3"/>
  <c r="E164" i="3"/>
  <c r="E256" i="3"/>
  <c r="E424" i="3"/>
  <c r="E128" i="3"/>
  <c r="E29" i="3"/>
  <c r="AM6" i="3"/>
  <c r="E317" i="3"/>
  <c r="E295" i="3"/>
  <c r="E121" i="3"/>
  <c r="E404" i="3"/>
  <c r="E558" i="3"/>
  <c r="AG6" i="3"/>
  <c r="E236" i="3"/>
  <c r="E394" i="3"/>
  <c r="E73" i="3"/>
  <c r="AE6" i="3"/>
  <c r="E437" i="3"/>
  <c r="E120" i="3"/>
  <c r="E238" i="3"/>
  <c r="E581" i="3"/>
  <c r="E443" i="3"/>
  <c r="E448" i="3"/>
  <c r="E576" i="3"/>
  <c r="E252" i="3"/>
  <c r="I6" i="3"/>
  <c r="E580" i="3"/>
  <c r="E274" i="3"/>
  <c r="E203" i="3"/>
  <c r="E55" i="3"/>
  <c r="E429" i="3"/>
  <c r="E344" i="3"/>
  <c r="E481" i="3"/>
  <c r="Q6" i="3"/>
  <c r="E177" i="3"/>
  <c r="E262" i="3"/>
  <c r="E434" i="3"/>
  <c r="P6" i="1"/>
  <c r="C13" i="12" s="1"/>
  <c r="E38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583" i="3"/>
  <c r="X6" i="3"/>
  <c r="E336" i="3"/>
  <c r="E246" i="3"/>
  <c r="E293" i="3"/>
  <c r="E385" i="3"/>
  <c r="E518" i="3"/>
  <c r="AI6" i="3"/>
  <c r="E578" i="3"/>
  <c r="E423" i="3"/>
  <c r="E382" i="3"/>
  <c r="E263" i="3"/>
  <c r="E245" i="3"/>
  <c r="E191" i="3"/>
  <c r="E61" i="3"/>
  <c r="E135" i="3"/>
  <c r="E290" i="3"/>
  <c r="E161" i="3"/>
  <c r="E117" i="3"/>
  <c r="E535" i="3"/>
  <c r="E550" i="3"/>
  <c r="E445" i="3"/>
  <c r="E260" i="3"/>
  <c r="E172" i="3"/>
  <c r="E395" i="3"/>
  <c r="E563" i="3"/>
  <c r="E415" i="3"/>
  <c r="E278" i="3"/>
  <c r="E114" i="3"/>
  <c r="E69" i="3"/>
  <c r="E130"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509" i="3"/>
  <c r="E239" i="3"/>
  <c r="AJ6" i="3"/>
  <c r="N6" i="3"/>
  <c r="E322" i="3"/>
  <c r="E282" i="3"/>
  <c r="E268" i="3"/>
  <c r="E553" i="3"/>
  <c r="E526" i="3"/>
  <c r="E366" i="3"/>
  <c r="E217" i="3"/>
  <c r="E125" i="3"/>
  <c r="E480" i="3"/>
  <c r="E109" i="3"/>
  <c r="E30" i="3"/>
  <c r="E572" i="3"/>
  <c r="E334" i="3"/>
  <c r="E377" i="3"/>
  <c r="E273" i="3"/>
  <c r="E211" i="3"/>
  <c r="E182" i="3"/>
  <c r="E70" i="3"/>
  <c r="E28" i="3"/>
  <c r="E489" i="3"/>
  <c r="E531" i="3"/>
  <c r="E557" i="3"/>
  <c r="E345" i="3"/>
  <c r="E400" i="3"/>
  <c r="E485" i="3"/>
  <c r="AO6" i="3"/>
  <c r="Z6" i="3"/>
  <c r="E327"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77" i="3"/>
  <c r="K1" i="73"/>
  <c r="AZ5" i="3"/>
  <c r="E3" i="6" s="1"/>
  <c r="F66" i="71"/>
  <c r="Q67" i="71"/>
  <c r="T40" i="71"/>
  <c r="D40" i="71"/>
  <c r="AB39" i="40"/>
  <c r="U39" i="40"/>
  <c r="AA44" i="39"/>
  <c r="S44" i="39"/>
  <c r="AA26" i="37"/>
  <c r="S26" i="37"/>
  <c r="AC26" i="37"/>
  <c r="W26" i="37"/>
  <c r="U12" i="36"/>
  <c r="AB12" i="36"/>
  <c r="AC36" i="39"/>
  <c r="W36" i="39"/>
  <c r="AC31" i="39"/>
  <c r="W31" i="39"/>
  <c r="AA24" i="36"/>
  <c r="S24" i="36"/>
  <c r="S27" i="34"/>
  <c r="AA27" i="34"/>
  <c r="S14" i="21"/>
  <c r="AA14" i="21"/>
  <c r="AA28" i="21"/>
  <c r="S28" i="21"/>
  <c r="S30" i="21"/>
  <c r="AA30" i="21"/>
  <c r="W31" i="21"/>
  <c r="AC31" i="21"/>
  <c r="S45" i="21"/>
  <c r="AA45" i="21"/>
  <c r="AC28" i="37"/>
  <c r="W28" i="37"/>
  <c r="W38" i="37"/>
  <c r="AC38" i="37"/>
  <c r="AC14" i="40"/>
  <c r="W14" i="40"/>
  <c r="U27" i="34"/>
  <c r="AB27" i="34"/>
  <c r="D121" i="9"/>
  <c r="D7" i="52" s="1"/>
  <c r="D6" i="52"/>
  <c r="W25" i="37"/>
  <c r="AC25" i="37"/>
  <c r="AC23" i="35"/>
  <c r="W23" i="35"/>
  <c r="AC38" i="40"/>
  <c r="W38" i="40"/>
  <c r="L6" i="3"/>
  <c r="E543" i="3"/>
  <c r="E494" i="3"/>
  <c r="E365" i="3"/>
  <c r="E342" i="3"/>
  <c r="E524" i="3"/>
  <c r="E360" i="3"/>
  <c r="E15" i="71"/>
  <c r="E14" i="71" s="1"/>
  <c r="E13" i="71" s="1"/>
  <c r="E12" i="71" s="1"/>
  <c r="V16" i="71"/>
  <c r="E497" i="3"/>
  <c r="E512" i="3"/>
  <c r="E522" i="3"/>
  <c r="E525" i="3"/>
  <c r="E564" i="3"/>
  <c r="J6" i="3"/>
  <c r="E137" i="3"/>
  <c r="B15" i="71"/>
  <c r="B14" i="71" s="1"/>
  <c r="B13" i="71" s="1"/>
  <c r="B12" i="71" s="1"/>
  <c r="S16" i="71"/>
  <c r="T56" i="71"/>
  <c r="D56" i="71"/>
  <c r="T32" i="71"/>
  <c r="D32" i="71"/>
  <c r="B27" i="71"/>
  <c r="B26" i="71" s="1"/>
  <c r="S28" i="71"/>
  <c r="T64" i="71"/>
  <c r="D64" i="71"/>
  <c r="D35" i="71"/>
  <c r="C36" i="71"/>
  <c r="W39" i="40"/>
  <c r="AC39" i="40"/>
  <c r="AB44" i="39"/>
  <c r="U44" i="39"/>
  <c r="U26" i="37"/>
  <c r="AB26" i="37"/>
  <c r="AB24" i="36"/>
  <c r="U24" i="36"/>
  <c r="AB36" i="39"/>
  <c r="U36" i="39"/>
  <c r="AA31" i="39"/>
  <c r="S31" i="39"/>
  <c r="S23" i="35"/>
  <c r="AA23" i="35"/>
  <c r="AB14" i="21"/>
  <c r="U14" i="21"/>
  <c r="AC28" i="21"/>
  <c r="W28" i="21"/>
  <c r="AC30" i="21"/>
  <c r="W30" i="21"/>
  <c r="S31" i="21"/>
  <c r="AA31" i="21"/>
  <c r="AB28" i="37"/>
  <c r="U28" i="37"/>
  <c r="AA38" i="37"/>
  <c r="S38" i="37"/>
  <c r="S14" i="40"/>
  <c r="AA14" i="40"/>
  <c r="S12" i="39"/>
  <c r="AA12" i="39"/>
  <c r="AB12" i="39"/>
  <c r="U12" i="39"/>
  <c r="E510" i="3"/>
  <c r="E329" i="3"/>
  <c r="E205" i="3"/>
  <c r="E16" i="3"/>
  <c r="E296" i="3"/>
  <c r="E188" i="3"/>
  <c r="E140" i="3"/>
  <c r="E223" i="3"/>
  <c r="E116" i="3"/>
  <c r="E173" i="3"/>
  <c r="E105" i="3"/>
  <c r="E369" i="3"/>
  <c r="E534" i="3"/>
  <c r="E405" i="3"/>
  <c r="E427" i="3"/>
  <c r="E456" i="3"/>
  <c r="E486" i="3"/>
  <c r="E469" i="3"/>
  <c r="E422" i="3"/>
  <c r="E408" i="3"/>
  <c r="E440" i="3"/>
  <c r="E451" i="3"/>
  <c r="E490" i="3"/>
  <c r="E376" i="3"/>
  <c r="E556" i="3"/>
  <c r="AH6" i="3"/>
  <c r="E13"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72" i="3"/>
  <c r="AL6" i="3"/>
  <c r="E42" i="3"/>
  <c r="E60" i="3"/>
  <c r="E94" i="3"/>
  <c r="E43" i="3"/>
  <c r="E75" i="3"/>
  <c r="E540" i="3"/>
  <c r="E428" i="3"/>
  <c r="E473" i="3"/>
  <c r="E482" i="3"/>
  <c r="E412" i="3"/>
  <c r="E455" i="3"/>
  <c r="E18" i="3"/>
  <c r="E79" i="3"/>
  <c r="E96" i="3"/>
  <c r="E38" i="3"/>
  <c r="E78" i="3"/>
  <c r="E100" i="3"/>
  <c r="E129" i="3"/>
  <c r="E170" i="3"/>
  <c r="E190" i="3"/>
  <c r="E174" i="3"/>
  <c r="E194" i="3"/>
  <c r="E220" i="3"/>
  <c r="E234" i="3"/>
  <c r="E275" i="3"/>
  <c r="E219" i="3"/>
  <c r="E235" i="3"/>
  <c r="E299" i="3"/>
  <c r="E324" i="3"/>
  <c r="E339" i="3"/>
  <c r="E325" i="3"/>
  <c r="E392" i="3"/>
  <c r="AQ6" i="3"/>
  <c r="E35" i="3"/>
  <c r="E52" i="3"/>
  <c r="E86" i="3"/>
  <c r="E36" i="3"/>
  <c r="E34" i="3"/>
  <c r="E112" i="3"/>
  <c r="E49" i="3"/>
  <c r="E123" i="3"/>
  <c r="E206" i="3"/>
  <c r="E147" i="3"/>
  <c r="E232" i="3"/>
  <c r="E289" i="3"/>
  <c r="E251" i="3"/>
  <c r="E370" i="3"/>
  <c r="E364" i="3"/>
  <c r="AF6" i="3"/>
  <c r="E50" i="3"/>
  <c r="E102" i="3"/>
  <c r="E20" i="3"/>
  <c r="E80" i="3"/>
  <c r="E62" i="3"/>
  <c r="E113" i="3"/>
  <c r="E176" i="3"/>
  <c r="E158" i="3"/>
  <c r="E218" i="3"/>
  <c r="E287" i="3"/>
  <c r="E265" i="3"/>
  <c r="E326" i="3"/>
  <c r="E22" i="3"/>
  <c r="E101"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430" i="3"/>
  <c r="E255" i="3"/>
  <c r="I3" i="6"/>
  <c r="E517" i="3"/>
  <c r="E491" i="3"/>
  <c r="E417" i="3"/>
  <c r="E56" i="3"/>
  <c r="E95" i="3"/>
  <c r="E132" i="3"/>
  <c r="E258" i="3"/>
  <c r="E292" i="3"/>
  <c r="E349" i="3"/>
  <c r="E544" i="3"/>
  <c r="E59" i="3"/>
  <c r="E409" i="3"/>
  <c r="E425" i="3"/>
  <c r="E64" i="3"/>
  <c r="E103" i="3"/>
  <c r="E160" i="3"/>
  <c r="E200" i="3"/>
  <c r="E249" i="3"/>
  <c r="E371" i="3"/>
  <c r="E492" i="3"/>
  <c r="E84" i="3"/>
  <c r="E67" i="3"/>
  <c r="E144" i="3"/>
  <c r="E233" i="3"/>
  <c r="E381" i="3"/>
  <c r="E63" i="3"/>
  <c r="E118" i="3"/>
  <c r="E283" i="3"/>
  <c r="E513" i="3"/>
  <c r="E449" i="3"/>
  <c r="AP6" i="3"/>
  <c r="E554" i="3"/>
  <c r="E435" i="3"/>
  <c r="E479" i="3"/>
  <c r="E37" i="3"/>
  <c r="E152" i="3"/>
  <c r="E192" i="3"/>
  <c r="E241" i="3"/>
  <c r="E363" i="3"/>
  <c r="E389" i="3"/>
  <c r="E76" i="3"/>
  <c r="E484" i="3"/>
  <c r="E467" i="3"/>
  <c r="E46" i="3"/>
  <c r="E142" i="3"/>
  <c r="E267" i="3"/>
  <c r="E300" i="3"/>
  <c r="E310" i="3"/>
  <c r="E23" i="3"/>
  <c r="E33" i="3"/>
  <c r="E184" i="3"/>
  <c r="E355" i="3"/>
  <c r="E68" i="3"/>
  <c r="E81" i="3"/>
  <c r="E264" i="3"/>
  <c r="E309" i="3"/>
  <c r="E21" i="3"/>
  <c r="W27" i="33"/>
  <c r="AC27" i="33"/>
  <c r="AA25" i="37"/>
  <c r="S25" i="37"/>
  <c r="U25" i="37"/>
  <c r="AB25" i="37"/>
  <c r="U23" i="35"/>
  <c r="AB23" i="35"/>
  <c r="BA5" i="3"/>
  <c r="E27" i="6" s="1"/>
  <c r="K26" i="6" s="1"/>
  <c r="M26" i="6" s="1"/>
  <c r="I26" i="6" s="1"/>
  <c r="S26" i="6" s="1"/>
  <c r="U38" i="40"/>
  <c r="AB38" i="40"/>
  <c r="AA38" i="40"/>
  <c r="S38" i="40"/>
  <c r="T6" i="3"/>
  <c r="E507" i="3"/>
  <c r="E15" i="3"/>
  <c r="E340" i="3"/>
  <c r="E393" i="3"/>
  <c r="C19" i="71"/>
  <c r="T20" i="71"/>
  <c r="D20" i="71"/>
  <c r="U20" i="71" s="1"/>
  <c r="E356" i="3"/>
  <c r="E493" i="3"/>
  <c r="E498" i="3"/>
  <c r="E197" i="3"/>
  <c r="E308" i="3"/>
  <c r="E61" i="43"/>
  <c r="B59" i="43" s="1"/>
  <c r="C28" i="43" s="1"/>
  <c r="E30" i="6"/>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E69" i="39"/>
  <c r="F59" i="67"/>
  <c r="H7" i="37"/>
  <c r="AB7" i="37" s="1"/>
  <c r="T42" i="37" s="1"/>
  <c r="G42" i="37" s="1"/>
  <c r="S10" i="39"/>
  <c r="AA10" i="39"/>
  <c r="H7" i="33"/>
  <c r="J7" i="33"/>
  <c r="D65" i="40"/>
  <c r="E63" i="40"/>
  <c r="F48" i="35"/>
  <c r="S7" i="36"/>
  <c r="AA7" i="36"/>
  <c r="R36" i="36" s="1"/>
  <c r="AC7" i="37"/>
  <c r="W7" i="37"/>
  <c r="AB7" i="36"/>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J18" i="67"/>
  <c r="C32" i="15"/>
  <c r="F1" i="67"/>
  <c r="Q52" i="67"/>
  <c r="Q61" i="67"/>
  <c r="Q74" i="67"/>
  <c r="Q74" i="15"/>
  <c r="Q61" i="15"/>
  <c r="AE11" i="1"/>
  <c r="AE9" i="1"/>
  <c r="AE8" i="1"/>
  <c r="AE12" i="1"/>
  <c r="AE10" i="1"/>
  <c r="F27" i="68"/>
  <c r="AE7" i="1"/>
  <c r="F41" i="67"/>
  <c r="G1" i="73"/>
  <c r="Q73" i="15" l="1"/>
  <c r="F1" i="15"/>
  <c r="Q52" i="15"/>
  <c r="U37" i="34"/>
  <c r="AB37" i="34"/>
  <c r="T49" i="34" s="1"/>
  <c r="G49" i="34" s="1"/>
  <c r="F48" i="68"/>
  <c r="C30" i="68"/>
  <c r="F48" i="69"/>
  <c r="C30" i="69"/>
  <c r="C48" i="69"/>
  <c r="C48" i="11"/>
  <c r="C30" i="11"/>
  <c r="J26" i="81"/>
  <c r="J24" i="81"/>
  <c r="C53" i="81"/>
  <c r="C48" i="81" s="1"/>
  <c r="C10" i="81"/>
  <c r="C5" i="81" s="1"/>
  <c r="H6" i="3"/>
  <c r="AY6" i="3"/>
  <c r="AC6" i="3"/>
  <c r="E6" i="3" s="1"/>
  <c r="E65" i="39"/>
  <c r="B40" i="1"/>
  <c r="F25" i="12" s="1"/>
  <c r="B11" i="71"/>
  <c r="B10" i="71" s="1"/>
  <c r="B9" i="71" s="1"/>
  <c r="B8" i="71" s="1"/>
  <c r="B7" i="71" s="1"/>
  <c r="B6" i="71" s="1"/>
  <c r="B5" i="71" s="1"/>
  <c r="S12" i="71"/>
  <c r="Q66" i="71"/>
  <c r="Q65" i="71"/>
  <c r="T36" i="36"/>
  <c r="G36" i="36" s="1"/>
  <c r="V42" i="37"/>
  <c r="I42" i="37" s="1"/>
  <c r="C18" i="71"/>
  <c r="D19" i="71"/>
  <c r="T36" i="71"/>
  <c r="D36" i="71"/>
  <c r="E11" i="71"/>
  <c r="E10" i="71" s="1"/>
  <c r="E9" i="71" s="1"/>
  <c r="E8" i="71" s="1"/>
  <c r="E7" i="71" s="1"/>
  <c r="E6" i="71" s="1"/>
  <c r="E5" i="71" s="1"/>
  <c r="V12" i="71"/>
  <c r="AC7" i="34"/>
  <c r="V49" i="34" s="1"/>
  <c r="I49" i="34" s="1"/>
  <c r="I53" i="34" s="1"/>
  <c r="J53" i="34" s="1"/>
  <c r="U7" i="34"/>
  <c r="AA7" i="34"/>
  <c r="R49" i="34" s="1"/>
  <c r="E49" i="34"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144" i="3"/>
  <c r="AY152" i="3"/>
  <c r="AY253" i="3"/>
  <c r="AY303" i="3"/>
  <c r="AY74" i="3"/>
  <c r="AY363" i="3"/>
  <c r="AY409" i="3"/>
  <c r="AY228" i="3"/>
  <c r="AY465" i="3"/>
  <c r="BK6" i="3"/>
  <c r="AY108" i="3"/>
  <c r="AY28" i="3"/>
  <c r="AY138" i="3"/>
  <c r="AY294" i="3"/>
  <c r="AY214" i="3"/>
  <c r="AY554" i="3"/>
  <c r="AY24" i="3"/>
  <c r="AY290" i="3"/>
  <c r="AY349" i="3"/>
  <c r="AY488" i="3"/>
  <c r="AY427"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D3" i="21"/>
  <c r="E6" i="6"/>
  <c r="D37" i="11"/>
  <c r="D14" i="12"/>
  <c r="M18" i="9"/>
  <c r="B118" i="9" s="1"/>
  <c r="B1" i="74" s="1"/>
  <c r="D3" i="34"/>
  <c r="D19" i="11"/>
  <c r="C19" i="11" s="1"/>
  <c r="L18" i="9"/>
  <c r="K28" i="9"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81"/>
  <c r="M27" i="67"/>
  <c r="M27" i="15"/>
  <c r="AE6" i="1"/>
  <c r="F69" i="81" l="1"/>
  <c r="J29" i="81"/>
  <c r="G53" i="34"/>
  <c r="H53" i="34" s="1"/>
  <c r="G54" i="34"/>
  <c r="H54" i="34" s="1"/>
  <c r="R50" i="34"/>
  <c r="C49" i="34" s="1"/>
  <c r="C38" i="81"/>
  <c r="L36" i="43"/>
  <c r="L37" i="43" s="1"/>
  <c r="M37" i="43" s="1"/>
  <c r="F24" i="81"/>
  <c r="C66" i="81"/>
  <c r="C60" i="81"/>
  <c r="F22" i="68"/>
  <c r="F41" i="68" s="1"/>
  <c r="F24" i="15"/>
  <c r="C24" i="15" s="1"/>
  <c r="F24" i="67"/>
  <c r="C24" i="67" s="1"/>
  <c r="F22" i="11"/>
  <c r="C23" i="11" s="1"/>
  <c r="F22" i="69"/>
  <c r="F41" i="69" s="1"/>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BM6" i="3"/>
  <c r="AY561" i="3"/>
  <c r="BF6" i="3"/>
  <c r="AY546" i="3"/>
  <c r="AY510" i="3"/>
  <c r="AY16" i="3"/>
  <c r="AY98" i="3"/>
  <c r="AY171" i="3"/>
  <c r="AY163" i="3"/>
  <c r="AY23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566" i="3"/>
  <c r="AY400" i="3"/>
  <c r="AY477" i="3"/>
  <c r="AY351" i="3"/>
  <c r="AY240" i="3"/>
  <c r="AY293" i="3"/>
  <c r="AY164" i="3"/>
  <c r="AY54" i="3"/>
  <c r="AY107" i="3"/>
  <c r="AY547" i="3"/>
  <c r="AY408" i="3"/>
  <c r="AY485" i="3"/>
  <c r="AY359" i="3"/>
  <c r="AY248" i="3"/>
  <c r="AY301" i="3"/>
  <c r="AY172" i="3"/>
  <c r="AY62" i="3"/>
  <c r="AY493" i="3"/>
  <c r="AY545" i="3"/>
  <c r="AY515" i="3"/>
  <c r="AY538" i="3"/>
  <c r="AY415" i="3"/>
  <c r="AY434" i="3"/>
  <c r="AY476" i="3"/>
  <c r="AY320" i="3"/>
  <c r="AY337" i="3"/>
  <c r="AY396" i="3"/>
  <c r="AY267" i="3"/>
  <c r="AY153" i="3"/>
  <c r="AY21" i="3"/>
  <c r="AY567" i="3"/>
  <c r="AY15" i="3"/>
  <c r="AY432" i="3"/>
  <c r="AY322" i="3"/>
  <c r="AY375" i="3"/>
  <c r="AY272" i="3"/>
  <c r="AY136" i="3"/>
  <c r="AY195" i="3"/>
  <c r="AY39" i="3"/>
  <c r="AY576" i="3"/>
  <c r="AY13" i="3"/>
  <c r="AY440" i="3"/>
  <c r="AY330" i="3"/>
  <c r="AY383" i="3"/>
  <c r="AY233" i="3"/>
  <c r="AY120" i="3"/>
  <c r="AY203" i="3"/>
  <c r="AY47" i="3"/>
  <c r="AY563" i="3"/>
  <c r="AY530" i="3"/>
  <c r="AY575" i="3"/>
  <c r="AY17" i="3"/>
  <c r="AY431" i="3"/>
  <c r="AY450" i="3"/>
  <c r="AY492" i="3"/>
  <c r="AY336" i="3"/>
  <c r="AY352" i="3"/>
  <c r="AY218" i="3"/>
  <c r="AY298" i="3"/>
  <c r="AY142" i="3"/>
  <c r="AY32" i="3"/>
  <c r="AY586" i="3"/>
  <c r="AY511" i="3"/>
  <c r="BD6" i="3"/>
  <c r="AY429" i="3"/>
  <c r="AY448" i="3"/>
  <c r="AY490" i="3"/>
  <c r="AY338" i="3"/>
  <c r="AY354" i="3"/>
  <c r="AY391" i="3"/>
  <c r="AY224" i="3"/>
  <c r="AY241" i="3"/>
  <c r="AY277" i="3"/>
  <c r="AY128" i="3"/>
  <c r="AY148" i="3"/>
  <c r="AY184" i="3"/>
  <c r="AY38" i="3"/>
  <c r="AY55" i="3"/>
  <c r="AY91" i="3"/>
  <c r="BL6" i="3"/>
  <c r="AY560" i="3"/>
  <c r="AY558" i="3"/>
  <c r="AY437" i="3"/>
  <c r="AY456" i="3"/>
  <c r="AY469" i="3"/>
  <c r="AY331" i="3"/>
  <c r="AY221" i="3"/>
  <c r="AY280" i="3"/>
  <c r="AY167" i="3"/>
  <c r="AY35" i="3"/>
  <c r="AY94" i="3"/>
  <c r="AY531" i="3"/>
  <c r="AY509" i="3"/>
  <c r="D3" i="6"/>
  <c r="C14" i="74" s="1"/>
  <c r="AY579" i="3"/>
  <c r="AY410" i="3"/>
  <c r="AY453" i="3"/>
  <c r="AY487" i="3"/>
  <c r="AY313" i="3"/>
  <c r="AY369" i="3"/>
  <c r="AY266" i="3"/>
  <c r="AY129" i="3"/>
  <c r="AY189" i="3"/>
  <c r="AY80" i="3"/>
  <c r="AY519" i="3"/>
  <c r="AY584" i="3"/>
  <c r="AY536" i="3"/>
  <c r="AY419" i="3"/>
  <c r="AY480" i="3"/>
  <c r="AY341" i="3"/>
  <c r="AY275" i="3"/>
  <c r="AY29" i="3"/>
  <c r="AY507" i="3"/>
  <c r="AY227" i="3"/>
  <c r="AY286" i="3"/>
  <c r="AY173" i="3"/>
  <c r="AY20" i="3"/>
  <c r="AY100" i="3"/>
  <c r="AY573" i="3"/>
  <c r="AY478" i="3"/>
  <c r="AY212" i="3"/>
  <c r="AY497" i="3"/>
  <c r="AY350" i="3"/>
  <c r="AY31" i="3"/>
  <c r="AY49" i="3"/>
  <c r="AY577" i="3"/>
  <c r="AY508" i="3"/>
  <c r="BN6" i="3"/>
  <c r="AY435" i="3"/>
  <c r="AY467" i="3"/>
  <c r="AY356" i="3"/>
  <c r="AY279" i="3"/>
  <c r="AY40" i="3"/>
  <c r="BS6" i="3"/>
  <c r="AY222" i="3"/>
  <c r="AY302" i="3"/>
  <c r="AY146" i="3"/>
  <c r="AY36" i="3"/>
  <c r="AY89" i="3"/>
  <c r="AY562" i="3"/>
  <c r="AY481" i="3"/>
  <c r="AY244" i="3"/>
  <c r="AY425" i="3"/>
  <c r="AY387" i="3"/>
  <c r="AY90" i="3"/>
  <c r="AY501" i="3"/>
  <c r="AY495" i="3"/>
  <c r="AY534" i="3"/>
  <c r="BQ6" i="3"/>
  <c r="AY446" i="3"/>
  <c r="AY332" i="3"/>
  <c r="AY210" i="3"/>
  <c r="AY177" i="3"/>
  <c r="AY104" i="3"/>
  <c r="AY381" i="3"/>
  <c r="AY231" i="3"/>
  <c r="AY118" i="3"/>
  <c r="AY201" i="3"/>
  <c r="AY45" i="3"/>
  <c r="AY541" i="3"/>
  <c r="AY433" i="3"/>
  <c r="AY358" i="3"/>
  <c r="AY180" i="3"/>
  <c r="AY470" i="3"/>
  <c r="AY204" i="3"/>
  <c r="AY196" i="3"/>
  <c r="AY382" i="3"/>
  <c r="AY111" i="3"/>
  <c r="AY95" i="3"/>
  <c r="AY34" i="3"/>
  <c r="C17" i="71"/>
  <c r="D18" i="71"/>
  <c r="M21" i="6"/>
  <c r="I21" i="6" s="1"/>
  <c r="S21" i="6" s="1"/>
  <c r="E6" i="70"/>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2" i="6"/>
  <c r="D21" i="6"/>
  <c r="M19" i="9"/>
  <c r="C118" i="9" s="1"/>
  <c r="B2" i="74" s="1"/>
  <c r="D26" i="6"/>
  <c r="D6" i="6"/>
  <c r="D9" i="6"/>
  <c r="D29" i="6"/>
  <c r="H22" i="6"/>
  <c r="D19" i="6"/>
  <c r="C18" i="4"/>
  <c r="D12" i="6"/>
  <c r="D11"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C60" i="15"/>
  <c r="C26" i="12"/>
  <c r="D25" i="12" s="1"/>
  <c r="C66" i="67"/>
  <c r="C60" i="67"/>
  <c r="D10" i="69"/>
  <c r="C34" i="69"/>
  <c r="D10" i="68"/>
  <c r="C17" i="67"/>
  <c r="C17" i="15"/>
  <c r="F41" i="15"/>
  <c r="C14" i="67"/>
  <c r="D28" i="6" l="1"/>
  <c r="D30" i="6" s="1"/>
  <c r="D5" i="6"/>
  <c r="H24" i="6"/>
  <c r="L19" i="9"/>
  <c r="D14" i="6"/>
  <c r="D20" i="6"/>
  <c r="D15" i="6"/>
  <c r="D13" i="6"/>
  <c r="D23" i="6"/>
  <c r="H21" i="6"/>
  <c r="D10" i="6"/>
  <c r="D8" i="6"/>
  <c r="D24" i="6"/>
  <c r="D25" i="6"/>
  <c r="F69" i="15"/>
  <c r="N37" i="43"/>
  <c r="Q36" i="43"/>
  <c r="C44" i="68"/>
  <c r="D41" i="68" s="1"/>
  <c r="C50" i="34"/>
  <c r="P37" i="43"/>
  <c r="N36" i="43"/>
  <c r="Q37" i="43"/>
  <c r="P36" i="43"/>
  <c r="C44" i="11"/>
  <c r="D41" i="11" s="1"/>
  <c r="C26" i="68"/>
  <c r="D22" i="68" s="1"/>
  <c r="O37" i="43"/>
  <c r="O36" i="43"/>
  <c r="M36" i="43"/>
  <c r="C24" i="81"/>
  <c r="C23" i="81"/>
  <c r="C26" i="11"/>
  <c r="D22" i="11" s="1"/>
  <c r="C24" i="11"/>
  <c r="C25" i="11"/>
  <c r="C26" i="69"/>
  <c r="D22" i="69" s="1"/>
  <c r="H25" i="6"/>
  <c r="C44" i="69"/>
  <c r="D41" i="69" s="1"/>
  <c r="C16" i="71"/>
  <c r="D17"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F35" i="81"/>
  <c r="M21" i="81"/>
  <c r="C22" i="11" l="1"/>
  <c r="C31" i="11" s="1"/>
  <c r="C18" i="12"/>
  <c r="C29" i="81"/>
  <c r="C36" i="81" s="1"/>
  <c r="F63" i="81"/>
  <c r="C62" i="81" s="1"/>
  <c r="C59" i="81" s="1"/>
  <c r="C34" i="81"/>
  <c r="C31" i="81" s="1"/>
  <c r="J20" i="81"/>
  <c r="J17" i="8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43" s="1"/>
  <c r="C23" i="69"/>
  <c r="I69" i="39"/>
  <c r="J67" i="39"/>
  <c r="I63" i="40"/>
  <c r="H65" i="40"/>
  <c r="I58" i="21"/>
  <c r="J58" i="21" s="1"/>
  <c r="K58" i="21" s="1"/>
  <c r="L58" i="21" s="1"/>
  <c r="M58" i="21" s="1"/>
  <c r="N58" i="21" s="1"/>
  <c r="O58" i="21" s="1"/>
  <c r="H7" i="21" s="1"/>
  <c r="J48" i="35"/>
  <c r="F26" i="43" l="1"/>
  <c r="N94" i="46"/>
  <c r="H26" i="43"/>
  <c r="J26" i="43"/>
  <c r="B116" i="43"/>
  <c r="E26" i="43"/>
  <c r="D26" i="43" s="1"/>
  <c r="C25" i="43" s="1"/>
  <c r="N370" i="46"/>
  <c r="Z7" i="43"/>
  <c r="G26" i="43"/>
  <c r="C21" i="12"/>
  <c r="C22" i="12" s="1"/>
  <c r="C57" i="81"/>
  <c r="C64" i="81" s="1"/>
  <c r="Q49" i="81"/>
  <c r="J14" i="81"/>
  <c r="J13" i="81" s="1"/>
  <c r="J23" i="81" s="1"/>
  <c r="J59" i="81"/>
  <c r="J60" i="81" s="1"/>
  <c r="Q48" i="81" s="1"/>
  <c r="C13" i="81"/>
  <c r="C75" i="81" s="1"/>
  <c r="D15" i="71"/>
  <c r="C14" i="71"/>
  <c r="F7" i="21"/>
  <c r="S7" i="21" s="1"/>
  <c r="J7" i="21"/>
  <c r="W7"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C33" i="43" l="1"/>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AC7" i="21"/>
  <c r="V48" i="21" s="1"/>
  <c r="I48" i="21" s="1"/>
  <c r="AA7" i="21"/>
  <c r="R48" i="21" s="1"/>
  <c r="C27" i="12"/>
  <c r="C25" i="12" s="1"/>
  <c r="C30" i="12"/>
  <c r="C28" i="12" s="1"/>
  <c r="J22" i="81"/>
  <c r="J16" i="81" s="1"/>
  <c r="J25" i="81" s="1"/>
  <c r="C56" i="81"/>
  <c r="C65" i="81" s="1"/>
  <c r="C58" i="81" s="1"/>
  <c r="C67" i="81" s="1"/>
  <c r="C68" i="81" s="1"/>
  <c r="C71" i="81" s="1"/>
  <c r="Q70" i="81"/>
  <c r="C37" i="81"/>
  <c r="C30" i="81" s="1"/>
  <c r="C39" i="81" s="1"/>
  <c r="Q69" i="81" s="1"/>
  <c r="D14" i="71"/>
  <c r="C13" i="71"/>
  <c r="J7" i="35"/>
  <c r="AC7" i="35" s="1"/>
  <c r="V38" i="35" s="1"/>
  <c r="I38"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F35" i="15"/>
  <c r="F35" i="67"/>
  <c r="M21" i="15"/>
  <c r="M21" i="67"/>
  <c r="L51" i="81"/>
  <c r="C118" i="43" l="1"/>
  <c r="D116" i="43"/>
  <c r="C34" i="43"/>
  <c r="E34" i="43" s="1"/>
  <c r="C31" i="43" s="1"/>
  <c r="E33" i="43"/>
  <c r="C30" i="43" s="1"/>
  <c r="W7" i="35"/>
  <c r="Q68" i="81"/>
  <c r="C32" i="12"/>
  <c r="B2" i="12" s="1"/>
  <c r="B3" i="12" s="1"/>
  <c r="C40" i="81"/>
  <c r="C80" i="81"/>
  <c r="C79" i="81" s="1"/>
  <c r="Q67" i="81"/>
  <c r="L57" i="81"/>
  <c r="L60" i="81" s="1"/>
  <c r="L46" i="81"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F31" i="88"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E6" i="76"/>
  <c r="E2" i="76" l="1"/>
  <c r="B2" i="43"/>
  <c r="K31" i="88"/>
  <c r="J32" i="15"/>
  <c r="J33" i="15" s="1"/>
  <c r="Q70" i="15"/>
  <c r="B2" i="81"/>
  <c r="I34" i="81" s="1"/>
  <c r="Q47" i="81"/>
  <c r="Q53" i="81" s="1"/>
  <c r="C43" i="81"/>
  <c r="C46" i="81"/>
  <c r="Q65" i="81"/>
  <c r="C83" i="81"/>
  <c r="C82" i="81" s="1"/>
  <c r="Q56" i="81"/>
  <c r="Q66" i="81"/>
  <c r="Q57" i="8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B6" i="76"/>
  <c r="B2" i="76" l="1"/>
  <c r="B3" i="76" s="1"/>
  <c r="B3" i="43"/>
  <c r="Q62" i="81"/>
  <c r="B3" i="81"/>
  <c r="Q75" i="81"/>
  <c r="D11" i="71"/>
  <c r="C10"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D2" i="36"/>
  <c r="D2" i="37"/>
  <c r="L51" i="15"/>
  <c r="C8" i="71" l="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U7" i="39"/>
  <c r="AB7" i="39"/>
  <c r="T47" i="39" s="1"/>
  <c r="G47" i="39" s="1"/>
  <c r="J7" i="40"/>
  <c r="F7" i="40"/>
  <c r="H7" i="40"/>
  <c r="C19" i="9"/>
  <c r="AO11" i="1"/>
  <c r="AO9" i="1"/>
  <c r="AO10" i="1"/>
  <c r="AO12" i="1"/>
  <c r="AO7" i="1"/>
  <c r="AO8" i="1"/>
  <c r="R48" i="39" l="1"/>
  <c r="C102" i="9"/>
  <c r="C21" i="9"/>
  <c r="B3" i="34"/>
  <c r="L46" i="15"/>
  <c r="B2" i="15" s="1"/>
  <c r="B3" i="15" s="1"/>
  <c r="C7" i="71"/>
  <c r="D8" i="7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20" i="9"/>
  <c r="C103" i="9" l="1"/>
  <c r="B6" i="70"/>
  <c r="D7" i="71"/>
  <c r="C6"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F65" i="39" l="1"/>
  <c r="B2" i="70"/>
  <c r="C5" i="71"/>
  <c r="D5" i="71" s="1"/>
  <c r="M24" i="43" s="1"/>
  <c r="D6" i="71"/>
  <c r="C42" i="40"/>
  <c r="C43" i="40"/>
  <c r="E47" i="40"/>
  <c r="F47" i="40" s="1"/>
  <c r="E46" i="40"/>
  <c r="F46" i="40" s="1"/>
  <c r="I47" i="40"/>
  <c r="J47" i="40" s="1"/>
  <c r="D19" i="9"/>
  <c r="B2" i="39" l="1"/>
  <c r="B3" i="39" s="1"/>
  <c r="C6" i="68"/>
  <c r="G19" i="9"/>
  <c r="H6" i="70" s="1"/>
  <c r="D21" i="9"/>
  <c r="D22" i="9"/>
  <c r="D102" i="9"/>
  <c r="B3" i="70"/>
  <c r="B58" i="40"/>
  <c r="F58" i="40" s="1"/>
  <c r="B54" i="40"/>
  <c r="F54" i="40" s="1"/>
  <c r="B53" i="40"/>
  <c r="F53" i="40" s="1"/>
  <c r="B59" i="40"/>
  <c r="F59" i="40" s="1"/>
  <c r="B52" i="40"/>
  <c r="F52" i="40" s="1"/>
  <c r="B56" i="40"/>
  <c r="F56" i="40" s="1"/>
  <c r="B60" i="40"/>
  <c r="F60" i="40" s="1"/>
  <c r="B57" i="40"/>
  <c r="F57" i="40" s="1"/>
  <c r="B51" i="40"/>
  <c r="F51" i="40" s="1"/>
  <c r="F61" i="40"/>
  <c r="B2" i="40" s="1"/>
  <c r="B3" i="40" s="1"/>
  <c r="D20" i="9"/>
  <c r="C7" i="68" l="1"/>
  <c r="C5" i="68"/>
  <c r="I6" i="70"/>
  <c r="G21" i="9"/>
  <c r="D103" i="9"/>
  <c r="G20" i="9"/>
  <c r="C32" i="9" s="1"/>
  <c r="C35" i="9" s="1"/>
  <c r="C23" i="68" l="1"/>
  <c r="C20" i="68"/>
  <c r="H7" i="70"/>
  <c r="I7" i="70" s="1"/>
  <c r="D35" i="9"/>
  <c r="C34" i="9"/>
  <c r="F118" i="9"/>
  <c r="G118" i="9" s="1"/>
  <c r="G4" i="52" s="1"/>
  <c r="B52" i="72" s="1"/>
  <c r="H118" i="9"/>
  <c r="H4" i="52" s="1"/>
  <c r="D34" i="9"/>
  <c r="H9" i="70" l="1"/>
  <c r="C28" i="68"/>
  <c r="C27" i="68" s="1"/>
  <c r="C25" i="68"/>
  <c r="C22" i="68" s="1"/>
  <c r="C31" i="68" s="1"/>
  <c r="C52" i="68" s="1"/>
  <c r="D118" i="9"/>
  <c r="F119" i="9"/>
  <c r="F5" i="52" s="1"/>
  <c r="B53" i="72" s="1"/>
  <c r="F4" i="52"/>
  <c r="B51" i="72" s="1"/>
  <c r="I118" i="9"/>
  <c r="C104" i="9"/>
  <c r="H119" i="9"/>
  <c r="H5" i="52" s="1"/>
  <c r="H101" i="9"/>
  <c r="B2" i="68" l="1"/>
  <c r="B3" i="68" s="1"/>
  <c r="C57" i="68"/>
  <c r="C56" i="68" s="1"/>
  <c r="C105" i="9"/>
  <c r="K33" i="88"/>
  <c r="D45" i="9"/>
  <c r="C72" i="9" s="1"/>
  <c r="C77" i="9" s="1"/>
  <c r="C74" i="9" s="1"/>
  <c r="F33" i="88"/>
  <c r="F32" i="88" s="1"/>
  <c r="D4" i="52"/>
  <c r="B47" i="72" s="1"/>
  <c r="D119" i="9"/>
  <c r="D5" i="52" s="1"/>
  <c r="B49" i="72" s="1"/>
  <c r="I4" i="52"/>
  <c r="E118" i="9"/>
  <c r="E4" i="52" s="1"/>
  <c r="B48" i="72" s="1"/>
  <c r="H102" i="9"/>
  <c r="D7" i="53" s="1"/>
  <c r="B21" i="72" s="1"/>
  <c r="D5" i="53"/>
  <c r="D6" i="53" s="1"/>
  <c r="B22" i="72" s="1"/>
  <c r="M48" i="9"/>
  <c r="D14" i="74"/>
  <c r="G14" i="74" s="1"/>
  <c r="B6" i="74" s="1"/>
  <c r="D6" i="74" s="1"/>
  <c r="H107" i="9"/>
  <c r="D122" i="9" s="1"/>
  <c r="D8" i="52" s="1"/>
  <c r="K32" i="88" l="1"/>
  <c r="D55" i="9"/>
  <c r="M53" i="9" s="1"/>
  <c r="D53" i="9"/>
  <c r="G62" i="9"/>
  <c r="D58" i="9" s="1"/>
  <c r="C85" i="9"/>
  <c r="C64" i="9"/>
  <c r="C63" i="9" s="1"/>
  <c r="C67" i="9" s="1"/>
  <c r="D52" i="9"/>
  <c r="C78" i="9"/>
  <c r="C73" i="9" s="1"/>
  <c r="C79" i="9" s="1"/>
  <c r="C80" i="9" s="1"/>
  <c r="E80" i="9" s="1"/>
  <c r="E81" i="9" s="1"/>
  <c r="C93" i="9"/>
  <c r="C86" i="9" s="1"/>
  <c r="C95" i="9" s="1"/>
  <c r="B20" i="72"/>
  <c r="F14" i="74"/>
  <c r="M49" i="9"/>
  <c r="L68" i="9" s="1"/>
  <c r="M68" i="9" s="1"/>
  <c r="D123" i="9"/>
  <c r="D9" i="52" s="1"/>
  <c r="H108" i="9"/>
  <c r="D15" i="53" s="1"/>
  <c r="B31" i="72" s="1"/>
  <c r="B5" i="74"/>
  <c r="D5" i="74" s="1"/>
  <c r="E14" i="74"/>
  <c r="D13" i="53"/>
  <c r="C68" i="9"/>
  <c r="D54" i="9" s="1"/>
  <c r="D48" i="9" s="1"/>
  <c r="M52" i="9" s="1"/>
  <c r="D59" i="9"/>
  <c r="M55" i="9" s="1"/>
  <c r="F36" i="88" l="1"/>
  <c r="L66" i="9"/>
  <c r="M66" i="9" s="1"/>
  <c r="L63" i="9"/>
  <c r="M63" i="9" s="1"/>
  <c r="L64" i="9"/>
  <c r="M64" i="9" s="1"/>
  <c r="L67" i="9"/>
  <c r="M67" i="9" s="1"/>
  <c r="C6" i="74"/>
  <c r="L65" i="9"/>
  <c r="M65" i="9" s="1"/>
  <c r="C5" i="74"/>
  <c r="C81" i="9"/>
  <c r="B30" i="72"/>
  <c r="D14" i="53"/>
  <c r="B32" i="72" s="1"/>
  <c r="C96" i="9"/>
  <c r="E96" i="9" s="1"/>
  <c r="E97" i="9" s="1"/>
  <c r="F5" i="88" l="1"/>
  <c r="F9" i="88"/>
  <c r="F13" i="88"/>
  <c r="K13" i="88" s="1"/>
  <c r="F17" i="88"/>
  <c r="K17" i="88" s="1"/>
  <c r="F21" i="88"/>
  <c r="F25" i="88"/>
  <c r="F29" i="88"/>
  <c r="K29" i="88" s="1"/>
  <c r="F11" i="88"/>
  <c r="K11" i="88" s="1"/>
  <c r="F23" i="88"/>
  <c r="F8" i="88"/>
  <c r="K8" i="88" s="1"/>
  <c r="F16" i="88"/>
  <c r="K16" i="88" s="1"/>
  <c r="F28" i="88"/>
  <c r="K28" i="88" s="1"/>
  <c r="F6" i="88"/>
  <c r="F10" i="88"/>
  <c r="F14" i="88"/>
  <c r="K14" i="88" s="1"/>
  <c r="F18" i="88"/>
  <c r="K18" i="88" s="1"/>
  <c r="F22" i="88"/>
  <c r="F26" i="88"/>
  <c r="K26" i="88" s="1"/>
  <c r="F30" i="88"/>
  <c r="K30" i="88" s="1"/>
  <c r="F15" i="88"/>
  <c r="K15" i="88" s="1"/>
  <c r="F27" i="88"/>
  <c r="F12" i="88"/>
  <c r="K12" i="88" s="1"/>
  <c r="F24" i="88"/>
  <c r="K24" i="88" s="1"/>
  <c r="F7" i="88"/>
  <c r="K7" i="88" s="1"/>
  <c r="F19" i="88"/>
  <c r="K19" i="88" s="1"/>
  <c r="F20" i="88"/>
  <c r="K20" i="88" s="1"/>
  <c r="K5" i="88"/>
  <c r="K9" i="88"/>
  <c r="K21" i="88"/>
  <c r="K25" i="88"/>
  <c r="K10" i="88"/>
  <c r="K22" i="88"/>
  <c r="K23" i="88"/>
  <c r="K6" i="88"/>
  <c r="K27" i="88"/>
  <c r="F37" i="88"/>
  <c r="M69" i="9"/>
  <c r="N69" i="9" s="1"/>
  <c r="C97" i="9"/>
  <c r="D56" i="9" s="1"/>
  <c r="M54" i="9" s="1"/>
  <c r="N57" i="9" s="1"/>
  <c r="P57" i="9" s="1"/>
  <c r="F39" i="88" l="1"/>
  <c r="F4" i="88" s="1"/>
  <c r="K4" i="88" s="1"/>
  <c r="N58" i="9"/>
  <c r="N59" i="9"/>
  <c r="H111" i="9" s="1"/>
  <c r="L33" i="88" s="1"/>
  <c r="L32" i="88" l="1"/>
  <c r="M32" i="88" s="1"/>
  <c r="D126" i="9"/>
  <c r="I14" i="74" s="1"/>
  <c r="B8" i="74" s="1"/>
  <c r="D8" i="74" s="1"/>
  <c r="D19" i="53"/>
  <c r="N60" i="9"/>
  <c r="J19" i="9"/>
  <c r="N61" i="9"/>
  <c r="H112" i="9" s="1"/>
  <c r="M33" i="88" s="1"/>
  <c r="L36" i="88" l="1"/>
  <c r="B38" i="72"/>
  <c r="D20" i="53"/>
  <c r="B40" i="72" s="1"/>
  <c r="D21" i="53"/>
  <c r="B39" i="72" s="1"/>
  <c r="C8" i="74"/>
  <c r="D127" i="9"/>
  <c r="D13" i="52" s="1"/>
  <c r="D12" i="52"/>
  <c r="F34" i="88" l="1"/>
  <c r="F35" i="88"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<sst xmlns="http://schemas.openxmlformats.org/spreadsheetml/2006/main" count="12447" uniqueCount="5114">
  <si>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</si>
  <si>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</si>
  <si>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</si>
  <si>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</si>
  <si>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</si>
  <si>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</si>
  <si>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</si>
  <si>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</si>
  <si>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</si>
  <si>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</si>
  <si>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</si>
  <si>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</si>
  <si>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</si>
  <si>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</si>
  <si>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</si>
  <si>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</si>
  <si>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</si>
  <si>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</si>
  <si>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</si>
  <si>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</si>
  <si>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</si>
  <si>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</si>
  <si>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</si>
  <si>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</si>
  <si>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</si>
  <si>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</si>
  <si>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</si>
  <si>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</si>
  <si>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</si>
  <si>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</si>
  <si>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</si>
  <si>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</si>
  <si>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</si>
  <si>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</si>
  <si>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</si>
  <si>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</si>
  <si>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</si>
  <si>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</si>
  <si>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</si>
  <si>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</si>
  <si>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</si>
  <si>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</si>
  <si>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</si>
  <si>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</si>
  <si>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</si>
  <si>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</si>
  <si>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</si>
  <si>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</si>
  <si>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</si>
  <si>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</si>
  <si>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</si>
  <si>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</si>
  <si>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</si>
  <si>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</si>
  <si>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</si>
  <si>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</si>
  <si>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</si>
  <si>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</si>
  <si>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</si>
  <si>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</si>
  <si>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</si>
  <si>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</si>
  <si>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</si>
  <si>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</si>
  <si>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</si>
  <si>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</si>
  <si>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</si>
  <si>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</si>
  <si>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</si>
  <si>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</si>
  <si>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</si>
  <si>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</si>
  <si>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</si>
  <si>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</si>
  <si>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</si>
  <si>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</si>
  <si>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</si>
  <si>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</si>
  <si>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</si>
  <si>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</si>
  <si>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</si>
  <si>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</si>
  <si>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</si>
  <si>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</si>
  <si>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</si>
  <si>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</si>
  <si>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</si>
  <si>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</si>
  <si>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</si>
  <si>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</si>
  <si>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</si>
  <si>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</si>
  <si>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</si>
  <si>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</si>
  <si>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</si>
  <si>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</si>
  <si>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</si>
  <si>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</si>
  <si>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</si>
  <si>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</si>
  <si>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</si>
  <si>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</si>
  <si>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</si>
  <si>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</si>
  <si>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</si>
  <si>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</si>
  <si>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</si>
  <si>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</si>
  <si>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</si>
  <si>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</si>
  <si>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</si>
  <si>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</si>
  <si>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</si>
  <si>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</si>
  <si>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</si>
  <si>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</si>
  <si>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</si>
  <si>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</si>
  <si>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</si>
  <si>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</si>
  <si>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</si>
  <si>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</si>
  <si>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</si>
  <si>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</si>
  <si>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</si>
  <si>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</si>
  <si>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</si>
  <si>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</si>
  <si>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</si>
  <si>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</si>
  <si>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</si>
  <si>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</si>
  <si>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</si>
  <si>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</si>
  <si>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</si>
  <si>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</si>
  <si>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</si>
  <si>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</si>
  <si>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</si>
  <si>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</si>
  <si>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</si>
  <si>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</si>
  <si>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</si>
  <si>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</si>
  <si>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</si>
  <si>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</si>
  <si>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</si>
  <si>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</si>
  <si>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</si>
  <si>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</si>
  <si>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</si>
  <si>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</si>
  <si>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</si>
  <si>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</si>
  <si>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</si>
  <si>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</si>
  <si>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</si>
  <si>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</si>
  <si>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</si>
  <si>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</si>
  <si>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</si>
  <si>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</si>
  <si>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</si>
  <si>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</si>
  <si>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</si>
  <si>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</si>
  <si>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</si>
  <si>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</si>
  <si>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</si>
  <si>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</si>
  <si>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</si>
  <si>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</si>
  <si>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</si>
  <si>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</si>
  <si>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</si>
  <si>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</si>
  <si>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</si>
  <si>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</si>
  <si>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</si>
  <si>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</si>
  <si>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</si>
  <si>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</si>
  <si>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</si>
  <si>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</si>
  <si>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</si>
  <si>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</si>
  <si>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</si>
  <si>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</si>
  <si>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</si>
  <si>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</si>
  <si>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</si>
  <si>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</si>
  <si>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</si>
  <si>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</si>
  <si>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</si>
  <si>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</si>
  <si>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</si>
  <si>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</si>
  <si>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</si>
  <si>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</si>
  <si>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</si>
  <si>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</si>
  <si>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</si>
  <si>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</si>
  <si>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</si>
  <si>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</si>
  <si>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</si>
  <si>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</si>
  <si>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</si>
  <si>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</si>
  <si>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</si>
  <si>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</si>
  <si>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</si>
  <si>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</si>
  <si>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</si>
  <si>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</si>
  <si>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</si>
  <si>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</si>
  <si>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</si>
  <si>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</si>
  <si>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</si>
  <si>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</si>
  <si>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</si>
  <si>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</si>
  <si>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</si>
  <si>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</si>
  <si>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</si>
  <si>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</si>
  <si>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</si>
  <si>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</si>
  <si>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</si>
  <si>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</si>
  <si>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</si>
  <si>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</si>
  <si>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</si>
  <si>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</si>
  <si>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</si>
  <si>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</si>
  <si>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</si>
  <si>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</si>
  <si>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</si>
  <si>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</si>
  <si>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</si>
  <si>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</si>
  <si>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</si>
  <si>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</si>
  <si>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</si>
  <si>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</si>
  <si>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</si>
  <si>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</si>
  <si>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</si>
  <si>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</si>
  <si>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</si>
  <si>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</si>
  <si>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</si>
  <si>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</si>
  <si>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</si>
  <si>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</si>
  <si>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</si>
  <si>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</si>
  <si>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</si>
  <si>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</si>
  <si>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</si>
  <si>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</si>
  <si>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</si>
  <si>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</si>
  <si>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</si>
  <si>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</si>
  <si>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</si>
  <si>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</si>
  <si>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</si>
  <si>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</si>
  <si>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</si>
  <si>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</si>
  <si>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</si>
  <si>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</si>
  <si>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</si>
  <si>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</si>
  <si>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</si>
  <si>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</si>
  <si>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</si>
  <si>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</si>
  <si>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</si>
  <si>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</si>
  <si>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</si>
  <si>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</si>
  <si>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</si>
  <si>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</si>
  <si>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</si>
  <si>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</si>
  <si>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</si>
  <si>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</si>
  <si>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</si>
  <si>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</si>
  <si>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</si>
  <si>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</si>
  <si>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</si>
  <si>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</si>
  <si>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</si>
  <si>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</si>
  <si>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</si>
  <si>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</si>
  <si>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</si>
  <si>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</si>
  <si>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</si>
  <si>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</si>
  <si>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</si>
  <si>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</si>
  <si>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</si>
  <si>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</si>
  <si>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</si>
  <si>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</si>
  <si>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</si>
  <si>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</si>
  <si>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</si>
  <si>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</si>
  <si>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</si>
  <si>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</si>
  <si>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</si>
  <si>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</si>
  <si>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</si>
  <si>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</si>
  <si>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</si>
  <si>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</si>
  <si>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</si>
  <si>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</si>
  <si>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</si>
  <si>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</si>
  <si>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</si>
  <si>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</si>
  <si>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</si>
  <si>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</si>
  <si>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</si>
  <si>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</si>
  <si>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</si>
  <si>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</si>
  <si>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</si>
  <si>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</si>
  <si>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</si>
  <si>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</si>
  <si>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</si>
  <si>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</si>
  <si>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</si>
  <si>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</si>
  <si>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</si>
  <si>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</si>
  <si>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</si>
  <si>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</si>
  <si>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</si>
  <si>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</si>
  <si>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</si>
  <si>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</si>
  <si>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</si>
  <si>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</si>
  <si>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</si>
  <si>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</si>
  <si>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</si>
  <si>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</si>
  <si>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</si>
  <si>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</si>
  <si>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</si>
  <si>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</si>
  <si>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</si>
  <si>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</si>
  <si>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</si>
  <si>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</si>
  <si>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</si>
  <si>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</si>
  <si>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</si>
  <si>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</si>
  <si>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</si>
  <si>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</si>
  <si>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</si>
  <si>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</si>
  <si>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</si>
  <si>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</si>
  <si>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</si>
  <si>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</si>
  <si>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</si>
  <si>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</si>
  <si>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</si>
  <si>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</si>
  <si>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</si>
  <si>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</si>
  <si>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</si>
  <si>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</si>
  <si>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</si>
  <si>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</si>
  <si>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</si>
  <si>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</si>
  <si>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</si>
  <si>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</si>
  <si>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</si>
  <si>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</si>
  <si>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</si>
  <si>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</si>
  <si>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</si>
  <si>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</si>
  <si>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</si>
  <si>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</si>
  <si>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</si>
  <si>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</si>
  <si>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</si>
  <si>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</si>
  <si>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</si>
  <si>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</si>
  <si>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</si>
  <si>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</si>
  <si>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</si>
  <si>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</si>
  <si>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</si>
  <si>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</si>
  <si>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</si>
  <si>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</si>
  <si>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</si>
  <si>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</si>
  <si>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</si>
  <si>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</si>
  <si>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</si>
  <si>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</si>
  <si>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</si>
  <si>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</si>
  <si>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</si>
  <si>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</si>
  <si>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</si>
  <si>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</si>
  <si>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</si>
  <si>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</si>
  <si>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</si>
  <si>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</si>
  <si>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</si>
  <si>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</si>
  <si>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</si>
  <si>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</si>
  <si>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</si>
  <si>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</si>
  <si>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</si>
  <si>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</si>
  <si>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</si>
  <si>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</si>
  <si>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</si>
  <si>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</si>
  <si>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</si>
  <si>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</si>
  <si>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</si>
  <si>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</si>
  <si>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</si>
  <si>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</si>
  <si>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</si>
  <si>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</si>
  <si>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</si>
  <si>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</si>
  <si>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</si>
  <si>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</si>
  <si>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</si>
  <si>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</si>
  <si>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</si>
  <si>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</si>
  <si>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</si>
  <si>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</si>
  <si>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</si>
  <si>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</si>
  <si>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</si>
  <si>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</si>
  <si>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</si>
  <si>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</si>
  <si>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</si>
  <si>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</si>
  <si>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</si>
  <si>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</si>
  <si>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</si>
  <si>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</si>
  <si>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</si>
  <si>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</si>
  <si>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</si>
  <si>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</si>
  <si>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</si>
  <si>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</si>
  <si>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</si>
  <si>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</si>
  <si>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</si>
  <si>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</si>
  <si>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</si>
  <si>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</si>
  <si>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</si>
  <si>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</si>
  <si>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</si>
  <si>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</si>
  <si>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</si>
  <si>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</si>
  <si>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</si>
  <si>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</si>
  <si>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</si>
  <si>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</si>
  <si>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</si>
  <si>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</si>
  <si>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</si>
  <si>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</si>
  <si>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</si>
  <si>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</si>
  <si>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</si>
  <si>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</si>
  <si>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</si>
  <si>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</si>
  <si>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</si>
  <si>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</si>
  <si>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</si>
  <si>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</si>
  <si>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</si>
  <si>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</si>
  <si>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</si>
  <si>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</si>
  <si>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</si>
  <si>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</si>
  <si>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</si>
  <si>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</si>
  <si>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</si>
  <si>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</si>
  <si>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</si>
  <si>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</si>
  <si>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</si>
  <si>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</si>
  <si>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</si>
  <si>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</si>
  <si>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</si>
  <si>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</si>
  <si>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</si>
  <si>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</si>
  <si>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</si>
  <si>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</si>
  <si>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</si>
  <si>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</si>
  <si>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</si>
  <si>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</si>
  <si>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</si>
  <si>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</si>
  <si>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</si>
  <si>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</si>
  <si>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</si>
  <si>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</si>
  <si>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</si>
  <si>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</si>
  <si>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</si>
  <si>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</si>
  <si>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</si>
  <si>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</si>
  <si>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</si>
  <si>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</si>
  <si>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</si>
  <si>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</si>
  <si>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</si>
  <si>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</si>
  <si>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</si>
  <si>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</si>
  <si>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</si>
  <si>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</si>
  <si>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</si>
  <si>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</si>
  <si>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</si>
  <si>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</si>
  <si>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</si>
  <si>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</si>
  <si>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</si>
  <si>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</si>
  <si>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</si>
  <si>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</si>
  <si>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</si>
  <si>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</si>
  <si>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</si>
  <si>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</si>
  <si>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</si>
  <si>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</si>
  <si>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</si>
  <si>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</si>
  <si>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</si>
  <si>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</si>
  <si>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</si>
  <si>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</si>
  <si>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</si>
  <si>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</si>
  <si>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</si>
  <si>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</si>
  <si>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</si>
  <si>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</si>
  <si>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</si>
  <si>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</si>
  <si>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</si>
  <si>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</si>
  <si>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</si>
  <si>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</si>
  <si>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</si>
  <si>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</si>
  <si>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</si>
  <si>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</si>
  <si>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</si>
  <si>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</si>
  <si>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</si>
  <si>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</si>
  <si>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</si>
  <si>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</si>
  <si>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</si>
  <si>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</si>
  <si>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</si>
  <si>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</si>
  <si>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</si>
  <si>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</si>
  <si>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</si>
  <si>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</si>
  <si>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</si>
  <si>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</si>
  <si>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</si>
  <si>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</si>
  <si>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</si>
  <si>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</si>
  <si>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</si>
  <si>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</si>
  <si>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</si>
  <si>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</si>
  <si>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</si>
  <si>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</si>
  <si>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</si>
  <si>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</si>
  <si>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</si>
  <si>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</si>
  <si>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</si>
  <si>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</si>
  <si>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</si>
  <si>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</si>
  <si>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</si>
  <si>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</si>
  <si>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</si>
  <si>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</si>
  <si>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</si>
  <si>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</si>
  <si>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</si>
  <si>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</si>
  <si>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</si>
  <si>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</si>
  <si>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</si>
  <si>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</si>
  <si>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</si>
  <si>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</si>
  <si>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</si>
  <si>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</si>
  <si>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</si>
  <si>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</si>
  <si>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</si>
  <si>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</si>
  <si>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</si>
  <si>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</si>
  <si>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</si>
  <si>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</si>
  <si>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</si>
  <si>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</si>
  <si>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</si>
  <si>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</si>
  <si>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</si>
  <si>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</si>
  <si>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</si>
  <si>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</si>
  <si>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</si>
  <si>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</si>
  <si>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</si>
  <si>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</si>
  <si>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</si>
  <si>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</si>
  <si>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</si>
  <si>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</si>
  <si>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</si>
  <si>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</si>
  <si>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</si>
  <si>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</si>
  <si>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</si>
  <si>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</si>
  <si>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</si>
  <si>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</si>
  <si>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</si>
  <si>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</si>
  <si>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</si>
  <si>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</si>
  <si>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</si>
  <si>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</si>
  <si>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</si>
  <si>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</si>
  <si>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</si>
  <si>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</si>
  <si>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</si>
  <si>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</si>
  <si>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</si>
  <si>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</si>
  <si>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</si>
  <si>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</si>
  <si>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</si>
  <si>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</si>
  <si>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</si>
  <si>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</si>
  <si>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</si>
  <si>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</si>
  <si>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</si>
  <si>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</si>
  <si>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</si>
  <si>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</si>
  <si>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</si>
  <si>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</si>
  <si>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</si>
  <si>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</si>
  <si>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</si>
  <si>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</si>
  <si>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</si>
  <si>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</si>
  <si>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</si>
  <si>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</si>
  <si>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</si>
  <si>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</si>
  <si>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</si>
  <si>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</si>
  <si>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</si>
  <si>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</si>
  <si>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</si>
  <si>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</si>
  <si>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</si>
  <si>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</si>
  <si>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</si>
  <si>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</si>
  <si>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</si>
  <si>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</si>
  <si>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</si>
  <si>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</si>
  <si>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</si>
  <si>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</si>
  <si>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</si>
  <si>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</si>
  <si>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</si>
  <si>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</si>
  <si>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</si>
  <si>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</si>
  <si>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</si>
  <si>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</si>
  <si>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</si>
  <si>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</si>
  <si>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</si>
  <si>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</si>
  <si>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</si>
  <si>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</si>
  <si>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</si>
  <si>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</si>
  <si>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</si>
  <si>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</si>
  <si>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</si>
  <si>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</si>
  <si>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</si>
  <si>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</si>
  <si>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</si>
  <si>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</si>
  <si>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</si>
  <si>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</si>
  <si>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</si>
  <si>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</si>
  <si>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</si>
  <si>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</si>
  <si>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</si>
  <si>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</si>
  <si>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</si>
  <si>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</si>
  <si>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</si>
  <si>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</si>
  <si>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</si>
  <si>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</si>
  <si>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</si>
  <si>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</si>
  <si>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</si>
  <si>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</si>
  <si>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</si>
  <si>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</si>
  <si>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</si>
  <si>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</si>
  <si>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</si>
  <si>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</si>
  <si>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</si>
  <si>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</si>
  <si>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</si>
  <si>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</si>
  <si>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</si>
  <si>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</si>
  <si>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</si>
  <si>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</si>
  <si>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</si>
  <si>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</si>
  <si>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</si>
  <si>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</si>
  <si>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</si>
  <si>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</si>
  <si>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</si>
  <si>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</si>
  <si>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</si>
  <si>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</si>
  <si>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</si>
  <si>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</si>
  <si>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</si>
  <si>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</si>
  <si>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</si>
  <si>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</si>
  <si>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</si>
  <si>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</si>
  <si>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</si>
  <si>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</si>
  <si>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</si>
  <si>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</si>
  <si>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</si>
  <si>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</si>
  <si>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</si>
  <si>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</si>
  <si>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</si>
  <si>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</si>
  <si>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</si>
  <si>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</si>
  <si>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</si>
  <si>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</si>
  <si>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</si>
  <si>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</si>
  <si>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</si>
  <si>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</si>
  <si>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</si>
  <si>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</si>
  <si>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</si>
  <si>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</si>
  <si>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</si>
  <si>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</si>
  <si>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</si>
  <si>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</si>
  <si>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</si>
  <si>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</si>
  <si>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</si>
  <si>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</si>
  <si>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</si>
  <si>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</si>
  <si>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</si>
  <si>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</si>
  <si>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</si>
  <si>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</si>
  <si>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</si>
  <si>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</si>
  <si>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</si>
  <si>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</si>
  <si>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</si>
  <si>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</si>
  <si>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</si>
  <si>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</si>
  <si>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</si>
  <si>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</si>
  <si>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</si>
  <si>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</si>
  <si>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</si>
  <si>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</si>
  <si>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</si>
  <si>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</si>
  <si>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</si>
  <si>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</si>
  <si>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</si>
  <si>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</si>
  <si>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</si>
  <si>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</si>
  <si>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</si>
  <si>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</si>
  <si>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</si>
  <si>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</si>
  <si>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</si>
  <si>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</si>
  <si>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</si>
  <si>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</si>
  <si>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</si>
  <si>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</si>
  <si>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</si>
  <si>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</si>
  <si>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</si>
  <si>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</si>
  <si>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</si>
  <si>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</si>
  <si>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</si>
  <si>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</si>
  <si>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</si>
  <si>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</si>
  <si>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</si>
  <si>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</si>
  <si>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</si>
  <si>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</si>
  <si>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</si>
  <si>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</si>
  <si>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</si>
  <si>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</si>
  <si>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</si>
  <si>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</si>
  <si>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</si>
  <si>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</si>
  <si>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</si>
  <si>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</si>
  <si>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</si>
  <si>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</si>
  <si>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</si>
  <si>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</si>
  <si>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</si>
  <si>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</si>
  <si>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</si>
  <si>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</si>
  <si>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</si>
  <si>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</si>
  <si>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</si>
  <si>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</si>
  <si>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</si>
  <si>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</si>
  <si>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</si>
  <si>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</si>
  <si>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</si>
  <si>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</si>
  <si>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</si>
  <si>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</si>
  <si>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</si>
  <si>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</si>
  <si>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</si>
  <si>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</si>
  <si>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</si>
  <si>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</si>
  <si>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</si>
  <si>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</si>
  <si>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</si>
  <si>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</si>
  <si>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</si>
  <si>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</si>
  <si>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</si>
  <si>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</si>
  <si>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</si>
  <si>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</si>
  <si>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</si>
  <si>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</si>
  <si>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</si>
  <si>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</si>
  <si>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</si>
  <si>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</si>
  <si>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</si>
  <si>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</si>
  <si>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</si>
  <si>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</si>
  <si>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</si>
  <si>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</si>
  <si>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</si>
  <si>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</si>
  <si>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</si>
  <si>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</si>
  <si>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</si>
  <si>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</si>
  <si>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</si>
  <si>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</si>
  <si>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</si>
  <si>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</si>
  <si>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</si>
  <si>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</si>
  <si>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</si>
  <si>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</si>
  <si>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</si>
  <si>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</si>
  <si>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</si>
  <si>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</si>
  <si>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</si>
  <si>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</si>
  <si>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</si>
  <si>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</si>
  <si>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</si>
  <si>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</si>
  <si>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</si>
  <si>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</si>
  <si>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</si>
  <si>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</si>
  <si>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</si>
  <si>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</si>
  <si>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</si>
  <si>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</si>
  <si>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</si>
  <si>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</si>
  <si>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</si>
  <si>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</si>
  <si>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</si>
  <si>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</si>
  <si>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</si>
  <si>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</si>
  <si>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</si>
  <si>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</si>
  <si>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</si>
  <si>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</si>
  <si>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</si>
  <si>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</si>
  <si>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</si>
  <si>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</si>
  <si>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</si>
  <si>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</si>
  <si>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</si>
  <si>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</si>
  <si>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</si>
  <si>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</si>
  <si>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</si>
  <si>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</si>
  <si>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</si>
  <si>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</si>
  <si>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</si>
  <si>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</si>
  <si>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</si>
  <si>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</si>
  <si>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</si>
  <si>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</si>
  <si>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</si>
  <si>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</si>
  <si>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</si>
  <si>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</si>
  <si>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</si>
  <si>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</si>
  <si>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</si>
  <si>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</si>
  <si>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</si>
  <si>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</si>
  <si>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</si>
  <si>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</si>
  <si>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</si>
  <si>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</si>
  <si>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</si>
  <si>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</si>
  <si>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</si>
  <si>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</si>
  <si>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</si>
  <si>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</si>
  <si>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</si>
  <si>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</si>
  <si>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</si>
  <si>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</si>
  <si>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</si>
  <si>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</si>
  <si>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</si>
  <si>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</si>
  <si>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</si>
  <si>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</si>
  <si>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</si>
  <si>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</si>
  <si>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</si>
  <si>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</si>
  <si>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</si>
  <si>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</si>
  <si>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</si>
  <si>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</si>
  <si>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</si>
  <si>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</si>
  <si>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</si>
  <si>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</si>
  <si>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</si>
  <si>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</si>
  <si>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</si>
  <si>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</si>
  <si>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</si>
  <si>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</si>
  <si>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</si>
  <si>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</si>
  <si>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</si>
  <si>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</si>
  <si>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</si>
  <si>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</si>
  <si>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</si>
  <si>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</si>
  <si>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</si>
  <si>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</si>
  <si>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</si>
  <si>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</si>
  <si>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</si>
  <si>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</si>
  <si>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</si>
  <si>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</si>
  <si>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</si>
  <si>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</si>
  <si>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</si>
  <si>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</si>
  <si>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</si>
  <si>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</si>
  <si>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</si>
  <si>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</si>
  <si>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</si>
  <si>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</si>
  <si>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</si>
  <si>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</si>
  <si>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</si>
  <si>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</si>
  <si>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</si>
  <si>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</si>
  <si>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</si>
  <si>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</si>
  <si>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</si>
  <si>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</si>
  <si>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</si>
  <si>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</si>
  <si>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</si>
  <si>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</si>
  <si>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</si>
  <si>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</si>
  <si>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</si>
  <si>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</si>
  <si>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</si>
  <si>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</si>
  <si>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</si>
  <si>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</si>
  <si>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</si>
  <si>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</si>
  <si>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</si>
  <si>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</si>
  <si>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</si>
  <si>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</si>
  <si>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</si>
  <si>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</si>
  <si>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</si>
  <si>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</si>
  <si>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</si>
  <si>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</si>
  <si>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</si>
  <si>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</si>
  <si>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</si>
  <si>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</si>
  <si>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</si>
  <si>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</si>
  <si>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</si>
  <si>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</si>
  <si>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</si>
  <si>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</si>
  <si>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</si>
  <si>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</si>
  <si>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</si>
  <si>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</si>
  <si>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</si>
  <si>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</si>
  <si>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</si>
  <si>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</si>
  <si>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</si>
  <si>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</si>
  <si>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</si>
  <si>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</si>
  <si>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</si>
  <si>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</si>
  <si>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</si>
  <si>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</si>
  <si>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</si>
  <si>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</si>
  <si>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</si>
  <si>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</si>
  <si>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</si>
  <si>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</si>
  <si>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</si>
  <si>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</si>
  <si>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</si>
  <si>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</si>
  <si>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</si>
  <si>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</si>
  <si>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</si>
  <si>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</si>
  <si>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</si>
  <si>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</si>
  <si>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</si>
  <si>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</si>
  <si>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</si>
  <si>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</si>
  <si>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</si>
  <si>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</si>
  <si>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</si>
  <si>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</si>
  <si>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</si>
  <si>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</si>
  <si>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</si>
  <si>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</si>
  <si>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</si>
  <si>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</si>
  <si>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</si>
  <si>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</si>
  <si>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</si>
  <si>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</si>
  <si>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</si>
  <si>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</si>
  <si>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</si>
  <si>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</si>
  <si>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</si>
  <si>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</si>
  <si>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</si>
  <si>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</si>
  <si>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</si>
  <si>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</si>
  <si>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</si>
  <si>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</si>
  <si>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</si>
  <si>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</si>
  <si>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</si>
  <si>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</si>
  <si>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</si>
  <si>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</si>
  <si>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</si>
  <si>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</si>
  <si>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</si>
  <si>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</si>
  <si>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</si>
  <si>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</si>
  <si>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</si>
  <si>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</si>
  <si>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</si>
  <si>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</si>
  <si>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</si>
  <si>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</si>
  <si>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</si>
  <si>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</si>
  <si>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</si>
  <si>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</si>
  <si>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</si>
  <si>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</si>
  <si>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</si>
  <si>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</si>
  <si>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</si>
  <si>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</si>
  <si>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</si>
  <si>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</si>
  <si>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</si>
  <si>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</si>
  <si>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</si>
  <si>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</si>
  <si>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</si>
  <si>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</si>
  <si>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</si>
  <si>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</si>
  <si>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</si>
  <si>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</si>
  <si>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</si>
  <si>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</si>
  <si>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</si>
  <si>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</si>
  <si>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</si>
  <si>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</si>
  <si>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</si>
  <si>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</si>
  <si>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</si>
  <si>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</si>
  <si>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</si>
  <si>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</si>
  <si>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</si>
  <si>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</si>
  <si>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</si>
  <si>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</si>
  <si>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</si>
  <si>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</si>
  <si>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</si>
  <si>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</si>
  <si>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</si>
  <si>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</si>
  <si>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</si>
  <si>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</si>
  <si>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</si>
  <si>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</si>
  <si>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</si>
  <si>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</si>
  <si>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</si>
  <si>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</si>
  <si>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</si>
  <si>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</si>
  <si>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</si>
  <si>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</si>
  <si>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</si>
  <si>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</si>
  <si>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</si>
  <si>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</si>
  <si>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</si>
  <si>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</si>
  <si>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</si>
  <si>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</si>
  <si>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</si>
  <si>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</si>
  <si>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</si>
  <si>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</si>
  <si>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</si>
  <si>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</si>
  <si>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</si>
  <si>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</si>
  <si>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</si>
  <si>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</si>
  <si>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</si>
  <si>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</si>
  <si>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</si>
  <si>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</si>
  <si>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</si>
  <si>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</si>
  <si>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</si>
  <si>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</si>
  <si>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</si>
  <si>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</si>
  <si>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</si>
  <si>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</si>
  <si>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</si>
  <si>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</si>
  <si>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</si>
  <si>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</si>
  <si>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</si>
  <si>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</si>
  <si>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</si>
  <si>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</si>
  <si>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</si>
  <si>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</si>
  <si>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</si>
  <si>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</si>
  <si>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</si>
  <si>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</si>
  <si>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</si>
  <si>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</si>
  <si>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</si>
  <si>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</si>
  <si>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</si>
  <si>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</si>
  <si>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</si>
  <si>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</si>
  <si>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</si>
  <si>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</si>
  <si>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</si>
  <si>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</si>
  <si>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</si>
  <si>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</si>
  <si>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</si>
  <si>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</si>
  <si>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</si>
  <si>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</si>
  <si>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</si>
  <si>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</si>
  <si>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</si>
  <si>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</si>
  <si>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</si>
  <si>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</si>
  <si>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</si>
  <si>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</si>
  <si>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</si>
  <si>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</si>
  <si>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</si>
  <si>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</si>
  <si>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</si>
  <si>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</si>
  <si>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</si>
  <si>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</si>
  <si>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</si>
  <si>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</si>
  <si>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</si>
  <si>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sz val="10"/>
        <color indexed="8"/>
        <rFont val="宋体"/>
        <family val="3"/>
        <charset val="134"/>
      </rPr>
      <t>个体工商户购买的住宅</t>
    </r>
    <phoneticPr fontId="9" type="noConversion"/>
  </si>
  <si>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</si>
  <si>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</si>
  <si>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</si>
  <si>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</si>
  <si>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</si>
  <si>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</si>
  <si>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</si>
  <si>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</si>
  <si>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</si>
  <si>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</si>
  <si>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</si>
  <si>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</si>
  <si>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</si>
  <si>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t>4.</t>
    </r>
    <r>
      <rPr>
        <sz val="10"/>
        <color indexed="8"/>
        <rFont val="宋体"/>
        <family val="3"/>
        <charset val="134"/>
      </rPr>
      <t>个人所得税</t>
    </r>
    <phoneticPr fontId="9" type="noConversion"/>
  </si>
  <si>
    <r>
      <rPr>
        <b/>
        <sz val="10"/>
        <color indexed="8"/>
        <rFont val="宋体"/>
        <family val="3"/>
        <charset val="134"/>
      </rPr>
      <t>销售不动产增值税及附加计算</t>
    </r>
    <phoneticPr fontId="34"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</si>
  <si>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</si>
  <si>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</si>
  <si>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</si>
  <si>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</si>
  <si>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</si>
  <si>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</si>
  <si>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</si>
  <si>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</si>
  <si>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</si>
  <si>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</si>
  <si>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</si>
  <si>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</si>
  <si>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</si>
  <si>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</si>
  <si>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</si>
  <si>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</si>
  <si>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</si>
  <si>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</si>
  <si>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</si>
  <si>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</si>
  <si>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</si>
  <si>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</si>
  <si>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</si>
  <si>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</si>
  <si>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</si>
  <si>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</si>
  <si>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</si>
  <si>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</si>
  <si>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</si>
  <si>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</si>
  <si>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</si>
  <si>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</si>
  <si>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</si>
  <si>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</si>
  <si>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</si>
  <si>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</si>
  <si>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</si>
  <si>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</si>
  <si>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</si>
  <si>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</si>
  <si>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</si>
  <si>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</si>
  <si>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</si>
  <si>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</si>
  <si>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</si>
  <si>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</si>
  <si>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</si>
  <si>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</si>
  <si>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</si>
  <si>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</si>
  <si>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</si>
  <si>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</si>
  <si>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</si>
  <si>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</si>
  <si>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</si>
  <si>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</si>
  <si>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</si>
  <si>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</si>
  <si>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</si>
  <si>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</si>
  <si>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</si>
  <si>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</si>
  <si>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</si>
  <si>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</si>
  <si>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</si>
  <si>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</si>
  <si>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</si>
  <si>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</si>
  <si>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</si>
  <si>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</si>
  <si>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</si>
  <si>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</si>
  <si>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</si>
  <si>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</si>
  <si>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</si>
  <si>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</si>
  <si>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</si>
  <si>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</si>
  <si>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</si>
  <si>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</si>
  <si>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</si>
  <si>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</si>
  <si>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</si>
  <si>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</si>
  <si>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</si>
  <si>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</si>
  <si>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</si>
  <si>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</si>
  <si>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</si>
  <si>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</si>
  <si>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</si>
  <si>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</si>
  <si>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</si>
  <si>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</si>
  <si>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</si>
  <si>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</si>
  <si>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</si>
  <si>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</si>
  <si>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</si>
  <si>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</si>
  <si>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</si>
  <si>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</si>
  <si>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</si>
  <si>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</si>
  <si>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</si>
  <si>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</si>
  <si>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</si>
  <si>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</si>
  <si>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</si>
  <si>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</si>
  <si>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</si>
  <si>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</si>
  <si>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</si>
  <si>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</si>
  <si>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</si>
  <si>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</si>
  <si>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</si>
  <si>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</si>
  <si>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</si>
  <si>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</si>
  <si>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</si>
  <si>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</si>
  <si>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</si>
  <si>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</si>
  <si>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</si>
  <si>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</si>
  <si>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</si>
  <si>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</si>
  <si>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</si>
  <si>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</si>
  <si>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</si>
  <si>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</si>
  <si>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</si>
  <si>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</si>
  <si>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</si>
  <si>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</si>
  <si>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</si>
  <si>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</si>
  <si>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</si>
  <si>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</si>
  <si>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</si>
  <si>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</si>
  <si>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</si>
  <si>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</si>
  <si>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</si>
  <si>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</si>
  <si>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</si>
  <si>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</si>
  <si>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</si>
  <si>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</si>
  <si>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</si>
  <si>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</si>
  <si>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</si>
  <si>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</si>
  <si>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</si>
  <si>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</si>
  <si>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</si>
  <si>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</si>
  <si>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</si>
  <si>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</si>
  <si>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</si>
  <si>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</si>
  <si>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</si>
  <si>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</si>
  <si>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</si>
  <si>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</si>
  <si>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</si>
  <si>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</si>
  <si>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</si>
  <si>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</si>
  <si>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</si>
  <si>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</si>
  <si>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</si>
  <si>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</si>
  <si>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</si>
  <si>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</si>
  <si>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</si>
  <si>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</si>
  <si>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</si>
  <si>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</si>
  <si>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</si>
  <si>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</si>
  <si>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</si>
  <si>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</si>
  <si>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</si>
  <si>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</si>
  <si>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</si>
  <si>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</si>
  <si>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</si>
  <si>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</si>
  <si>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</si>
  <si>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</si>
  <si>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</si>
  <si>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</si>
  <si>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</si>
  <si>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</si>
  <si>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</si>
  <si>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</si>
  <si>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</si>
  <si>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</si>
  <si>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</si>
  <si>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</si>
  <si>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</si>
  <si>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</si>
  <si>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</si>
  <si>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</si>
  <si>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</si>
  <si>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</si>
  <si>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</si>
  <si>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</si>
  <si>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</si>
  <si>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</si>
  <si>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</si>
  <si>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</si>
  <si>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</si>
  <si>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</si>
  <si>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</si>
  <si>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</si>
  <si>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</si>
  <si>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</si>
  <si>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</si>
  <si>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</si>
  <si>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</si>
  <si>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</si>
  <si>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</si>
  <si>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</si>
  <si>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</si>
  <si>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</si>
  <si>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</si>
  <si>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</si>
  <si>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</si>
  <si>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</si>
  <si>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</si>
  <si>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</si>
  <si>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</si>
  <si>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</si>
  <si>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</si>
  <si>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</si>
  <si>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</si>
  <si>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</si>
  <si>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</si>
  <si>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</si>
  <si>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</si>
  <si>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</si>
  <si>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</si>
  <si>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</si>
  <si>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</si>
  <si>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</si>
  <si>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</si>
  <si>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</si>
  <si>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</si>
  <si>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</si>
  <si>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</si>
  <si>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</si>
  <si>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</si>
  <si>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</si>
  <si>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</si>
  <si>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</si>
  <si>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</si>
  <si>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</si>
  <si>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</si>
  <si>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</si>
  <si>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</si>
  <si>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</si>
  <si>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</si>
  <si>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</si>
  <si>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</si>
  <si>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</si>
  <si>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</si>
  <si>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</si>
  <si>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</si>
  <si>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</si>
  <si>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</si>
  <si>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</si>
  <si>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</si>
  <si>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</si>
  <si>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</si>
  <si>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</si>
  <si>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</si>
  <si>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</si>
  <si>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</si>
  <si>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</si>
  <si>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</si>
  <si>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</si>
  <si>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</si>
  <si>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</si>
  <si>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</si>
  <si>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</si>
  <si>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</si>
  <si>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</si>
  <si>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</si>
  <si>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</si>
  <si>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</si>
  <si>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</si>
  <si>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</si>
  <si>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</si>
  <si>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</si>
  <si>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</si>
  <si>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</si>
  <si>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</si>
  <si>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</si>
  <si>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</si>
  <si>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</si>
  <si>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</si>
  <si>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</si>
  <si>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</si>
  <si>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</si>
  <si>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</si>
  <si>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</si>
  <si>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</si>
  <si>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</si>
  <si>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</si>
  <si>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</si>
  <si>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</si>
  <si>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</si>
  <si>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</si>
  <si>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</si>
  <si>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</si>
  <si>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</si>
  <si>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</si>
  <si>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</si>
  <si>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</si>
  <si>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</si>
  <si>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</si>
  <si>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</si>
  <si>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</si>
  <si>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</si>
  <si>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</si>
  <si>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</si>
  <si>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</si>
  <si>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</si>
  <si>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</si>
  <si>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</si>
  <si>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</si>
  <si>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</si>
  <si>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</si>
  <si>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</si>
  <si>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</si>
  <si>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</si>
  <si>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</si>
  <si>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</si>
  <si>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</si>
  <si>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</si>
  <si>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</si>
  <si>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</si>
  <si>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</si>
  <si>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</si>
  <si>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</si>
  <si>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</si>
  <si>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</si>
  <si>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</si>
  <si>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</si>
  <si>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</si>
  <si>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</si>
  <si>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</si>
  <si>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</si>
  <si>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</si>
  <si>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</si>
  <si>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</si>
  <si>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</si>
  <si>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</si>
  <si>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</si>
  <si>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</si>
  <si>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</si>
  <si>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</si>
  <si>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</si>
  <si>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</si>
  <si>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</si>
  <si>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</si>
  <si>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</si>
  <si>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</si>
  <si>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</si>
  <si>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</si>
  <si>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</si>
  <si>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</si>
  <si>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</si>
  <si>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</si>
  <si>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</si>
  <si>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</si>
  <si>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</si>
  <si>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</si>
  <si>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</si>
  <si>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</si>
  <si>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</si>
  <si>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</si>
  <si>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</si>
  <si>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</si>
  <si>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</si>
  <si>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</si>
  <si>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</si>
  <si>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</si>
  <si>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</si>
  <si>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</si>
  <si>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</si>
  <si>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</si>
  <si>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</si>
  <si>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</si>
  <si>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</si>
  <si>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</si>
  <si>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</si>
  <si>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</si>
  <si>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</si>
  <si>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</si>
  <si>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</si>
  <si>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</si>
  <si>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</si>
  <si>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</si>
  <si>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</si>
  <si>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</si>
  <si>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</si>
  <si>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</si>
  <si>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</si>
  <si>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</si>
  <si>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</si>
  <si>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</si>
  <si>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</si>
  <si>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</si>
  <si>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</si>
  <si>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</si>
  <si>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</si>
  <si>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</si>
  <si>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</si>
  <si>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</si>
  <si>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</si>
  <si>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</si>
  <si>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</si>
  <si>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</si>
  <si>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</si>
  <si>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</si>
  <si>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</si>
  <si>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</si>
  <si>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</si>
  <si>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</si>
  <si>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</si>
  <si>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</si>
  <si>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</si>
  <si>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</si>
  <si>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</si>
  <si>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</si>
  <si>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</si>
  <si>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</si>
  <si>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</si>
  <si>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</si>
  <si>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</si>
  <si>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</si>
  <si>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</si>
  <si>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</si>
  <si>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</si>
  <si>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</si>
  <si>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</si>
  <si>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</si>
  <si>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</si>
  <si>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</si>
  <si>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</si>
  <si>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</si>
  <si>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</si>
  <si>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</si>
  <si>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</si>
  <si>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</si>
  <si>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</si>
  <si>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</si>
  <si>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</si>
  <si>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</si>
  <si>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</si>
  <si>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</si>
  <si>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</si>
  <si>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</si>
  <si>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</si>
  <si>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</si>
  <si>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</si>
  <si>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</si>
  <si>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</si>
  <si>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</si>
  <si>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</si>
  <si>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</si>
  <si>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</si>
  <si>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</si>
  <si>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</si>
  <si>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</si>
  <si>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</si>
  <si>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</si>
  <si>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</si>
  <si>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</si>
  <si>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</si>
  <si>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</si>
  <si>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</si>
  <si>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</si>
  <si>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</si>
  <si>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</si>
  <si>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</si>
  <si>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</si>
  <si>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</si>
  <si>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</si>
  <si>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</si>
  <si>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</si>
  <si>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</si>
  <si>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</si>
  <si>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</si>
  <si>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</si>
  <si>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</si>
  <si>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</si>
  <si>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</si>
  <si>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</si>
  <si>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</si>
  <si>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</si>
  <si>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</si>
  <si>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</si>
  <si>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</si>
  <si>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</si>
  <si>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</si>
  <si>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</si>
  <si>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</si>
  <si>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</si>
  <si>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</si>
  <si>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</si>
  <si>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</si>
  <si>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</si>
  <si>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</si>
  <si>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</si>
  <si>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</si>
  <si>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</si>
  <si>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</si>
  <si>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</si>
  <si>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</si>
  <si>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</si>
  <si>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</si>
  <si>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</si>
  <si>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</si>
  <si>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</si>
  <si>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</si>
  <si>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</si>
  <si>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</si>
  <si>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</si>
  <si>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</si>
  <si>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</si>
  <si>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</si>
  <si>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</si>
  <si>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</si>
  <si>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</si>
  <si>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</si>
  <si>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</si>
  <si>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</si>
  <si>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</si>
  <si>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</si>
  <si>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</si>
  <si>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</si>
  <si>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</si>
  <si>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</si>
  <si>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</si>
  <si>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</si>
  <si>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</si>
  <si>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</si>
  <si>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</si>
  <si>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</si>
  <si>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</si>
  <si>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</si>
  <si>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</si>
  <si>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</si>
  <si>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</si>
  <si>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</si>
  <si>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</si>
  <si>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</si>
  <si>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</si>
  <si>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</si>
  <si>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</si>
  <si>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</si>
  <si>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</si>
  <si>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</si>
  <si>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</si>
  <si>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</si>
  <si>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</si>
  <si>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</si>
  <si>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</si>
  <si>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</si>
  <si>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</si>
  <si>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</si>
  <si>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</si>
  <si>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</si>
  <si>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</si>
  <si>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</si>
  <si>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</si>
  <si>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</si>
  <si>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</si>
  <si>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</si>
  <si>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</si>
  <si>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</si>
  <si>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</si>
  <si>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</si>
  <si>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</si>
  <si>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</si>
  <si>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</si>
  <si>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</si>
  <si>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</si>
  <si>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</si>
  <si>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</si>
  <si>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</si>
  <si>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</si>
  <si>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</si>
  <si>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</si>
  <si>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</si>
  <si>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</si>
  <si>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</si>
  <si>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</si>
  <si>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</si>
  <si>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</si>
  <si>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</si>
  <si>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</si>
  <si>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</si>
  <si>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</si>
  <si>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</si>
  <si>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</si>
  <si>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</si>
  <si>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</si>
  <si>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</si>
  <si>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</si>
  <si>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</si>
  <si>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</si>
  <si>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</si>
  <si>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</si>
  <si>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</si>
  <si>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</si>
  <si>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</si>
  <si>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</si>
  <si>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</si>
  <si>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</si>
  <si>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</si>
  <si>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</si>
  <si>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</si>
  <si>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</si>
  <si>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</si>
  <si>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</si>
  <si>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</si>
  <si>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</si>
  <si>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</si>
  <si>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</si>
  <si>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</si>
  <si>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</si>
  <si>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</si>
  <si>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</si>
  <si>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</si>
  <si>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</si>
  <si>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</si>
  <si>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</si>
  <si>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</si>
  <si>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</si>
  <si>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</si>
  <si>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</si>
  <si>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</si>
  <si>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</si>
  <si>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</si>
  <si>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</si>
  <si>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</si>
  <si>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</si>
  <si>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</si>
  <si>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</si>
  <si>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</si>
  <si>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</si>
  <si>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</si>
  <si>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</si>
  <si>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</si>
  <si>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</si>
  <si>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</si>
  <si>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</si>
  <si>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</si>
  <si>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</si>
  <si>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</si>
  <si>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</si>
  <si>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</si>
  <si>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</si>
  <si>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</si>
  <si>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</si>
  <si>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</si>
  <si>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</si>
  <si>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</si>
  <si>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</si>
  <si>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</si>
  <si>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</si>
  <si>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</si>
  <si>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</si>
  <si>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</si>
  <si>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</si>
  <si>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</si>
  <si>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</si>
  <si>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</si>
  <si>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</si>
  <si>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</si>
  <si>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</si>
  <si>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</si>
  <si>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</si>
  <si>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</si>
  <si>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</si>
  <si>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</si>
  <si>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</si>
  <si>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</si>
  <si>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</si>
  <si>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</si>
  <si>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</si>
  <si>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</si>
  <si>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</si>
  <si>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</si>
  <si>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</si>
  <si>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</si>
  <si>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</si>
  <si>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</si>
  <si>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</si>
  <si>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</si>
  <si>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</si>
  <si>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</si>
  <si>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</si>
  <si>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</si>
  <si>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</si>
  <si>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</si>
  <si>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</si>
  <si>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</si>
  <si>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</si>
  <si>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</si>
  <si>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</si>
  <si>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</si>
  <si>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</si>
  <si>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</si>
  <si>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</si>
  <si>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</si>
  <si>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</si>
  <si>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</si>
  <si>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</si>
  <si>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</si>
  <si>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</si>
  <si>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</si>
  <si>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</si>
  <si>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</si>
  <si>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</si>
  <si>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</si>
  <si>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</si>
  <si>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</si>
  <si>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</si>
  <si>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</si>
  <si>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</si>
  <si>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</si>
  <si>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</si>
  <si>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</si>
  <si>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</si>
  <si>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</si>
  <si>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</si>
  <si>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</si>
  <si>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</si>
  <si>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</si>
  <si>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</si>
  <si>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</si>
  <si>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</si>
  <si>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</si>
  <si>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</si>
  <si>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</si>
  <si>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</si>
  <si>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</si>
  <si>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</si>
  <si>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</si>
  <si>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</si>
  <si>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</si>
  <si>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</si>
  <si>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</si>
  <si>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</si>
  <si>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</si>
  <si>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</si>
  <si>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</si>
  <si>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</si>
  <si>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</si>
  <si>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</si>
  <si>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</si>
  <si>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</si>
  <si>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</si>
  <si>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</si>
  <si>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</si>
  <si>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</si>
  <si>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</si>
  <si>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</si>
  <si>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</si>
  <si>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</si>
  <si>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</si>
  <si>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</si>
  <si>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</si>
  <si>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</si>
  <si>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</si>
  <si>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</si>
  <si>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</si>
  <si>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</si>
  <si>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</si>
  <si>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</si>
  <si>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</si>
  <si>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</si>
  <si>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</si>
  <si>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</si>
  <si>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</si>
  <si>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</si>
  <si>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</si>
  <si>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</si>
  <si>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</si>
  <si>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</si>
  <si>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</si>
  <si>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</si>
  <si>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</si>
  <si>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</si>
  <si>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</si>
  <si>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</si>
  <si>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</si>
  <si>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</si>
  <si>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</si>
  <si>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</si>
  <si>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</si>
  <si>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</si>
  <si>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</si>
  <si>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</si>
  <si>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</si>
  <si>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</si>
  <si>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</si>
  <si>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</si>
  <si>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</si>
  <si>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</si>
  <si>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</si>
  <si>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</si>
  <si>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</si>
  <si>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</si>
  <si>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</si>
  <si>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</si>
  <si>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</si>
  <si>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</si>
  <si>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</si>
  <si>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</si>
  <si>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</si>
  <si>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</si>
  <si>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</si>
  <si>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</si>
  <si>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</si>
  <si>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</si>
  <si>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</si>
  <si>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</si>
  <si>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</si>
  <si>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</si>
  <si>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</si>
  <si>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</si>
  <si>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</si>
  <si>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</si>
  <si>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</si>
  <si>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</si>
  <si>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</si>
  <si>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</si>
  <si>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</si>
  <si>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</si>
  <si>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</si>
  <si>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</si>
  <si>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</si>
  <si>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</si>
  <si>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</si>
  <si>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</si>
  <si>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</si>
  <si>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</si>
  <si>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</si>
  <si>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</si>
  <si>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</si>
  <si>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</si>
  <si>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</si>
  <si>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</si>
  <si>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</si>
  <si>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</si>
  <si>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</si>
  <si>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</si>
  <si>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</si>
  <si>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</si>
  <si>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</si>
  <si>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</si>
  <si>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</si>
  <si>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</si>
  <si>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</si>
  <si>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</si>
  <si>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</si>
  <si>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</si>
  <si>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</si>
  <si>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</si>
  <si>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</si>
  <si>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</si>
  <si>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</si>
  <si>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</si>
  <si>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</si>
  <si>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</si>
  <si>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</si>
  <si>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</si>
  <si>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</si>
  <si>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</si>
  <si>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</si>
  <si>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</si>
  <si>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</si>
  <si>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</si>
  <si>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</si>
  <si>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</si>
  <si>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</si>
  <si>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</si>
  <si>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</si>
  <si>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</si>
  <si>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</si>
  <si>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</si>
  <si>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</si>
  <si>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</si>
  <si>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</si>
  <si>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</si>
  <si>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</si>
  <si>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</si>
  <si>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</si>
  <si>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</si>
  <si>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</si>
  <si>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</si>
  <si>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</si>
  <si>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</si>
  <si>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</si>
  <si>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</si>
  <si>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</si>
  <si>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</si>
  <si>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</si>
  <si>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</si>
  <si>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</si>
  <si>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</si>
  <si>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</si>
  <si>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</si>
  <si>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</si>
  <si>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</si>
  <si>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</si>
  <si>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</si>
  <si>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</si>
  <si>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</si>
  <si>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</si>
  <si>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</si>
  <si>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</si>
  <si>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</si>
  <si>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</si>
  <si>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</si>
  <si>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</si>
  <si>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</si>
  <si>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</si>
  <si>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</si>
  <si>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</si>
  <si>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</si>
  <si>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</si>
  <si>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</si>
  <si>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</si>
  <si>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</si>
  <si>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</si>
  <si>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</si>
  <si>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</si>
  <si>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</si>
  <si>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</si>
  <si>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</si>
  <si>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</si>
  <si>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</si>
  <si>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</si>
  <si>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</si>
  <si>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</si>
  <si>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</si>
  <si>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</si>
  <si>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</si>
  <si>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</si>
  <si>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</si>
  <si>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</si>
  <si>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</si>
  <si>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</si>
  <si>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</si>
  <si>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</si>
  <si>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</si>
  <si>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</si>
  <si>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</si>
  <si>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</si>
  <si>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</si>
  <si>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</si>
  <si>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</si>
  <si>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</si>
  <si>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</si>
  <si>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</si>
  <si>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</si>
  <si>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</si>
  <si>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</si>
  <si>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</si>
  <si>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</si>
  <si>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</si>
  <si>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</si>
  <si>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</si>
  <si>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</si>
  <si>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</si>
  <si>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</si>
  <si>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</si>
  <si>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</si>
  <si>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</si>
  <si>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</si>
  <si>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</si>
  <si>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</si>
  <si>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</si>
  <si>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</si>
  <si>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</si>
  <si>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</si>
  <si>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</si>
  <si>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</si>
  <si>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</si>
  <si>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</si>
  <si>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</si>
  <si>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</si>
  <si>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</si>
  <si>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</si>
  <si>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</si>
  <si>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</si>
  <si>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</si>
  <si>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</si>
  <si>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</si>
  <si>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</si>
  <si>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</si>
  <si>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</si>
  <si>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</si>
  <si>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</si>
  <si>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</si>
  <si>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</si>
  <si>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</si>
  <si>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</si>
  <si>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</si>
  <si>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</si>
  <si>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</si>
  <si>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</si>
  <si>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</si>
  <si>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</si>
  <si>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</si>
  <si>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</si>
  <si>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</si>
  <si>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</si>
  <si>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</si>
  <si>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</si>
  <si>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</si>
  <si>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</si>
  <si>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</si>
  <si>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</si>
  <si>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</si>
  <si>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</si>
  <si>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</si>
  <si>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</si>
  <si>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</si>
  <si>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</si>
  <si>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</si>
  <si>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</si>
  <si>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</si>
  <si>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</si>
  <si>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</si>
  <si>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</si>
  <si>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</si>
  <si>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</si>
  <si>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</si>
  <si>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</si>
  <si>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</si>
  <si>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</si>
  <si>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</si>
  <si>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</si>
  <si>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</si>
  <si>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</si>
  <si>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</si>
  <si>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</si>
  <si>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</si>
  <si>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</si>
  <si>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</si>
  <si>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</si>
  <si>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</si>
  <si>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</si>
  <si>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</si>
  <si>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</si>
  <si>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</si>
  <si>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</si>
  <si>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</si>
  <si>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</si>
  <si>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</si>
  <si>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</si>
  <si>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</si>
  <si>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</si>
  <si>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</si>
  <si>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</si>
  <si>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</si>
  <si>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</si>
  <si>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</si>
  <si>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</si>
  <si>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</si>
  <si>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</si>
  <si>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</si>
  <si>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</si>
  <si>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</si>
  <si>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</si>
  <si>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</si>
  <si>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</si>
  <si>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</si>
  <si>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</si>
  <si>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</si>
  <si>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</si>
  <si>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</si>
  <si>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</si>
  <si>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</si>
  <si>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</si>
  <si>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</si>
  <si>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</si>
  <si>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</si>
  <si>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</si>
  <si>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</si>
  <si>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</si>
  <si>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</si>
  <si>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</si>
  <si>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</si>
  <si>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</si>
  <si>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</si>
  <si>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</si>
  <si>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</si>
  <si>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</si>
  <si>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</si>
  <si>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</si>
  <si>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</si>
  <si>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</si>
  <si>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</si>
  <si>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</si>
  <si>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</si>
  <si>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</si>
  <si>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</si>
  <si>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</si>
  <si>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</si>
  <si>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</si>
  <si>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</si>
  <si>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</si>
  <si>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</si>
  <si>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</si>
  <si>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</si>
  <si>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</si>
  <si>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</si>
  <si>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</si>
  <si>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</si>
  <si>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</si>
  <si>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</si>
  <si>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</si>
  <si>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</si>
  <si>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</si>
  <si>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</si>
  <si>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</si>
  <si>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</si>
  <si>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</si>
  <si>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</si>
  <si>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</si>
  <si>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</si>
  <si>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</si>
  <si>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</si>
  <si>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</si>
  <si>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</si>
  <si>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</si>
  <si>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</si>
  <si>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</si>
  <si>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</si>
  <si>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</si>
  <si>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</si>
  <si>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</si>
  <si>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</si>
  <si>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</si>
  <si>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</si>
  <si>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</si>
  <si>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</si>
  <si>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</si>
  <si>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</si>
  <si>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</si>
  <si>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</si>
  <si>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</si>
  <si>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</si>
  <si>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</si>
  <si>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</si>
  <si>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</si>
  <si>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</si>
  <si>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</si>
  <si>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</si>
  <si>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</si>
  <si>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</si>
  <si>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</si>
  <si>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</si>
  <si>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</si>
  <si>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</si>
  <si>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</si>
  <si>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</si>
  <si>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</si>
  <si>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</si>
  <si>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</si>
  <si>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</si>
  <si>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</si>
  <si>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</si>
  <si>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</si>
  <si>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</si>
  <si>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</si>
  <si>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</si>
  <si>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</si>
  <si>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</si>
  <si>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</si>
  <si>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</si>
  <si>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</si>
  <si>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</si>
  <si>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</si>
  <si>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</si>
  <si>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</si>
  <si>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</si>
  <si>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</si>
  <si>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</si>
  <si>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</si>
  <si>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</si>
  <si>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</si>
  <si>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</si>
  <si>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</si>
  <si>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</si>
  <si>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</si>
  <si>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</si>
  <si>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</si>
  <si>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</si>
  <si>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</si>
  <si>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</si>
  <si>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</si>
  <si>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</si>
  <si>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</si>
  <si>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</si>
  <si>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</si>
  <si>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</si>
  <si>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</si>
  <si>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</si>
  <si>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</si>
  <si>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</si>
  <si>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</si>
  <si>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</si>
  <si>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</si>
  <si>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</si>
  <si>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</si>
  <si>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</si>
  <si>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</si>
  <si>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</si>
  <si>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</si>
  <si>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</si>
  <si>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</si>
  <si>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</si>
  <si>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</si>
  <si>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</si>
  <si>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</si>
  <si>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</si>
  <si>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</si>
  <si>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</si>
  <si>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</si>
  <si>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</si>
  <si>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</si>
  <si>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</si>
  <si>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</si>
  <si>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</si>
  <si>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</si>
  <si>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</si>
  <si>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</si>
  <si>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</si>
  <si>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</si>
  <si>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</si>
  <si>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</si>
  <si>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</si>
  <si>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</si>
  <si>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</si>
  <si>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</si>
  <si>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</si>
  <si>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</si>
  <si>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</si>
  <si>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</si>
  <si>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</si>
  <si>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</si>
  <si>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</si>
  <si>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</si>
  <si>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</si>
  <si>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</si>
  <si>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</si>
  <si>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</si>
  <si>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</si>
  <si>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</si>
  <si>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</si>
  <si>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</si>
  <si>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</si>
  <si>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</si>
  <si>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</si>
  <si>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</si>
  <si>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</si>
  <si>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</si>
  <si>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</si>
  <si>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</si>
  <si>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</si>
  <si>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</si>
  <si>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</si>
  <si>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</si>
  <si>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</si>
  <si>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</si>
  <si>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</si>
  <si>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</si>
  <si>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</si>
  <si>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</si>
  <si>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</si>
  <si>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</si>
  <si>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</si>
  <si>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</si>
  <si>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</si>
  <si>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</si>
  <si>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</si>
  <si>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</si>
  <si>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</si>
  <si>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</si>
  <si>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</si>
  <si>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</si>
  <si>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</si>
  <si>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</si>
  <si>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</si>
  <si>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</si>
  <si>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</si>
  <si>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</si>
  <si>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</si>
  <si>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</si>
  <si>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</si>
  <si>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</si>
  <si>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</si>
  <si>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</si>
  <si>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</si>
  <si>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</si>
  <si>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</si>
  <si>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</si>
  <si>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</si>
  <si>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</si>
  <si>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</si>
  <si>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</si>
  <si>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</si>
  <si>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</si>
  <si>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</si>
  <si>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</si>
  <si>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</si>
  <si>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</si>
  <si>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</si>
  <si>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</si>
  <si>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</si>
  <si>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</si>
  <si>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</si>
  <si>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</si>
  <si>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</si>
  <si>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</si>
  <si>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</si>
  <si>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</si>
  <si>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</si>
  <si>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</si>
  <si>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</si>
  <si>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</si>
  <si>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</si>
  <si>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</si>
  <si>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</si>
  <si>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</si>
  <si>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</si>
  <si>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</si>
  <si>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</si>
  <si>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</si>
  <si>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</si>
  <si>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</si>
  <si>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</si>
  <si>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</si>
  <si>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</si>
  <si>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</si>
  <si>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</si>
  <si>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</si>
  <si>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</si>
  <si>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</si>
  <si>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</si>
  <si>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</si>
  <si>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</si>
  <si>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</si>
  <si>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</si>
  <si>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</si>
  <si>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</si>
  <si>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</si>
  <si>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</si>
  <si>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</si>
  <si>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</si>
  <si>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</si>
  <si>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</si>
  <si>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</si>
  <si>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</si>
  <si>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</si>
  <si>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</si>
  <si>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</si>
  <si>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</si>
  <si>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</si>
  <si>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</si>
  <si>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</si>
  <si>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</si>
  <si>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</si>
  <si>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</si>
  <si>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</si>
  <si>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</si>
  <si>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</si>
  <si>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</si>
  <si>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</si>
  <si>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</si>
  <si>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</si>
  <si>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</si>
  <si>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</si>
  <si>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</si>
  <si>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</si>
  <si>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</si>
  <si>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</si>
  <si>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</si>
  <si>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</si>
  <si>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</si>
  <si>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</si>
  <si>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</si>
  <si>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</si>
  <si>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</si>
  <si>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</si>
  <si>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</si>
  <si>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</si>
  <si>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</si>
  <si>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</si>
  <si>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</si>
  <si>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</si>
  <si>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</si>
  <si>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</si>
  <si>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</si>
  <si>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</si>
  <si>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</si>
  <si>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</si>
  <si>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</si>
  <si>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</si>
  <si>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</si>
  <si>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</si>
  <si>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</si>
  <si>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</si>
  <si>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</si>
  <si>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</si>
  <si>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</si>
  <si>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</si>
  <si>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</si>
  <si>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</si>
  <si>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</si>
  <si>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</si>
  <si>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</si>
  <si>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</si>
  <si>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</si>
  <si>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</si>
  <si>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4" type="noConversion"/>
  </si>
  <si>
    <t>住宅</t>
    <phoneticPr fontId="4" type="noConversion"/>
  </si>
  <si>
    <t>工业</t>
    <phoneticPr fontId="134" type="noConversion"/>
  </si>
  <si>
    <t>工业</t>
    <phoneticPr fontId="134" type="noConversion"/>
  </si>
  <si>
    <t>住宅</t>
    <phoneticPr fontId="4" type="noConversion"/>
  </si>
  <si>
    <t>工业</t>
    <phoneticPr fontId="134" type="noConversion"/>
  </si>
  <si>
    <t>住宅</t>
    <phoneticPr fontId="4" type="noConversion"/>
  </si>
  <si>
    <t>本行不参与计算</t>
    <phoneticPr fontId="134"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</si>
  <si>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</si>
  <si>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</si>
  <si>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</si>
  <si>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</si>
  <si>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</si>
  <si>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</si>
  <si>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</si>
  <si>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</si>
  <si>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</si>
  <si>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4" type="noConversion"/>
  </si>
  <si>
    <t>商业</t>
    <phoneticPr fontId="4" type="noConversion"/>
  </si>
  <si>
    <t>办公</t>
    <phoneticPr fontId="134" type="noConversion"/>
  </si>
  <si>
    <t>住宅</t>
    <phoneticPr fontId="4" type="noConversion"/>
  </si>
  <si>
    <t>公共服务</t>
    <phoneticPr fontId="4" type="noConversion"/>
  </si>
  <si>
    <t>本行不参与计算</t>
    <phoneticPr fontId="134"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</si>
  <si>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</si>
  <si>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</si>
  <si>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</si>
  <si>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</si>
  <si>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</si>
  <si>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</si>
  <si>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</si>
  <si>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</si>
  <si>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</si>
  <si>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</si>
  <si>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</si>
  <si>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</si>
  <si>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</si>
  <si>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</si>
  <si>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</si>
  <si>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</si>
  <si>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</si>
  <si>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</si>
  <si>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</si>
  <si>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</si>
  <si>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</si>
  <si>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</si>
  <si>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</si>
  <si>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</si>
  <si>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</si>
  <si>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</si>
  <si>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</si>
  <si>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</si>
  <si>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</si>
  <si>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</si>
  <si>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</si>
  <si>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</si>
  <si>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</si>
  <si>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</si>
  <si>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</si>
  <si>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</si>
  <si>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</si>
  <si>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</si>
  <si>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</si>
  <si>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</si>
  <si>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</si>
  <si>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</si>
  <si>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</si>
  <si>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</si>
  <si>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</si>
  <si>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</si>
  <si>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</si>
  <si>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</si>
  <si>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</si>
  <si>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</si>
  <si>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</si>
  <si>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</si>
  <si>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</si>
  <si>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</si>
  <si>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</si>
  <si>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</si>
  <si>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</si>
  <si>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</si>
  <si>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</si>
  <si>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</si>
  <si>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</si>
  <si>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</si>
  <si>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</si>
  <si>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</si>
  <si>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</si>
  <si>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</si>
  <si>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</si>
  <si>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</si>
  <si>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</si>
  <si>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</si>
  <si>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</si>
  <si>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</si>
  <si>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</si>
  <si>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</si>
  <si>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</si>
  <si>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</si>
  <si>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</si>
  <si>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</si>
  <si>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</si>
  <si>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</si>
  <si>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</si>
  <si>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</si>
  <si>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</si>
  <si>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</si>
  <si>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</si>
  <si>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</si>
  <si>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</si>
  <si>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</si>
  <si>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</si>
  <si>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</si>
  <si>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</si>
  <si>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</si>
  <si>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</si>
  <si>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</si>
  <si>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</si>
  <si>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</si>
  <si>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</si>
  <si>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</si>
  <si>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</si>
  <si>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</si>
  <si>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</si>
  <si>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</si>
  <si>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</si>
  <si>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</si>
  <si>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</si>
  <si>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</si>
  <si>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</si>
  <si>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</si>
  <si>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</si>
  <si>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</si>
  <si>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</si>
  <si>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</si>
  <si>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</si>
  <si>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</si>
  <si>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</si>
  <si>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</si>
  <si>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</si>
  <si>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</si>
  <si>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</si>
  <si>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</si>
  <si>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</si>
  <si>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</si>
  <si>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</si>
  <si>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</si>
  <si>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</si>
  <si>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</si>
  <si>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</si>
  <si>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</si>
  <si>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</si>
  <si>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</si>
  <si>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</si>
  <si>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</si>
  <si>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</si>
  <si>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</si>
  <si>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</si>
  <si>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</si>
  <si>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</si>
  <si>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</si>
  <si>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</si>
  <si>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</si>
  <si>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</si>
  <si>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</si>
  <si>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</si>
  <si>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</si>
  <si>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</si>
  <si>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</si>
  <si>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</si>
  <si>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</si>
  <si>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</si>
  <si>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</si>
  <si>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</si>
  <si>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</si>
  <si>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</si>
  <si>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</si>
  <si>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</si>
  <si>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</si>
  <si>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</si>
  <si>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</si>
  <si>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</si>
  <si>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</si>
  <si>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</si>
  <si>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</si>
  <si>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</si>
  <si>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</si>
  <si>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</si>
  <si>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</si>
  <si>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</si>
  <si>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</si>
  <si>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</si>
  <si>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</si>
  <si>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</si>
  <si>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</si>
  <si>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</si>
  <si>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</si>
  <si>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</si>
  <si>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</si>
  <si>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</si>
  <si>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</si>
  <si>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</si>
  <si>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</si>
  <si>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</si>
  <si>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</si>
  <si>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</si>
  <si>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</si>
  <si>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</si>
  <si>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</si>
  <si>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</si>
  <si>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</si>
  <si>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</si>
  <si>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</si>
  <si>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</si>
  <si>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</si>
  <si>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</si>
  <si>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</si>
  <si>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</si>
  <si>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</si>
  <si>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</si>
  <si>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</si>
  <si>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</si>
  <si>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</si>
  <si>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</si>
  <si>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</si>
  <si>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</si>
  <si>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</si>
  <si>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</si>
  <si>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</si>
  <si>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</si>
  <si>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</si>
  <si>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</si>
  <si>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</si>
  <si>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</si>
  <si>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</si>
  <si>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</si>
  <si>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</si>
  <si>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</si>
  <si>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</si>
  <si>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</si>
  <si>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</si>
  <si>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</si>
  <si>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</si>
  <si>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</si>
  <si>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</si>
  <si>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</si>
  <si>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</si>
  <si>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</si>
  <si>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</si>
  <si>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</si>
  <si>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</si>
  <si>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</si>
  <si>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</si>
  <si>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</si>
  <si>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</si>
  <si>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</si>
  <si>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</si>
  <si>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</si>
  <si>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</si>
  <si>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</si>
  <si>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</si>
  <si>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</si>
  <si>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</si>
  <si>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</si>
  <si>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</si>
  <si>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</si>
  <si>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</si>
  <si>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</si>
  <si>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</si>
  <si>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</si>
  <si>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</si>
  <si>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</si>
  <si>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</si>
  <si>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</si>
  <si>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</si>
  <si>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</si>
  <si>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</si>
  <si>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</si>
  <si>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</si>
  <si>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</si>
  <si>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</si>
  <si>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</si>
  <si>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</si>
  <si>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</si>
  <si>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</si>
  <si>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</si>
  <si>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</si>
  <si>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</si>
  <si>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</si>
  <si>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</si>
  <si>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</si>
  <si>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</si>
  <si>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</si>
  <si>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</si>
  <si>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</si>
  <si>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</si>
  <si>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</si>
  <si>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</si>
  <si>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</si>
  <si>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</si>
  <si>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</si>
  <si>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</si>
  <si>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</si>
  <si>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</si>
  <si>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</si>
  <si>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</si>
  <si>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</si>
  <si>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</si>
  <si>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</si>
  <si>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</si>
  <si>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</si>
  <si>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</si>
  <si>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</si>
  <si>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</si>
  <si>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</si>
  <si>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</si>
  <si>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</si>
  <si>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</si>
  <si>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</si>
  <si>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</si>
  <si>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</si>
  <si>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</si>
  <si>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</si>
  <si>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</si>
  <si>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</si>
  <si>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</si>
  <si>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</si>
  <si>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</si>
  <si>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</si>
  <si>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</si>
  <si>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</si>
  <si>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</si>
  <si>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</si>
  <si>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</si>
  <si>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</si>
  <si>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</si>
  <si>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</si>
  <si>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</si>
  <si>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</si>
  <si>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</si>
  <si>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</si>
  <si>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</si>
  <si>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</si>
  <si>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</si>
  <si>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</si>
  <si>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</si>
  <si>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</si>
  <si>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</si>
  <si>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</si>
  <si>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</si>
  <si>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</si>
  <si>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</si>
  <si>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</si>
  <si>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</si>
  <si>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</si>
  <si>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</si>
  <si>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</si>
  <si>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</si>
  <si>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</si>
  <si>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</si>
  <si>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</si>
  <si>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</si>
  <si>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</si>
  <si>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</si>
  <si>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</si>
  <si>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</si>
  <si>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</si>
  <si>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</si>
  <si>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</si>
  <si>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</si>
  <si>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</si>
  <si>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</si>
  <si>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</si>
  <si>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</si>
  <si>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</si>
  <si>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</si>
  <si>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</si>
  <si>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</si>
  <si>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</si>
  <si>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</si>
  <si>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</si>
  <si>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</si>
  <si>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</si>
  <si>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</si>
  <si>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</si>
  <si>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</si>
  <si>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</si>
  <si>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</si>
  <si>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</si>
  <si>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</si>
  <si>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</si>
  <si>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</si>
  <si>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</si>
  <si>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</si>
  <si>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</si>
  <si>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</si>
  <si>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</si>
  <si>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</si>
  <si>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</si>
  <si>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</si>
  <si>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</si>
  <si>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</si>
  <si>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</si>
  <si>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</si>
  <si>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</si>
  <si>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</si>
  <si>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</si>
  <si>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</si>
  <si>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</si>
  <si>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</si>
  <si>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</si>
  <si>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</si>
  <si>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</si>
  <si>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</si>
  <si>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</si>
  <si>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</si>
  <si>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</si>
  <si>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</si>
  <si>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</si>
  <si>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</si>
  <si>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</si>
  <si>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</si>
  <si>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</si>
  <si>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</si>
  <si>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</si>
  <si>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</si>
  <si>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</si>
  <si>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</si>
  <si>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</si>
  <si>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</si>
  <si>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</si>
  <si>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</si>
  <si>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</si>
  <si>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</si>
  <si>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</si>
  <si>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</si>
  <si>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</si>
  <si>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</si>
  <si>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</si>
  <si>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</si>
  <si>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</si>
  <si>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</si>
  <si>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</si>
  <si>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</si>
  <si>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</si>
  <si>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</si>
  <si>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</si>
  <si>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</si>
  <si>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</si>
  <si>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</si>
  <si>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</si>
  <si>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</si>
  <si>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</si>
  <si>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</si>
  <si>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</si>
  <si>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</si>
  <si>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</si>
  <si>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</si>
  <si>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</si>
  <si>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</si>
  <si>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</si>
  <si>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</si>
  <si>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</si>
  <si>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</si>
  <si>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</si>
  <si>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</si>
  <si>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</si>
  <si>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</si>
  <si>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</si>
  <si>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</si>
  <si>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</si>
  <si>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</si>
  <si>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</si>
  <si>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</si>
  <si>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</si>
  <si>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</si>
  <si>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</si>
  <si>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</si>
  <si>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</si>
  <si>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</si>
  <si>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</si>
  <si>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</si>
  <si>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</si>
  <si>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</si>
  <si>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</si>
  <si>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</si>
  <si>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</si>
  <si>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</si>
  <si>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</si>
  <si>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</si>
  <si>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</si>
  <si>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</si>
  <si>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</si>
  <si>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</si>
  <si>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</si>
  <si>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</si>
  <si>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</si>
  <si>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</si>
  <si>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</si>
  <si>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</si>
  <si>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</si>
  <si>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</si>
  <si>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</si>
  <si>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</si>
  <si>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</si>
  <si>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</si>
  <si>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</si>
  <si>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</si>
  <si>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</si>
  <si>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</si>
  <si>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</si>
  <si>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</si>
  <si>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</si>
  <si>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</si>
  <si>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</si>
  <si>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</si>
  <si>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</si>
  <si>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</si>
  <si>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</si>
  <si>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</si>
  <si>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</si>
  <si>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</si>
  <si>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</si>
  <si>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</si>
  <si>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</si>
  <si>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</si>
  <si>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</si>
  <si>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</si>
  <si>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</si>
  <si>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</si>
  <si>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</si>
  <si>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</si>
  <si>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</si>
  <si>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</si>
  <si>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</si>
  <si>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</si>
  <si>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</si>
  <si>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</si>
  <si>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</si>
  <si>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</si>
  <si>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</si>
  <si>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7" type="noConversion"/>
  </si>
  <si>
    <t>元/平方米</t>
  </si>
  <si>
    <t>2022-2</t>
    <phoneticPr fontId="4"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</si>
  <si>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</si>
  <si>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</si>
  <si>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</si>
  <si>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</si>
  <si>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</si>
  <si>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</si>
  <si>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</si>
  <si>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</si>
  <si>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</si>
  <si>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</si>
  <si>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</si>
  <si>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</si>
  <si>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4" type="noConversion"/>
  </si>
  <si>
    <t>2023-1</t>
    <phoneticPr fontId="4" type="noConversion"/>
  </si>
  <si>
    <t>2023-3</t>
    <phoneticPr fontId="4" type="noConversion"/>
  </si>
  <si>
    <t>2023-2</t>
    <phoneticPr fontId="4" type="noConversion"/>
  </si>
  <si>
    <t>公示增长率-国家级样点（中心城区）</t>
    <phoneticPr fontId="142" type="noConversion"/>
  </si>
  <si>
    <t>公示增长率-市级样点（非中心城区）</t>
    <phoneticPr fontId="142" type="noConversion"/>
  </si>
  <si>
    <t>2023-3</t>
    <phoneticPr fontId="4" type="noConversion"/>
  </si>
  <si>
    <t>2023-2</t>
    <phoneticPr fontId="4" type="noConversion"/>
  </si>
  <si>
    <t>2024-2</t>
    <phoneticPr fontId="4" type="noConversion"/>
  </si>
  <si>
    <t>2024-1</t>
    <phoneticPr fontId="4" type="noConversion"/>
  </si>
  <si>
    <t>2023-4</t>
    <phoneticPr fontId="4" type="noConversion"/>
  </si>
  <si>
    <t>抵押</t>
  </si>
  <si>
    <t>郑燚</t>
  </si>
  <si>
    <t>房地产市场价值</t>
  </si>
  <si>
    <t>房地产抵押价值</t>
  </si>
  <si>
    <t>北京市</t>
  </si>
  <si>
    <t>企业</t>
  </si>
  <si>
    <t>1-101</t>
    <phoneticPr fontId="4" type="noConversion"/>
  </si>
  <si>
    <t>地上</t>
  </si>
  <si>
    <t>酒店</t>
  </si>
  <si>
    <t>2-201</t>
    <phoneticPr fontId="4" type="noConversion"/>
  </si>
  <si>
    <t>3-301</t>
    <phoneticPr fontId="4" type="noConversion"/>
  </si>
  <si>
    <t>4-501</t>
    <phoneticPr fontId="4" type="noConversion"/>
  </si>
  <si>
    <t>5-610</t>
    <phoneticPr fontId="4" type="noConversion"/>
  </si>
  <si>
    <t>6-710</t>
    <phoneticPr fontId="4" type="noConversion"/>
  </si>
  <si>
    <t>7-810</t>
    <phoneticPr fontId="4" type="noConversion"/>
  </si>
  <si>
    <t>8-910</t>
    <phoneticPr fontId="4" type="noConversion"/>
  </si>
  <si>
    <t>9-1010</t>
    <phoneticPr fontId="4" type="noConversion"/>
  </si>
  <si>
    <t>10-1110</t>
    <phoneticPr fontId="4" type="noConversion"/>
  </si>
  <si>
    <t>11-1210</t>
    <phoneticPr fontId="4" type="noConversion"/>
  </si>
  <si>
    <t>12-1510</t>
    <phoneticPr fontId="4" type="noConversion"/>
  </si>
  <si>
    <t>13-1610</t>
    <phoneticPr fontId="4" type="noConversion"/>
  </si>
  <si>
    <t>14-1710</t>
    <phoneticPr fontId="4" type="noConversion"/>
  </si>
  <si>
    <t>15-1810</t>
    <phoneticPr fontId="4" type="noConversion"/>
  </si>
  <si>
    <t>16-1910</t>
    <phoneticPr fontId="4" type="noConversion"/>
  </si>
  <si>
    <t>17-2010</t>
    <phoneticPr fontId="4" type="noConversion"/>
  </si>
  <si>
    <t>18-2110</t>
    <phoneticPr fontId="4" type="noConversion"/>
  </si>
  <si>
    <t>19-2210</t>
    <phoneticPr fontId="4" type="noConversion"/>
  </si>
  <si>
    <t>20-2310</t>
    <phoneticPr fontId="4" type="noConversion"/>
  </si>
  <si>
    <t>21-2510</t>
    <phoneticPr fontId="4" type="noConversion"/>
  </si>
  <si>
    <t>22-2610</t>
    <phoneticPr fontId="4" type="noConversion"/>
  </si>
  <si>
    <t>23-2710</t>
    <phoneticPr fontId="4" type="noConversion"/>
  </si>
  <si>
    <t>24-2810</t>
    <phoneticPr fontId="4" type="noConversion"/>
  </si>
  <si>
    <t>25-2910</t>
    <phoneticPr fontId="4" type="noConversion"/>
  </si>
  <si>
    <t>26-3010</t>
    <phoneticPr fontId="4" type="noConversion"/>
  </si>
  <si>
    <t>27-3110</t>
    <phoneticPr fontId="4" type="noConversion"/>
  </si>
  <si>
    <r>
      <t>27</t>
    </r>
    <r>
      <rPr>
        <sz val="11"/>
        <color indexed="8"/>
        <rFont val="宋体"/>
        <family val="3"/>
        <charset val="134"/>
      </rPr>
      <t>层附属</t>
    </r>
    <phoneticPr fontId="4" type="noConversion"/>
  </si>
  <si>
    <t>地下</t>
  </si>
  <si>
    <t>车库</t>
    <phoneticPr fontId="4" type="noConversion"/>
  </si>
  <si>
    <t>是</t>
  </si>
  <si>
    <t>酒店</t>
    <phoneticPr fontId="8" type="noConversion"/>
  </si>
  <si>
    <t>车库</t>
    <phoneticPr fontId="8" type="noConversion"/>
  </si>
  <si>
    <t>成新度</t>
  </si>
  <si>
    <t>估价对象容积率</t>
  </si>
  <si>
    <t>不临65条商业街</t>
  </si>
  <si>
    <t>通路</t>
  </si>
  <si>
    <t>通电</t>
  </si>
  <si>
    <t>通讯</t>
  </si>
  <si>
    <t>通上水</t>
  </si>
  <si>
    <t>通下水</t>
  </si>
  <si>
    <t>通热</t>
  </si>
  <si>
    <t>燃气</t>
  </si>
  <si>
    <t>平整</t>
  </si>
  <si>
    <t>与级别开发程度一致</t>
  </si>
  <si>
    <t>未包含在土地购买价格中</t>
  </si>
  <si>
    <t>已包含在土地取得成本中</t>
  </si>
  <si>
    <t>收益法-地上</t>
  </si>
  <si>
    <t>收益法-地上</t>
    <phoneticPr fontId="17" type="noConversion"/>
  </si>
  <si>
    <t>收益法-地下</t>
  </si>
  <si>
    <t>收益法-地下</t>
    <phoneticPr fontId="17" type="noConversion"/>
  </si>
  <si>
    <t>押一</t>
  </si>
  <si>
    <t>钢混</t>
  </si>
  <si>
    <t>非生产用房</t>
  </si>
  <si>
    <t>否</t>
  </si>
  <si>
    <t>自定义</t>
  </si>
  <si>
    <t>收益法（汇总）</t>
  </si>
  <si>
    <t>较好</t>
  </si>
  <si>
    <t>好</t>
  </si>
  <si>
    <t>总价</t>
  </si>
  <si>
    <t>写字楼租约</t>
    <phoneticPr fontId="134" type="noConversion"/>
  </si>
  <si>
    <t>楼宇</t>
  </si>
  <si>
    <t>实际楼层</t>
    <phoneticPr fontId="134" type="noConversion"/>
  </si>
  <si>
    <t>名义楼层</t>
    <phoneticPr fontId="134" type="noConversion"/>
  </si>
  <si>
    <t>单元号</t>
    <phoneticPr fontId="134" type="noConversion"/>
  </si>
  <si>
    <t>签约主体</t>
    <phoneticPr fontId="247" type="noConversion"/>
  </si>
  <si>
    <t>行业领域</t>
  </si>
  <si>
    <t>租赁面积         （平方米）</t>
    <phoneticPr fontId="134" type="noConversion"/>
  </si>
  <si>
    <t>交付日</t>
  </si>
  <si>
    <t>装修期</t>
    <phoneticPr fontId="247" type="noConversion"/>
  </si>
  <si>
    <t>装修期（月）</t>
    <phoneticPr fontId="247" type="noConversion"/>
  </si>
  <si>
    <t>租赁起始日</t>
  </si>
  <si>
    <t>租赁结束日</t>
  </si>
  <si>
    <t>租期</t>
  </si>
  <si>
    <t>租金单价                         （人民币：元/平米/天）</t>
    <phoneticPr fontId="134" type="noConversion"/>
  </si>
  <si>
    <t>是否含增值税</t>
  </si>
  <si>
    <t>月租金                  （人民币：元/月）</t>
    <phoneticPr fontId="134" type="noConversion"/>
  </si>
  <si>
    <t>租金增值税              （人民币：元/月）</t>
    <phoneticPr fontId="134" type="noConversion"/>
  </si>
  <si>
    <t>租金及增值税总计             （人民币：元/月）</t>
    <phoneticPr fontId="134" type="noConversion"/>
  </si>
  <si>
    <t>续租起始日</t>
  </si>
  <si>
    <t>续租结束日</t>
  </si>
  <si>
    <t>续租租金</t>
  </si>
  <si>
    <t>物业费单价                     （人民币：元/平米/月）</t>
    <phoneticPr fontId="134" type="noConversion"/>
  </si>
  <si>
    <t>月物业费                （人民币：元/月）</t>
    <phoneticPr fontId="134" type="noConversion"/>
  </si>
  <si>
    <t>物业费是否含税</t>
  </si>
  <si>
    <t>物业费增值税           （人民币：元/月）</t>
    <phoneticPr fontId="134" type="noConversion"/>
  </si>
  <si>
    <t>月物业费实缴            （人民币：元/月）</t>
    <phoneticPr fontId="134" type="noConversion"/>
  </si>
  <si>
    <t>续租期租金限额</t>
  </si>
  <si>
    <t>装免期月数</t>
    <phoneticPr fontId="247" type="noConversion"/>
  </si>
  <si>
    <t>上东公园里</t>
    <phoneticPr fontId="134" type="noConversion"/>
  </si>
  <si>
    <t>-</t>
    <phoneticPr fontId="134" type="noConversion"/>
  </si>
  <si>
    <t>空置</t>
    <phoneticPr fontId="134" type="noConversion"/>
  </si>
  <si>
    <t>03</t>
    <phoneticPr fontId="247" type="noConversion"/>
  </si>
  <si>
    <t>北京春风画面文化传媒有限公司</t>
    <phoneticPr fontId="272" type="noConversion"/>
  </si>
  <si>
    <t>媒体</t>
    <phoneticPr fontId="272" type="noConversion"/>
  </si>
  <si>
    <t>2023.6.1</t>
  </si>
  <si>
    <t>2023.6.1-2023.07.31</t>
    <phoneticPr fontId="134" type="noConversion"/>
  </si>
  <si>
    <t>2023.8.1</t>
    <phoneticPr fontId="134" type="noConversion"/>
  </si>
  <si>
    <t>2026.7.31</t>
    <phoneticPr fontId="134" type="noConversion"/>
  </si>
  <si>
    <t>36个月</t>
    <phoneticPr fontId="134" type="noConversion"/>
  </si>
  <si>
    <t>含</t>
    <phoneticPr fontId="134" type="noConversion"/>
  </si>
  <si>
    <t>含</t>
  </si>
  <si>
    <t>/</t>
    <phoneticPr fontId="134" type="noConversion"/>
  </si>
  <si>
    <t>01-02</t>
    <phoneticPr fontId="247" type="noConversion"/>
  </si>
  <si>
    <t>北京浩瀚星光影视有限公司</t>
    <phoneticPr fontId="272" type="noConversion"/>
  </si>
  <si>
    <t>02-03</t>
    <phoneticPr fontId="247" type="noConversion"/>
  </si>
  <si>
    <t>北京铜锣烧科技有限公司</t>
  </si>
  <si>
    <t>科技</t>
  </si>
  <si>
    <t>2022.10.01</t>
    <phoneticPr fontId="247" type="noConversion"/>
  </si>
  <si>
    <t>2022.10.01-2022.10.31</t>
    <phoneticPr fontId="247" type="noConversion"/>
  </si>
  <si>
    <t>2022.11.01</t>
    <phoneticPr fontId="247" type="noConversion"/>
  </si>
  <si>
    <t>2025.10.31</t>
    <phoneticPr fontId="247" type="noConversion"/>
  </si>
  <si>
    <t>07</t>
  </si>
  <si>
    <t>大连昊宇科技发展有限公司</t>
  </si>
  <si>
    <t>贸易</t>
  </si>
  <si>
    <t>2022.03.01</t>
    <phoneticPr fontId="247" type="noConversion"/>
  </si>
  <si>
    <t>2022.03.01-2022.04.30</t>
    <phoneticPr fontId="247" type="noConversion"/>
  </si>
  <si>
    <t>2022.05.01</t>
    <phoneticPr fontId="247" type="noConversion"/>
  </si>
  <si>
    <t>2025.04.30</t>
    <phoneticPr fontId="247" type="noConversion"/>
  </si>
  <si>
    <t>06</t>
  </si>
  <si>
    <t>北京中广昊宇科技发展有限公司</t>
  </si>
  <si>
    <t>05</t>
  </si>
  <si>
    <t>昊宇科技发展有限公司</t>
  </si>
  <si>
    <t>01</t>
    <phoneticPr fontId="247" type="noConversion"/>
  </si>
  <si>
    <t>宏碁电脑（上海）有限公司</t>
  </si>
  <si>
    <t>科技</t>
    <phoneticPr fontId="247" type="noConversion"/>
  </si>
  <si>
    <t>2021.10.1</t>
    <phoneticPr fontId="247" type="noConversion"/>
  </si>
  <si>
    <t>2021.10.1-2022.1.31</t>
    <phoneticPr fontId="247" type="noConversion"/>
  </si>
  <si>
    <t>2022.2.1</t>
    <phoneticPr fontId="247" type="noConversion"/>
  </si>
  <si>
    <t>2025.1.31</t>
    <phoneticPr fontId="247" type="noConversion"/>
  </si>
  <si>
    <t>56个月</t>
    <phoneticPr fontId="247" type="noConversion"/>
  </si>
  <si>
    <t>01-03</t>
    <phoneticPr fontId="247" type="noConversion"/>
  </si>
  <si>
    <t>宏碁（重庆）有限公司</t>
  </si>
  <si>
    <t>新疆协鑫新能源材料科技有限公司</t>
    <phoneticPr fontId="134" type="noConversion"/>
  </si>
  <si>
    <t>咨询</t>
    <phoneticPr fontId="134" type="noConversion"/>
  </si>
  <si>
    <t>2021.4.16</t>
    <phoneticPr fontId="134" type="noConversion"/>
  </si>
  <si>
    <t>2021.04.16-2021.08.15</t>
    <phoneticPr fontId="134" type="noConversion"/>
  </si>
  <si>
    <t>2021.8.16</t>
    <phoneticPr fontId="134" type="noConversion"/>
  </si>
  <si>
    <t>2024.8.15</t>
    <phoneticPr fontId="134" type="noConversion"/>
  </si>
  <si>
    <t>03-05</t>
    <phoneticPr fontId="247" type="noConversion"/>
  </si>
  <si>
    <t>2021.8.1</t>
    <phoneticPr fontId="134" type="noConversion"/>
  </si>
  <si>
    <t>2021.8.1-2021.9.30</t>
    <phoneticPr fontId="134" type="noConversion"/>
  </si>
  <si>
    <t>2021.10.1</t>
    <phoneticPr fontId="134" type="noConversion"/>
  </si>
  <si>
    <t>2024.9.30</t>
    <phoneticPr fontId="134" type="noConversion"/>
  </si>
  <si>
    <t>2024.10.1</t>
    <phoneticPr fontId="134" type="noConversion"/>
  </si>
  <si>
    <t>2026.9.30</t>
    <phoneticPr fontId="134" type="noConversion"/>
  </si>
  <si>
    <t>24个月</t>
    <phoneticPr fontId="134" type="noConversion"/>
  </si>
  <si>
    <t>01-10</t>
    <phoneticPr fontId="134" type="noConversion"/>
  </si>
  <si>
    <t>天士力控股集团有限公司</t>
    <phoneticPr fontId="134" type="noConversion"/>
  </si>
  <si>
    <t>金融</t>
  </si>
  <si>
    <t>2019.3.1</t>
  </si>
  <si>
    <t>2019.3.1-2019.4.30</t>
  </si>
  <si>
    <t>2019.5.1</t>
  </si>
  <si>
    <t>2022.4.30</t>
  </si>
  <si>
    <t>36个月</t>
    <phoneticPr fontId="247" type="noConversion"/>
  </si>
  <si>
    <t>天士力融资租赁有限公司</t>
    <phoneticPr fontId="134" type="noConversion"/>
  </si>
  <si>
    <t>01-05</t>
    <phoneticPr fontId="247" type="noConversion"/>
  </si>
  <si>
    <t>01-04</t>
    <phoneticPr fontId="134" type="noConversion"/>
  </si>
  <si>
    <t>05-06</t>
  </si>
  <si>
    <t>乐刷科技有限公司</t>
  </si>
  <si>
    <t>2023.5.1</t>
    <phoneticPr fontId="134" type="noConversion"/>
  </si>
  <si>
    <t>2026.4.30</t>
    <phoneticPr fontId="134" type="noConversion"/>
  </si>
  <si>
    <t>36个月</t>
  </si>
  <si>
    <t>02</t>
    <phoneticPr fontId="247" type="noConversion"/>
  </si>
  <si>
    <t>01</t>
  </si>
  <si>
    <t>/</t>
  </si>
  <si>
    <t>北京嘉德至鼎房地产顾问有限公司</t>
  </si>
  <si>
    <t>房地产</t>
    <phoneticPr fontId="134" type="noConversion"/>
  </si>
  <si>
    <t>2020.9.1</t>
    <phoneticPr fontId="134" type="noConversion"/>
  </si>
  <si>
    <t>2020.9.1-2020.11.15</t>
    <phoneticPr fontId="134" type="noConversion"/>
  </si>
  <si>
    <t>2020.11.16</t>
    <phoneticPr fontId="134" type="noConversion"/>
  </si>
  <si>
    <t>2023.11.15</t>
    <phoneticPr fontId="134" type="noConversion"/>
  </si>
  <si>
    <t>海南德物沐华基金管理有限公司</t>
  </si>
  <si>
    <t>2021.7.1</t>
    <phoneticPr fontId="134" type="noConversion"/>
  </si>
  <si>
    <t>2021.7.1-2021.7.31</t>
    <phoneticPr fontId="134" type="noConversion"/>
  </si>
  <si>
    <t>2024.7.31</t>
    <phoneticPr fontId="134" type="noConversion"/>
  </si>
  <si>
    <t>江苏恒远国际工程有限公司</t>
  </si>
  <si>
    <t>工程</t>
  </si>
  <si>
    <t>2021.6.1</t>
    <phoneticPr fontId="134" type="noConversion"/>
  </si>
  <si>
    <t>2021.6.1-2021.8.31</t>
    <phoneticPr fontId="134" type="noConversion"/>
  </si>
  <si>
    <t>2021.9.1</t>
    <phoneticPr fontId="134" type="noConversion"/>
  </si>
  <si>
    <t>2024.8.31</t>
    <phoneticPr fontId="134" type="noConversion"/>
  </si>
  <si>
    <t>01-02</t>
    <phoneticPr fontId="134" type="noConversion"/>
  </si>
  <si>
    <t>西藏汇千企业管理有限公司</t>
    <phoneticPr fontId="134" type="noConversion"/>
  </si>
  <si>
    <t>管理咨询</t>
    <phoneticPr fontId="134" type="noConversion"/>
  </si>
  <si>
    <t>2020.6.16</t>
    <phoneticPr fontId="134" type="noConversion"/>
  </si>
  <si>
    <t>2020.6.16-2020.8.15</t>
    <phoneticPr fontId="134" type="noConversion"/>
  </si>
  <si>
    <t>2020.8.16</t>
    <phoneticPr fontId="134" type="noConversion"/>
  </si>
  <si>
    <t>2023.8.15</t>
    <phoneticPr fontId="134" type="noConversion"/>
  </si>
  <si>
    <t>2023.08.16</t>
    <phoneticPr fontId="247" type="noConversion"/>
  </si>
  <si>
    <t>2025.08.15</t>
    <phoneticPr fontId="247" type="noConversion"/>
  </si>
  <si>
    <t>金邦达有限公司</t>
    <phoneticPr fontId="134" type="noConversion"/>
  </si>
  <si>
    <t>科技</t>
    <phoneticPr fontId="134" type="noConversion"/>
  </si>
  <si>
    <t>2020.12.12</t>
    <phoneticPr fontId="134" type="noConversion"/>
  </si>
  <si>
    <t>2020.12.12-2021.04.11</t>
    <phoneticPr fontId="134" type="noConversion"/>
  </si>
  <si>
    <t>2021.4.12</t>
    <phoneticPr fontId="134" type="noConversion"/>
  </si>
  <si>
    <t>2024.10.11</t>
    <phoneticPr fontId="134" type="noConversion"/>
  </si>
  <si>
    <t>42个月</t>
    <phoneticPr fontId="247" type="noConversion"/>
  </si>
  <si>
    <t>01-05</t>
  </si>
  <si>
    <t>北京红鹤广告有限公司</t>
  </si>
  <si>
    <t>传媒</t>
    <phoneticPr fontId="247" type="noConversion"/>
  </si>
  <si>
    <t>2021.10.1-2021.12.31</t>
    <phoneticPr fontId="247" type="noConversion"/>
  </si>
  <si>
    <t>2022.1.1</t>
    <phoneticPr fontId="247" type="noConversion"/>
  </si>
  <si>
    <t>2024.12.31</t>
    <phoneticPr fontId="247" type="noConversion"/>
  </si>
  <si>
    <t>/</t>
    <phoneticPr fontId="247" type="noConversion"/>
  </si>
  <si>
    <t>06-07</t>
  </si>
  <si>
    <t>宁波梅山保税港区朗征投资管理合伙企业（有限合伙）</t>
    <phoneticPr fontId="247" type="noConversion"/>
  </si>
  <si>
    <t>2022.3.25</t>
    <phoneticPr fontId="247" type="noConversion"/>
  </si>
  <si>
    <t>2022.3.25-2022.5.24</t>
    <phoneticPr fontId="247" type="noConversion"/>
  </si>
  <si>
    <t>2022.5.25</t>
    <phoneticPr fontId="247" type="noConversion"/>
  </si>
  <si>
    <t>2025.5.24</t>
    <phoneticPr fontId="247" type="noConversion"/>
  </si>
  <si>
    <t>05</t>
    <phoneticPr fontId="134" type="noConversion"/>
  </si>
  <si>
    <t>北京奥维汀医药科技有限公司</t>
  </si>
  <si>
    <t>2020.8.15</t>
    <phoneticPr fontId="134" type="noConversion"/>
  </si>
  <si>
    <t>2020.8.15-2020.10.14</t>
    <phoneticPr fontId="134" type="noConversion"/>
  </si>
  <si>
    <t>2020.10.15</t>
    <phoneticPr fontId="134" type="noConversion"/>
  </si>
  <si>
    <t>2023.10.14</t>
    <phoneticPr fontId="134" type="noConversion"/>
  </si>
  <si>
    <t>2023.10.15</t>
    <phoneticPr fontId="134" type="noConversion"/>
  </si>
  <si>
    <t>2026.10.31</t>
    <phoneticPr fontId="134" type="noConversion"/>
  </si>
  <si>
    <t>03</t>
    <phoneticPr fontId="134" type="noConversion"/>
  </si>
  <si>
    <t>北京韩晶苡琳科技有限公司</t>
  </si>
  <si>
    <t>贸易</t>
    <phoneticPr fontId="134" type="noConversion"/>
  </si>
  <si>
    <t>2020.8.1</t>
    <phoneticPr fontId="134" type="noConversion"/>
  </si>
  <si>
    <t>2020.8.1-2020.9.30</t>
    <phoneticPr fontId="134" type="noConversion"/>
  </si>
  <si>
    <t>2020.10.1</t>
    <phoneticPr fontId="134" type="noConversion"/>
  </si>
  <si>
    <t>2023.9.30</t>
    <phoneticPr fontId="134" type="noConversion"/>
  </si>
  <si>
    <t>春和大健康管理（北京）有限公司</t>
  </si>
  <si>
    <t>医药</t>
    <phoneticPr fontId="134" type="noConversion"/>
  </si>
  <si>
    <t>2023.02.20</t>
    <phoneticPr fontId="247" type="noConversion"/>
  </si>
  <si>
    <t>2023.02.20-2023.04.19</t>
    <phoneticPr fontId="247" type="noConversion"/>
  </si>
  <si>
    <t>2023.04.20</t>
    <phoneticPr fontId="247" type="noConversion"/>
  </si>
  <si>
    <t>2026.04.19</t>
    <phoneticPr fontId="247" type="noConversion"/>
  </si>
  <si>
    <t>01</t>
    <phoneticPr fontId="134" type="noConversion"/>
  </si>
  <si>
    <t>晖石能源（中国）有限公司</t>
    <phoneticPr fontId="134" type="noConversion"/>
  </si>
  <si>
    <t>能源</t>
    <phoneticPr fontId="134" type="noConversion"/>
  </si>
  <si>
    <t>2021.5.16</t>
    <phoneticPr fontId="134" type="noConversion"/>
  </si>
  <si>
    <t>2021.5.16-2021.7.15</t>
    <phoneticPr fontId="134" type="noConversion"/>
  </si>
  <si>
    <t>2021.7.16</t>
    <phoneticPr fontId="134" type="noConversion"/>
  </si>
  <si>
    <t>2024.7.15</t>
    <phoneticPr fontId="134" type="noConversion"/>
  </si>
  <si>
    <t>北京百川彬海医疗信息技术有限公司</t>
    <phoneticPr fontId="134" type="noConversion"/>
  </si>
  <si>
    <t>医疗</t>
    <phoneticPr fontId="134" type="noConversion"/>
  </si>
  <si>
    <t>2020.5.1</t>
    <phoneticPr fontId="134" type="noConversion"/>
  </si>
  <si>
    <t>2020.5.1-2020.9.30</t>
    <phoneticPr fontId="134" type="noConversion"/>
  </si>
  <si>
    <t>48个月</t>
    <phoneticPr fontId="247" type="noConversion"/>
  </si>
  <si>
    <t>北京微联动网络科技有限公司</t>
    <phoneticPr fontId="134" type="noConversion"/>
  </si>
  <si>
    <t>北京麦迪康健管理咨询有限公司</t>
    <phoneticPr fontId="134" type="noConversion"/>
  </si>
  <si>
    <t>48个月</t>
  </si>
  <si>
    <t>01-03</t>
    <phoneticPr fontId="134" type="noConversion"/>
  </si>
  <si>
    <t>北京创研医学研究中心有限公司</t>
    <phoneticPr fontId="134" type="noConversion"/>
  </si>
  <si>
    <t>北京麦迪卫康医疗科技有限公司</t>
    <phoneticPr fontId="134" type="noConversion"/>
  </si>
  <si>
    <t>08-09</t>
    <phoneticPr fontId="247" type="noConversion"/>
  </si>
  <si>
    <t>北京中汇鼎盛投资有限公司</t>
  </si>
  <si>
    <t>/</t>
    <phoneticPr fontId="272" type="noConversion"/>
  </si>
  <si>
    <t>2025.7.31</t>
    <phoneticPr fontId="134" type="noConversion"/>
  </si>
  <si>
    <t>02</t>
    <phoneticPr fontId="134" type="noConversion"/>
  </si>
  <si>
    <t>上海德建聪和生物医药科技有限公司北京分公司</t>
    <phoneticPr fontId="134" type="noConversion"/>
  </si>
  <si>
    <t>北京尊真医药科技有限公司</t>
    <phoneticPr fontId="134" type="noConversion"/>
  </si>
  <si>
    <t>食品</t>
    <phoneticPr fontId="134" type="noConversion"/>
  </si>
  <si>
    <t>2020.6.1</t>
    <phoneticPr fontId="134" type="noConversion"/>
  </si>
  <si>
    <t>2020.6.1-2020.7.31</t>
    <phoneticPr fontId="134" type="noConversion"/>
  </si>
  <si>
    <t>2023.7.31</t>
    <phoneticPr fontId="134" type="noConversion"/>
  </si>
  <si>
    <t>08-09</t>
  </si>
  <si>
    <t>临泽宏鑫矿产实业有限公司</t>
  </si>
  <si>
    <t>实业</t>
    <phoneticPr fontId="134" type="noConversion"/>
  </si>
  <si>
    <t>2021.7.20</t>
    <phoneticPr fontId="134" type="noConversion"/>
  </si>
  <si>
    <t>2021.7.20-2021.9.19</t>
    <phoneticPr fontId="134" type="noConversion"/>
  </si>
  <si>
    <t>2021.9.20</t>
    <phoneticPr fontId="134" type="noConversion"/>
  </si>
  <si>
    <t>2024.9.19</t>
    <phoneticPr fontId="134" type="noConversion"/>
  </si>
  <si>
    <t>06</t>
    <phoneticPr fontId="247" type="noConversion"/>
  </si>
  <si>
    <t>05</t>
    <phoneticPr fontId="247" type="noConversion"/>
  </si>
  <si>
    <t>01-02&amp;10</t>
    <phoneticPr fontId="247" type="noConversion"/>
  </si>
  <si>
    <t>喜上能源发展（北京）有限公司</t>
  </si>
  <si>
    <t>2019.6.1</t>
  </si>
  <si>
    <t>2019.6.1-2019.9.30</t>
  </si>
  <si>
    <t>2019.10.1</t>
  </si>
  <si>
    <t>2022.9.30</t>
  </si>
  <si>
    <t>2022.10.01</t>
    <phoneticPr fontId="134" type="noConversion"/>
  </si>
  <si>
    <t>2025.09.30</t>
    <phoneticPr fontId="134" type="noConversion"/>
  </si>
  <si>
    <t>01-07</t>
    <phoneticPr fontId="247" type="noConversion"/>
  </si>
  <si>
    <t>重庆市江津区江边酿酒有限公司北京分公司</t>
  </si>
  <si>
    <t>零售</t>
    <phoneticPr fontId="134" type="noConversion"/>
  </si>
  <si>
    <t>2021.8.10</t>
    <phoneticPr fontId="134" type="noConversion"/>
  </si>
  <si>
    <t>2023.1.1</t>
    <phoneticPr fontId="247" type="noConversion"/>
  </si>
  <si>
    <t>06-07</t>
    <phoneticPr fontId="247" type="noConversion"/>
  </si>
  <si>
    <t>北京启联管理咨询有限公司</t>
    <phoneticPr fontId="134" type="noConversion"/>
  </si>
  <si>
    <t>传媒</t>
  </si>
  <si>
    <t>01-04</t>
    <phoneticPr fontId="247" type="noConversion"/>
  </si>
  <si>
    <t>斯凯孚（中国）销售有限公司</t>
    <phoneticPr fontId="134" type="noConversion"/>
  </si>
  <si>
    <t>制造业</t>
    <phoneticPr fontId="134" type="noConversion"/>
  </si>
  <si>
    <t>2019.12.1</t>
    <phoneticPr fontId="134" type="noConversion"/>
  </si>
  <si>
    <t>2019.12.1-2020.3.31</t>
    <phoneticPr fontId="134" type="noConversion"/>
  </si>
  <si>
    <t>2020.4.1</t>
    <phoneticPr fontId="134" type="noConversion"/>
  </si>
  <si>
    <t>2023.3.31</t>
    <phoneticPr fontId="134" type="noConversion"/>
  </si>
  <si>
    <t>2023.04.01</t>
    <phoneticPr fontId="134" type="noConversion"/>
  </si>
  <si>
    <t>2026.03.31</t>
    <phoneticPr fontId="134" type="noConversion"/>
  </si>
  <si>
    <t>2022.6.28</t>
    <phoneticPr fontId="134" type="noConversion"/>
  </si>
  <si>
    <t>2025.6.27</t>
    <phoneticPr fontId="134" type="noConversion"/>
  </si>
  <si>
    <t>3（东塔）</t>
    <phoneticPr fontId="247" type="noConversion"/>
  </si>
  <si>
    <t>19-28</t>
    <phoneticPr fontId="247" type="noConversion"/>
  </si>
  <si>
    <t>承德阿那亚房地产开发有限公司</t>
    <phoneticPr fontId="134" type="noConversion"/>
  </si>
  <si>
    <t>2022.5.29</t>
    <phoneticPr fontId="247" type="noConversion"/>
  </si>
  <si>
    <t>2022.5.29</t>
    <phoneticPr fontId="134" type="noConversion"/>
  </si>
  <si>
    <t>2025.5.28</t>
    <phoneticPr fontId="134" type="noConversion"/>
  </si>
  <si>
    <t>含</t>
    <phoneticPr fontId="247" type="noConversion"/>
  </si>
  <si>
    <t>2（东塔）</t>
    <phoneticPr fontId="247" type="noConversion"/>
  </si>
  <si>
    <t>13-20</t>
    <phoneticPr fontId="247" type="noConversion"/>
  </si>
  <si>
    <t>兴隆县顺兴旅游房地产开发有限公司</t>
    <phoneticPr fontId="134" type="noConversion"/>
  </si>
  <si>
    <t>秦皇岛天行建房地产开发有限公司</t>
    <phoneticPr fontId="247" type="noConversion"/>
  </si>
  <si>
    <t>1（东塔）</t>
    <phoneticPr fontId="247" type="noConversion"/>
  </si>
  <si>
    <t>北京滩羊铺子餐饮管理有限公司</t>
    <phoneticPr fontId="247" type="noConversion"/>
  </si>
  <si>
    <t>餐饮</t>
    <phoneticPr fontId="247" type="noConversion"/>
  </si>
  <si>
    <t>2023.4.1</t>
    <phoneticPr fontId="247" type="noConversion"/>
  </si>
  <si>
    <t>2023.4.1-2023.5.31</t>
    <phoneticPr fontId="247" type="noConversion"/>
  </si>
  <si>
    <t>2023.6.1</t>
    <phoneticPr fontId="247" type="noConversion"/>
  </si>
  <si>
    <t>2025.5.31</t>
    <phoneticPr fontId="247" type="noConversion"/>
  </si>
  <si>
    <t>商业租约</t>
    <phoneticPr fontId="134" type="noConversion"/>
  </si>
  <si>
    <t>单元号</t>
    <phoneticPr fontId="247" type="noConversion"/>
  </si>
  <si>
    <t>租户名称</t>
  </si>
  <si>
    <t>合同面积         （平方米）</t>
    <phoneticPr fontId="134" type="noConversion"/>
  </si>
  <si>
    <t>装修期</t>
  </si>
  <si>
    <t>月租金                   （人民币：元/月）</t>
    <phoneticPr fontId="134" type="noConversion"/>
  </si>
  <si>
    <t>免租期（月）</t>
    <phoneticPr fontId="247" type="noConversion"/>
  </si>
  <si>
    <t>上东公园里</t>
    <phoneticPr fontId="247" type="noConversion"/>
  </si>
  <si>
    <t>1F</t>
    <phoneticPr fontId="247" type="noConversion"/>
  </si>
  <si>
    <t>北京和遇空间餐饮管理有限公司</t>
    <phoneticPr fontId="134" type="noConversion"/>
  </si>
  <si>
    <t>餐饮</t>
  </si>
  <si>
    <t>2020.8.1-2020.11.30</t>
    <phoneticPr fontId="247" type="noConversion"/>
  </si>
  <si>
    <t>2020.12.1</t>
    <phoneticPr fontId="134" type="noConversion"/>
  </si>
  <si>
    <t>2022.11.30</t>
    <phoneticPr fontId="247" type="noConversion"/>
  </si>
  <si>
    <t>72个月</t>
    <phoneticPr fontId="134" type="noConversion"/>
  </si>
  <si>
    <t>2022.12.1</t>
    <phoneticPr fontId="247" type="noConversion"/>
  </si>
  <si>
    <t>2024.11.30</t>
    <phoneticPr fontId="247" type="noConversion"/>
  </si>
  <si>
    <t>2024.12.1</t>
    <phoneticPr fontId="247" type="noConversion"/>
  </si>
  <si>
    <t>2026.11.30</t>
    <phoneticPr fontId="247" type="noConversion"/>
  </si>
  <si>
    <t>04</t>
    <phoneticPr fontId="247" type="noConversion"/>
  </si>
  <si>
    <t>北京佐渡和风料理餐饮有限公司</t>
    <phoneticPr fontId="247" type="noConversion"/>
  </si>
  <si>
    <t>2021.7.1-2021.9.30</t>
    <phoneticPr fontId="134" type="noConversion"/>
  </si>
  <si>
    <t>2023.10.1</t>
    <phoneticPr fontId="134" type="noConversion"/>
  </si>
  <si>
    <t>2025.9.30</t>
    <phoneticPr fontId="134" type="noConversion"/>
  </si>
  <si>
    <t>2025.10.1</t>
    <phoneticPr fontId="134" type="noConversion"/>
  </si>
  <si>
    <t>2027.9.30</t>
    <phoneticPr fontId="134" type="noConversion"/>
  </si>
  <si>
    <t>05-06</t>
    <phoneticPr fontId="134" type="noConversion"/>
  </si>
  <si>
    <t>07</t>
    <phoneticPr fontId="247" type="noConversion"/>
  </si>
  <si>
    <t>北京顶全便利店有限公司</t>
  </si>
  <si>
    <t>便利店</t>
  </si>
  <si>
    <t>2019.3.1-2019.7.31</t>
    <phoneticPr fontId="247" type="noConversion"/>
  </si>
  <si>
    <t>2019.8.1</t>
  </si>
  <si>
    <t>2022.7.31</t>
    <phoneticPr fontId="247" type="noConversion"/>
  </si>
  <si>
    <t>60个月</t>
    <phoneticPr fontId="134" type="noConversion"/>
  </si>
  <si>
    <t>2022.8.1</t>
    <phoneticPr fontId="247" type="noConversion"/>
  </si>
  <si>
    <t>2024.7.31</t>
    <phoneticPr fontId="247" type="noConversion"/>
  </si>
  <si>
    <t>参道（北京）管理咨询有限公司</t>
    <phoneticPr fontId="134" type="noConversion"/>
  </si>
  <si>
    <t>花店</t>
    <phoneticPr fontId="134" type="noConversion"/>
  </si>
  <si>
    <t>2019.9.6</t>
    <phoneticPr fontId="134" type="noConversion"/>
  </si>
  <si>
    <t>2019.9.6-2019.10.15</t>
    <phoneticPr fontId="134" type="noConversion"/>
  </si>
  <si>
    <t>1个月10天</t>
    <phoneticPr fontId="247" type="noConversion"/>
  </si>
  <si>
    <t>2019.10.16</t>
    <phoneticPr fontId="134" type="noConversion"/>
  </si>
  <si>
    <t>2022.10.15</t>
    <phoneticPr fontId="134" type="noConversion"/>
  </si>
  <si>
    <t>不含</t>
    <phoneticPr fontId="134" type="noConversion"/>
  </si>
  <si>
    <t>北京茵赫餐饮管理有限公司</t>
    <phoneticPr fontId="134" type="noConversion"/>
  </si>
  <si>
    <t>咖啡</t>
    <phoneticPr fontId="134" type="noConversion"/>
  </si>
  <si>
    <t>2022.7.1-2022.7.31</t>
    <phoneticPr fontId="247" type="noConversion"/>
  </si>
  <si>
    <t>2025.7.31</t>
    <phoneticPr fontId="247" type="noConversion"/>
  </si>
  <si>
    <t>B1</t>
    <phoneticPr fontId="247" type="noConversion"/>
  </si>
  <si>
    <t>LG</t>
    <phoneticPr fontId="247" type="noConversion"/>
  </si>
  <si>
    <t>北京全意餐饮管理有限公司</t>
    <phoneticPr fontId="134" type="noConversion"/>
  </si>
  <si>
    <t>04-06</t>
    <phoneticPr fontId="134" type="noConversion"/>
  </si>
  <si>
    <t>北京德瑞奥文化传媒有限公司</t>
  </si>
  <si>
    <t>2023.3.1</t>
    <phoneticPr fontId="134" type="noConversion"/>
  </si>
  <si>
    <t>2024.2.29</t>
    <phoneticPr fontId="134" type="noConversion"/>
  </si>
  <si>
    <t>12个月</t>
    <phoneticPr fontId="134" type="noConversion"/>
  </si>
  <si>
    <r>
      <rPr>
        <sz val="14"/>
        <rFont val="宋体"/>
        <family val="3"/>
        <charset val="134"/>
      </rPr>
      <t>上东公园里</t>
    </r>
    <phoneticPr fontId="134" type="noConversion"/>
  </si>
  <si>
    <r>
      <rPr>
        <sz val="14"/>
        <rFont val="宋体"/>
        <family val="3"/>
        <charset val="134"/>
      </rPr>
      <t>租赁形态表</t>
    </r>
    <phoneticPr fontId="134" type="noConversion"/>
  </si>
  <si>
    <r>
      <rPr>
        <b/>
        <sz val="10"/>
        <color rgb="FFFFFFFF"/>
        <rFont val="宋体"/>
        <family val="3"/>
        <charset val="134"/>
      </rPr>
      <t>楼层</t>
    </r>
  </si>
  <si>
    <r>
      <rPr>
        <b/>
        <sz val="10"/>
        <color rgb="FFFFFFFF"/>
        <rFont val="宋体"/>
        <family val="3"/>
        <charset val="134"/>
      </rPr>
      <t>面积</t>
    </r>
  </si>
  <si>
    <r>
      <rPr>
        <b/>
        <sz val="10"/>
        <color rgb="FFFFFFFF"/>
        <rFont val="宋体"/>
        <family val="3"/>
        <charset val="134"/>
      </rPr>
      <t>单元</t>
    </r>
    <r>
      <rPr>
        <b/>
        <sz val="10"/>
        <color rgb="FFFFFFFF"/>
        <rFont val="Times New Roman"/>
        <family val="1"/>
      </rPr>
      <t>1</t>
    </r>
    <phoneticPr fontId="134" type="noConversion"/>
  </si>
  <si>
    <r>
      <rPr>
        <b/>
        <sz val="10"/>
        <color rgb="FFFFFFFF"/>
        <rFont val="宋体"/>
        <family val="3"/>
        <charset val="134"/>
      </rPr>
      <t>单元</t>
    </r>
    <r>
      <rPr>
        <b/>
        <sz val="10"/>
        <color rgb="FFFFFFFF"/>
        <rFont val="Times New Roman"/>
        <family val="1"/>
      </rPr>
      <t>2</t>
    </r>
    <phoneticPr fontId="134" type="noConversion"/>
  </si>
  <si>
    <r>
      <rPr>
        <b/>
        <sz val="10"/>
        <color rgb="FFFFFFFF"/>
        <rFont val="宋体"/>
        <family val="3"/>
        <charset val="134"/>
      </rPr>
      <t>单元</t>
    </r>
    <r>
      <rPr>
        <b/>
        <sz val="10"/>
        <color rgb="FFFFFFFF"/>
        <rFont val="Times New Roman"/>
        <family val="1"/>
      </rPr>
      <t>3</t>
    </r>
    <phoneticPr fontId="134" type="noConversion"/>
  </si>
  <si>
    <r>
      <rPr>
        <b/>
        <sz val="10"/>
        <rFont val="宋体"/>
        <family val="3"/>
        <charset val="134"/>
      </rPr>
      <t>租约签订</t>
    </r>
    <phoneticPr fontId="134" type="noConversion"/>
  </si>
  <si>
    <r>
      <rPr>
        <b/>
        <sz val="10"/>
        <color rgb="FFFFFFFF"/>
        <rFont val="宋体"/>
        <family val="3"/>
        <charset val="134"/>
      </rPr>
      <t>意向签订</t>
    </r>
  </si>
  <si>
    <r>
      <rPr>
        <b/>
        <sz val="10"/>
        <rFont val="宋体"/>
        <family val="3"/>
        <charset val="134"/>
      </rPr>
      <t>谈判中</t>
    </r>
  </si>
  <si>
    <r>
      <rPr>
        <b/>
        <sz val="10"/>
        <rFont val="宋体"/>
        <family val="3"/>
        <charset val="134"/>
      </rPr>
      <t>空置</t>
    </r>
  </si>
  <si>
    <t>浩瀚星光</t>
    <phoneticPr fontId="134" type="noConversion"/>
  </si>
  <si>
    <t>春风画面</t>
    <phoneticPr fontId="134" type="noConversion"/>
  </si>
  <si>
    <t>宏碁</t>
    <phoneticPr fontId="134" type="noConversion"/>
  </si>
  <si>
    <t>昊宇投资</t>
    <phoneticPr fontId="134" type="noConversion"/>
  </si>
  <si>
    <t>铜锣烧</t>
    <phoneticPr fontId="134" type="noConversion"/>
  </si>
  <si>
    <t>新疆协鑫新能源</t>
    <phoneticPr fontId="134" type="noConversion"/>
  </si>
  <si>
    <t>天士力控股</t>
    <phoneticPr fontId="134" type="noConversion"/>
  </si>
  <si>
    <t>天士力融资</t>
    <phoneticPr fontId="134" type="noConversion"/>
  </si>
  <si>
    <t>自用办公室（开工大吉样板间）</t>
    <phoneticPr fontId="134" type="noConversion"/>
  </si>
  <si>
    <t>乐刷科技有限公司</t>
    <phoneticPr fontId="134" type="noConversion"/>
  </si>
  <si>
    <t>北京众和清润</t>
    <phoneticPr fontId="134" type="noConversion"/>
  </si>
  <si>
    <t>北京中汇鼎盛</t>
    <phoneticPr fontId="134" type="noConversion"/>
  </si>
  <si>
    <t>江苏恒远</t>
    <phoneticPr fontId="134" type="noConversion"/>
  </si>
  <si>
    <t>海南德物沐华</t>
    <phoneticPr fontId="134" type="noConversion"/>
  </si>
  <si>
    <t>西藏汇千</t>
    <phoneticPr fontId="134" type="noConversion"/>
  </si>
  <si>
    <t>嘉德至鼎</t>
    <phoneticPr fontId="134" type="noConversion"/>
  </si>
  <si>
    <t>金邦达有</t>
    <phoneticPr fontId="134" type="noConversion"/>
  </si>
  <si>
    <t>红鹤</t>
    <phoneticPr fontId="134" type="noConversion"/>
  </si>
  <si>
    <t>朗征投资</t>
    <phoneticPr fontId="134" type="noConversion"/>
  </si>
  <si>
    <t>晖石能源</t>
    <phoneticPr fontId="134" type="noConversion"/>
  </si>
  <si>
    <t>奥维汀</t>
    <phoneticPr fontId="134" type="noConversion"/>
  </si>
  <si>
    <t>春和</t>
    <phoneticPr fontId="134" type="noConversion"/>
  </si>
  <si>
    <t>韩晶苡琳</t>
    <phoneticPr fontId="134" type="noConversion"/>
  </si>
  <si>
    <t>麦迪康健</t>
    <phoneticPr fontId="134" type="noConversion"/>
  </si>
  <si>
    <t>微联动网络</t>
    <phoneticPr fontId="134" type="noConversion"/>
  </si>
  <si>
    <t>百川彬海</t>
    <phoneticPr fontId="134" type="noConversion"/>
  </si>
  <si>
    <t>创研医学</t>
    <phoneticPr fontId="134" type="noConversion"/>
  </si>
  <si>
    <t>麦迪卫康</t>
    <phoneticPr fontId="134" type="noConversion"/>
  </si>
  <si>
    <t>尊真</t>
    <phoneticPr fontId="134" type="noConversion"/>
  </si>
  <si>
    <t>德建</t>
  </si>
  <si>
    <t>中汇鼎盛</t>
    <phoneticPr fontId="134" type="noConversion"/>
  </si>
  <si>
    <t>喜上</t>
    <phoneticPr fontId="134" type="noConversion"/>
  </si>
  <si>
    <t>临泽矿业</t>
    <phoneticPr fontId="134" type="noConversion"/>
  </si>
  <si>
    <t>重庆市江津区江边酿酒</t>
    <phoneticPr fontId="134" type="noConversion"/>
  </si>
  <si>
    <r>
      <rPr>
        <sz val="10"/>
        <rFont val="宋体"/>
        <family val="3"/>
        <charset val="134"/>
      </rPr>
      <t>斯凯孚</t>
    </r>
    <phoneticPr fontId="134" type="noConversion"/>
  </si>
  <si>
    <t>启联</t>
    <phoneticPr fontId="134" type="noConversion"/>
  </si>
  <si>
    <t>溪谷</t>
    <phoneticPr fontId="134" type="noConversion"/>
  </si>
  <si>
    <t>威沃克办公服务（北京）有限公司（WeWork）</t>
    <phoneticPr fontId="134" type="noConversion"/>
  </si>
  <si>
    <r>
      <t>We Work</t>
    </r>
    <r>
      <rPr>
        <sz val="10"/>
        <rFont val="宋体"/>
        <family val="3"/>
        <charset val="134"/>
      </rPr>
      <t>（</t>
    </r>
    <r>
      <rPr>
        <sz val="10"/>
        <rFont val="Times New Roman"/>
        <family val="1"/>
      </rPr>
      <t>2541.08</t>
    </r>
    <r>
      <rPr>
        <sz val="10"/>
        <rFont val="宋体"/>
        <family val="3"/>
        <charset val="134"/>
      </rPr>
      <t>）</t>
    </r>
  </si>
  <si>
    <r>
      <rPr>
        <sz val="10"/>
        <rFont val="宋体"/>
        <family val="3"/>
        <charset val="134"/>
      </rPr>
      <t>阿那亚（</t>
    </r>
    <r>
      <rPr>
        <sz val="10"/>
        <rFont val="Times New Roman"/>
        <family val="1"/>
      </rPr>
      <t>1521.65</t>
    </r>
    <r>
      <rPr>
        <sz val="10"/>
        <rFont val="宋体"/>
        <family val="3"/>
        <charset val="134"/>
      </rPr>
      <t>）</t>
    </r>
    <phoneticPr fontId="134" type="noConversion"/>
  </si>
  <si>
    <r>
      <t>We Work</t>
    </r>
    <r>
      <rPr>
        <sz val="10"/>
        <rFont val="宋体"/>
        <family val="3"/>
        <charset val="134"/>
      </rPr>
      <t>（</t>
    </r>
    <r>
      <rPr>
        <sz val="10"/>
        <rFont val="Times New Roman"/>
        <family val="1"/>
      </rPr>
      <t>1712.56</t>
    </r>
    <r>
      <rPr>
        <sz val="10"/>
        <rFont val="宋体"/>
        <family val="3"/>
        <charset val="134"/>
      </rPr>
      <t>）</t>
    </r>
  </si>
  <si>
    <r>
      <rPr>
        <sz val="10"/>
        <rFont val="宋体"/>
        <family val="3"/>
        <charset val="134"/>
      </rPr>
      <t>阿那亚（</t>
    </r>
    <r>
      <rPr>
        <sz val="10"/>
        <rFont val="Times New Roman"/>
        <family val="1"/>
      </rPr>
      <t>1329.17</t>
    </r>
    <r>
      <rPr>
        <sz val="10"/>
        <rFont val="宋体"/>
        <family val="3"/>
        <charset val="134"/>
      </rPr>
      <t>）</t>
    </r>
    <phoneticPr fontId="134" type="noConversion"/>
  </si>
  <si>
    <r>
      <rPr>
        <b/>
        <sz val="10"/>
        <color rgb="FFFFFFFF"/>
        <rFont val="宋体"/>
        <family val="3"/>
        <charset val="134"/>
      </rPr>
      <t>单元</t>
    </r>
    <r>
      <rPr>
        <b/>
        <sz val="10"/>
        <color rgb="FFFFFFFF"/>
        <rFont val="Times New Roman"/>
        <family val="1"/>
      </rPr>
      <t>1</t>
    </r>
    <phoneticPr fontId="134" type="noConversion"/>
  </si>
  <si>
    <r>
      <rPr>
        <b/>
        <sz val="10"/>
        <color rgb="FFFFFFFF"/>
        <rFont val="宋体"/>
        <family val="3"/>
        <charset val="134"/>
      </rPr>
      <t>单元</t>
    </r>
    <r>
      <rPr>
        <b/>
        <sz val="10"/>
        <color rgb="FFFFFFFF"/>
        <rFont val="Times New Roman"/>
        <family val="1"/>
      </rPr>
      <t>2</t>
    </r>
    <r>
      <rPr>
        <sz val="11"/>
        <color theme="1"/>
        <rFont val="宋体"/>
        <family val="2"/>
        <scheme val="minor"/>
      </rPr>
      <t/>
    </r>
  </si>
  <si>
    <r>
      <rPr>
        <b/>
        <sz val="10"/>
        <color rgb="FFFFFFFF"/>
        <rFont val="宋体"/>
        <family val="3"/>
        <charset val="134"/>
      </rPr>
      <t>单元</t>
    </r>
    <r>
      <rPr>
        <b/>
        <sz val="10"/>
        <color rgb="FFFFFFFF"/>
        <rFont val="Times New Roman"/>
        <family val="1"/>
      </rPr>
      <t>3</t>
    </r>
    <r>
      <rPr>
        <sz val="11"/>
        <color theme="1"/>
        <rFont val="宋体"/>
        <family val="2"/>
        <scheme val="minor"/>
      </rPr>
      <t/>
    </r>
  </si>
  <si>
    <r>
      <rPr>
        <b/>
        <sz val="10"/>
        <color rgb="FFFFFFFF"/>
        <rFont val="宋体"/>
        <family val="3"/>
        <charset val="134"/>
      </rPr>
      <t>单元</t>
    </r>
    <r>
      <rPr>
        <b/>
        <sz val="10"/>
        <color rgb="FFFFFFFF"/>
        <rFont val="Times New Roman"/>
        <family val="1"/>
      </rPr>
      <t>4</t>
    </r>
    <r>
      <rPr>
        <sz val="11"/>
        <color theme="1"/>
        <rFont val="宋体"/>
        <family val="2"/>
        <scheme val="minor"/>
      </rPr>
      <t/>
    </r>
  </si>
  <si>
    <r>
      <rPr>
        <b/>
        <sz val="10"/>
        <color rgb="FFFFFFFF"/>
        <rFont val="宋体"/>
        <family val="3"/>
        <charset val="134"/>
      </rPr>
      <t>单元</t>
    </r>
    <r>
      <rPr>
        <b/>
        <sz val="10"/>
        <color rgb="FFFFFFFF"/>
        <rFont val="Times New Roman"/>
        <family val="1"/>
      </rPr>
      <t>5</t>
    </r>
    <r>
      <rPr>
        <sz val="11"/>
        <color theme="1"/>
        <rFont val="宋体"/>
        <family val="2"/>
        <scheme val="minor"/>
      </rPr>
      <t/>
    </r>
  </si>
  <si>
    <r>
      <rPr>
        <b/>
        <sz val="10"/>
        <color rgb="FFFFFFFF"/>
        <rFont val="宋体"/>
        <family val="3"/>
        <charset val="134"/>
      </rPr>
      <t>单元</t>
    </r>
    <r>
      <rPr>
        <b/>
        <sz val="10"/>
        <color rgb="FFFFFFFF"/>
        <rFont val="Times New Roman"/>
        <family val="1"/>
      </rPr>
      <t>6</t>
    </r>
    <r>
      <rPr>
        <sz val="11"/>
        <color theme="1"/>
        <rFont val="宋体"/>
        <family val="2"/>
        <scheme val="minor"/>
      </rPr>
      <t/>
    </r>
  </si>
  <si>
    <r>
      <rPr>
        <b/>
        <sz val="10"/>
        <color rgb="FFFFFFFF"/>
        <rFont val="宋体"/>
        <family val="3"/>
        <charset val="134"/>
      </rPr>
      <t>单元</t>
    </r>
    <r>
      <rPr>
        <b/>
        <sz val="10"/>
        <color rgb="FFFFFFFF"/>
        <rFont val="Times New Roman"/>
        <family val="1"/>
      </rPr>
      <t>7</t>
    </r>
    <r>
      <rPr>
        <sz val="11"/>
        <color theme="1"/>
        <rFont val="宋体"/>
        <family val="2"/>
        <scheme val="minor"/>
      </rPr>
      <t/>
    </r>
  </si>
  <si>
    <r>
      <rPr>
        <b/>
        <sz val="10"/>
        <color rgb="FFFFFFFF"/>
        <rFont val="宋体"/>
        <family val="3"/>
        <charset val="134"/>
      </rPr>
      <t>单元</t>
    </r>
    <r>
      <rPr>
        <b/>
        <sz val="10"/>
        <color rgb="FFFFFFFF"/>
        <rFont val="Times New Roman"/>
        <family val="1"/>
      </rPr>
      <t>8</t>
    </r>
    <r>
      <rPr>
        <sz val="11"/>
        <color theme="1"/>
        <rFont val="宋体"/>
        <family val="2"/>
        <scheme val="minor"/>
      </rPr>
      <t/>
    </r>
  </si>
  <si>
    <r>
      <rPr>
        <b/>
        <sz val="10"/>
        <color rgb="FFFFFFFF"/>
        <rFont val="宋体"/>
        <family val="3"/>
        <charset val="134"/>
      </rPr>
      <t>单元</t>
    </r>
    <r>
      <rPr>
        <b/>
        <sz val="10"/>
        <color rgb="FFFFFFFF"/>
        <rFont val="Times New Roman"/>
        <family val="1"/>
      </rPr>
      <t>9</t>
    </r>
    <r>
      <rPr>
        <sz val="11"/>
        <color theme="1"/>
        <rFont val="宋体"/>
        <family val="2"/>
        <scheme val="minor"/>
      </rPr>
      <t/>
    </r>
  </si>
  <si>
    <r>
      <rPr>
        <b/>
        <sz val="10"/>
        <color rgb="FFFFFFFF"/>
        <rFont val="宋体"/>
        <family val="3"/>
        <charset val="134"/>
      </rPr>
      <t>单元</t>
    </r>
    <r>
      <rPr>
        <b/>
        <sz val="10"/>
        <color rgb="FFFFFFFF"/>
        <rFont val="Times New Roman"/>
        <family val="1"/>
      </rPr>
      <t>10</t>
    </r>
    <r>
      <rPr>
        <sz val="11"/>
        <color theme="1"/>
        <rFont val="宋体"/>
        <family val="2"/>
        <scheme val="minor"/>
      </rPr>
      <t/>
    </r>
  </si>
  <si>
    <r>
      <rPr>
        <b/>
        <sz val="10"/>
        <color rgb="FFFFFFFF"/>
        <rFont val="宋体"/>
        <family val="3"/>
        <charset val="134"/>
      </rPr>
      <t>单元</t>
    </r>
    <r>
      <rPr>
        <b/>
        <sz val="10"/>
        <color rgb="FFFFFFFF"/>
        <rFont val="Times New Roman"/>
        <family val="1"/>
      </rPr>
      <t>11</t>
    </r>
    <r>
      <rPr>
        <sz val="11"/>
        <color theme="1"/>
        <rFont val="宋体"/>
        <family val="2"/>
        <scheme val="minor"/>
      </rPr>
      <t/>
    </r>
  </si>
  <si>
    <r>
      <rPr>
        <b/>
        <sz val="10"/>
        <rFont val="宋体"/>
        <family val="3"/>
        <charset val="134"/>
      </rPr>
      <t>租约签订</t>
    </r>
    <phoneticPr fontId="134" type="noConversion"/>
  </si>
  <si>
    <t>和遇空间</t>
    <phoneticPr fontId="134" type="noConversion"/>
  </si>
  <si>
    <t>佐渡</t>
    <phoneticPr fontId="134" type="noConversion"/>
  </si>
  <si>
    <t>全家便利店</t>
    <phoneticPr fontId="134" type="noConversion"/>
  </si>
  <si>
    <t>滩羊铺子</t>
    <phoneticPr fontId="134" type="noConversion"/>
  </si>
  <si>
    <t>参道</t>
    <phoneticPr fontId="134" type="noConversion"/>
  </si>
  <si>
    <t>manner</t>
    <phoneticPr fontId="134" type="noConversion"/>
  </si>
  <si>
    <t>B1</t>
    <phoneticPr fontId="134" type="noConversion"/>
  </si>
  <si>
    <t>员餐</t>
    <phoneticPr fontId="134" type="noConversion"/>
  </si>
  <si>
    <t>德瑞奥</t>
    <phoneticPr fontId="134" type="noConversion"/>
  </si>
  <si>
    <r>
      <rPr>
        <b/>
        <sz val="10"/>
        <rFont val="宋体"/>
        <family val="3"/>
        <charset val="134"/>
      </rPr>
      <t>总租赁面积</t>
    </r>
    <phoneticPr fontId="134" type="noConversion"/>
  </si>
  <si>
    <r>
      <rPr>
        <b/>
        <sz val="10"/>
        <color theme="0"/>
        <rFont val="宋体"/>
        <family val="3"/>
        <charset val="134"/>
      </rPr>
      <t>状态</t>
    </r>
  </si>
  <si>
    <r>
      <rPr>
        <b/>
        <sz val="10"/>
        <color theme="0"/>
        <rFont val="宋体"/>
        <family val="3"/>
        <charset val="134"/>
      </rPr>
      <t>平米</t>
    </r>
  </si>
  <si>
    <r>
      <rPr>
        <b/>
        <sz val="10"/>
        <color theme="0"/>
        <rFont val="宋体"/>
        <family val="3"/>
        <charset val="134"/>
      </rPr>
      <t>比率</t>
    </r>
  </si>
  <si>
    <r>
      <rPr>
        <b/>
        <sz val="10"/>
        <color theme="0"/>
        <rFont val="宋体"/>
        <family val="3"/>
        <charset val="134"/>
      </rPr>
      <t>总计</t>
    </r>
  </si>
  <si>
    <t>租约预警租户</t>
    <phoneticPr fontId="134" type="noConversion"/>
  </si>
  <si>
    <t>直线</t>
    <phoneticPr fontId="4" type="noConversion"/>
  </si>
  <si>
    <t>观察</t>
    <phoneticPr fontId="4" type="noConversion"/>
  </si>
  <si>
    <t>正常</t>
  </si>
  <si>
    <t>20-30</t>
  </si>
  <si>
    <t>七通</t>
  </si>
  <si>
    <t>30-40</t>
  </si>
  <si>
    <t>德胜国际中心</t>
  </si>
  <si>
    <t>较好</t>
    <phoneticPr fontId="41" type="noConversion"/>
  </si>
  <si>
    <t>较好</t>
    <phoneticPr fontId="41" type="noConversion"/>
  </si>
  <si>
    <t>七通</t>
    <phoneticPr fontId="25" type="noConversion"/>
  </si>
  <si>
    <t>一般</t>
  </si>
  <si>
    <t>一般</t>
    <phoneticPr fontId="25" type="noConversion"/>
  </si>
  <si>
    <t>酒店</t>
    <phoneticPr fontId="32" type="noConversion"/>
  </si>
  <si>
    <t>地下占比</t>
    <phoneticPr fontId="32" type="noConversion"/>
  </si>
  <si>
    <r>
      <rPr>
        <sz val="10"/>
        <color indexed="8"/>
        <rFont val="宋体"/>
        <family val="3"/>
        <charset val="134"/>
      </rPr>
      <t>我们</t>
    </r>
    <r>
      <rPr>
        <sz val="10"/>
        <color indexed="8"/>
        <rFont val="Arial"/>
        <family val="2"/>
      </rPr>
      <t>2017</t>
    </r>
    <r>
      <rPr>
        <sz val="10"/>
        <color indexed="8"/>
        <rFont val="宋体"/>
        <family val="3"/>
        <charset val="134"/>
      </rPr>
      <t>年是</t>
    </r>
    <r>
      <rPr>
        <sz val="10"/>
        <color indexed="8"/>
        <rFont val="Arial"/>
        <family val="2"/>
      </rPr>
      <t>100%</t>
    </r>
    <r>
      <rPr>
        <sz val="10"/>
        <color indexed="8"/>
        <rFont val="宋体"/>
        <family val="3"/>
        <charset val="134"/>
      </rPr>
      <t>股权收购的项目公司，之后没有变动</t>
    </r>
    <phoneticPr fontId="9" type="noConversion"/>
  </si>
  <si>
    <r>
      <rPr>
        <sz val="10"/>
        <color indexed="8"/>
        <rFont val="宋体"/>
        <family val="3"/>
        <charset val="134"/>
      </rPr>
      <t>改造完成是</t>
    </r>
    <r>
      <rPr>
        <sz val="10"/>
        <color indexed="8"/>
        <rFont val="Arial"/>
        <family val="2"/>
      </rPr>
      <t>2018</t>
    </r>
    <r>
      <rPr>
        <sz val="10"/>
        <color indexed="8"/>
        <rFont val="宋体"/>
        <family val="3"/>
        <charset val="134"/>
      </rPr>
      <t>年底</t>
    </r>
    <phoneticPr fontId="9" type="noConversion"/>
  </si>
  <si>
    <r>
      <rPr>
        <sz val="10"/>
        <color indexed="8"/>
        <rFont val="宋体"/>
        <family val="3"/>
        <charset val="134"/>
      </rPr>
      <t>咱们收购是</t>
    </r>
    <r>
      <rPr>
        <sz val="10"/>
        <color indexed="8"/>
        <rFont val="Arial"/>
        <family val="2"/>
      </rPr>
      <t>18.3</t>
    </r>
    <r>
      <rPr>
        <sz val="10"/>
        <color indexed="8"/>
        <rFont val="宋体"/>
        <family val="3"/>
        <charset val="134"/>
      </rPr>
      <t>亿，装修改造一起近</t>
    </r>
    <r>
      <rPr>
        <sz val="10"/>
        <color indexed="8"/>
        <rFont val="Arial"/>
        <family val="2"/>
      </rPr>
      <t>3</t>
    </r>
    <r>
      <rPr>
        <sz val="10"/>
        <color indexed="8"/>
        <rFont val="宋体"/>
        <family val="3"/>
        <charset val="134"/>
      </rPr>
      <t>亿</t>
    </r>
    <phoneticPr fontId="9" type="noConversion"/>
  </si>
  <si>
    <t>比较法-办公</t>
  </si>
  <si>
    <t>项目模式</t>
  </si>
  <si>
    <t>售价</t>
  </si>
  <si>
    <t>10-20</t>
    <phoneticPr fontId="32" type="noConversion"/>
  </si>
  <si>
    <t>情况4</t>
  </si>
  <si>
    <t>转让取得</t>
  </si>
  <si>
    <t>非个人房产</t>
  </si>
  <si>
    <r>
      <rPr>
        <b/>
        <sz val="10"/>
        <rFont val="宋体"/>
        <family val="3"/>
        <charset val="134"/>
      </rPr>
      <t>价值时点</t>
    </r>
  </si>
  <si>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</si>
  <si>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</si>
  <si>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</si>
  <si>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计算方法</t>
    </r>
  </si>
  <si>
    <r>
      <rPr>
        <b/>
        <sz val="10"/>
        <rFont val="宋体"/>
        <family val="3"/>
        <charset val="134"/>
      </rPr>
      <t>税（费）率</t>
    </r>
  </si>
  <si>
    <r>
      <rPr>
        <sz val="10"/>
        <rFont val="宋体"/>
        <family val="3"/>
        <charset val="134"/>
      </rPr>
      <t>小写</t>
    </r>
  </si>
  <si>
    <r>
      <rPr>
        <sz val="10"/>
        <rFont val="宋体"/>
        <family val="3"/>
        <charset val="134"/>
      </rPr>
      <t>大写</t>
    </r>
  </si>
  <si>
    <r>
      <rPr>
        <b/>
        <sz val="10"/>
        <rFont val="宋体"/>
        <family val="3"/>
        <charset val="134"/>
      </rPr>
      <t>评估总值</t>
    </r>
    <phoneticPr fontId="9" type="noConversion"/>
  </si>
  <si>
    <r>
      <rPr>
        <b/>
        <sz val="10"/>
        <rFont val="宋体"/>
        <family val="3"/>
        <charset val="134"/>
      </rPr>
      <t>金额（万元）</t>
    </r>
    <phoneticPr fontId="9" type="noConversion"/>
  </si>
  <si>
    <r>
      <rPr>
        <sz val="10"/>
        <rFont val="宋体"/>
        <family val="3"/>
        <charset val="134"/>
      </rPr>
      <t>增值税及附加</t>
    </r>
    <phoneticPr fontId="9" type="noConversion"/>
  </si>
  <si>
    <r>
      <rPr>
        <sz val="10"/>
        <rFont val="宋体"/>
        <family val="3"/>
        <charset val="134"/>
      </rPr>
      <t>印花税</t>
    </r>
    <phoneticPr fontId="9" type="noConversion"/>
  </si>
  <si>
    <r>
      <rPr>
        <sz val="10"/>
        <rFont val="宋体"/>
        <family val="3"/>
        <charset val="134"/>
      </rPr>
      <t>土地增值税</t>
    </r>
    <phoneticPr fontId="9" type="noConversion"/>
  </si>
  <si>
    <r>
      <rPr>
        <sz val="10"/>
        <rFont val="宋体"/>
        <family val="3"/>
        <charset val="134"/>
      </rPr>
      <t>合计</t>
    </r>
    <phoneticPr fontId="9" type="noConversion"/>
  </si>
  <si>
    <r>
      <rPr>
        <sz val="10"/>
        <rFont val="宋体"/>
        <family val="3"/>
        <charset val="134"/>
      </rPr>
      <t>抵押净值</t>
    </r>
    <phoneticPr fontId="9" type="noConversion"/>
  </si>
  <si>
    <r>
      <rPr>
        <sz val="10"/>
        <rFont val="宋体"/>
        <family val="3"/>
        <charset val="134"/>
      </rPr>
      <t>抵押净值单价</t>
    </r>
    <phoneticPr fontId="9" type="noConversion"/>
  </si>
  <si>
    <t>10-15</t>
    <phoneticPr fontId="32" type="noConversion"/>
  </si>
  <si>
    <t>15-20</t>
    <phoneticPr fontId="32" type="noConversion"/>
  </si>
  <si>
    <t>20-25</t>
    <phoneticPr fontId="32" type="noConversion"/>
  </si>
  <si>
    <t>25-30</t>
    <phoneticPr fontId="32" type="noConversion"/>
  </si>
  <si>
    <r>
      <rPr>
        <sz val="10"/>
        <color theme="9" tint="-0.249977111117893"/>
        <rFont val="宋体"/>
        <family val="3"/>
        <charset val="134"/>
      </rPr>
      <t>朝阳区东四环北路</t>
    </r>
    <r>
      <rPr>
        <sz val="10"/>
        <color theme="9" tint="-0.249977111117893"/>
        <rFont val="Arial"/>
        <family val="2"/>
      </rPr>
      <t>2</t>
    </r>
    <r>
      <rPr>
        <sz val="10"/>
        <color theme="9" tint="-0.249977111117893"/>
        <rFont val="宋体"/>
        <family val="3"/>
        <charset val="134"/>
      </rPr>
      <t>号</t>
    </r>
    <phoneticPr fontId="7" type="noConversion"/>
  </si>
  <si>
    <t>买卖合同</t>
  </si>
  <si>
    <t>2016年5月1日前购买</t>
  </si>
  <si>
    <t>北京新资物业管理有限公司</t>
    <phoneticPr fontId="7" type="noConversion"/>
  </si>
  <si>
    <t>序号</t>
  </si>
  <si>
    <t>项目名称</t>
  </si>
  <si>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</si>
  <si>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</si>
  <si>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</si>
  <si>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</si>
  <si>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</si>
  <si>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</si>
  <si>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</si>
  <si>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</si>
  <si>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</si>
  <si>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</si>
  <si>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</si>
  <si>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</si>
  <si>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</si>
  <si>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</si>
  <si>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</si>
  <si>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</si>
  <si>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</si>
  <si>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</si>
  <si>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</si>
  <si>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</si>
  <si>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丰台区卢沟桥乡，项目四至：至骆驼湾东路，南抵凤凰嘴北路，西达卫强路，北到骆驼湾南路。</t>
  </si>
  <si>
    <t>丰台区</t>
  </si>
  <si>
    <t>丽泽</t>
  </si>
  <si>
    <t>通用地产</t>
  </si>
  <si>
    <t>中国教育出版传媒集团</t>
  </si>
  <si>
    <t xml:space="preserve">7-16层办公；项目总建设用地2.5万平方米，总建筑面积31.7万平方米，分为E-08地块（A座、B座）和E-09地块（C座、D座）。 </t>
  </si>
  <si>
    <t>2021年</t>
  </si>
  <si>
    <t>方恒时尚中心1#B1-F4</t>
  </si>
  <si>
    <t>海淀区北三环西路，大钟寺地铁站西北三百米处</t>
  </si>
  <si>
    <t>海淀区</t>
  </si>
  <si>
    <t>北三环</t>
  </si>
  <si>
    <t>方恒集团</t>
  </si>
  <si>
    <t>商业、写字楼</t>
  </si>
  <si>
    <t>今日头条</t>
  </si>
  <si>
    <t>方恒时尚中心土地面积：23427.26㎡，总建面90044.5㎡。分为ABCD四栋；另有156个车位，单价49万/个</t>
  </si>
  <si>
    <t>2019年</t>
  </si>
  <si>
    <t>财富港（河汇商务中心）B02#办公楼</t>
  </si>
  <si>
    <t>通州运河核心区</t>
  </si>
  <si>
    <t>通州区</t>
  </si>
  <si>
    <t>通州</t>
  </si>
  <si>
    <t>富华/世茂</t>
  </si>
  <si>
    <t>地下1层地上2层</t>
  </si>
  <si>
    <t xml:space="preserve">长安运河（长安源）16#商务办公楼  </t>
  </si>
  <si>
    <t>富华</t>
  </si>
  <si>
    <t>商务办公、其他附属设施用房、设备用房:地下1层地上3层</t>
  </si>
  <si>
    <t>2020年</t>
  </si>
  <si>
    <t>中关村集成电路设计园5#</t>
  </si>
  <si>
    <t>海淀区海淀北部整体开发范围中关村永丰产业基地</t>
  </si>
  <si>
    <t>永丰</t>
  </si>
  <si>
    <t>中发展、首创</t>
  </si>
  <si>
    <t>内资</t>
  </si>
  <si>
    <t>地上5层，3个单元</t>
  </si>
  <si>
    <t>卷石天地A座部分</t>
  </si>
  <si>
    <t>朝阳区望京西路甲50号1号楼12-18层办公用房及-1、-3层地下车库</t>
  </si>
  <si>
    <t>朝阳区</t>
  </si>
  <si>
    <t>望京</t>
  </si>
  <si>
    <t>大千智拓科技发展</t>
  </si>
  <si>
    <t>办公、地下车库</t>
  </si>
  <si>
    <t>北京数据在线国际供应链管理股份有限公司</t>
  </si>
  <si>
    <t>土地使用权终止日期为 2054年4月16日；有出租</t>
  </si>
  <si>
    <t>2006年</t>
  </si>
  <si>
    <t>拍卖</t>
  </si>
  <si>
    <t>中关村东路1号院8号楼「启迪科技大厦」D座办公、地下车库</t>
  </si>
  <si>
    <t>中关村</t>
  </si>
  <si>
    <t>火炬创新科技发展</t>
  </si>
  <si>
    <t>首开、金茂、高和资本</t>
  </si>
  <si>
    <t>2021-Q1</t>
  </si>
  <si>
    <t>2053/12/9；有出租</t>
  </si>
  <si>
    <t>2005年</t>
  </si>
  <si>
    <t>合景泰富中心A座</t>
  </si>
  <si>
    <t>通州城市副中心运河CBD核心区滨河中路北段西侧</t>
  </si>
  <si>
    <t>合景</t>
  </si>
  <si>
    <t>办公、商业、地下车库</t>
  </si>
  <si>
    <t>农行</t>
  </si>
  <si>
    <t>地下为72个车位，合计32.85万/个车位</t>
  </si>
  <si>
    <t>北京钻石大厦</t>
  </si>
  <si>
    <t>海淀区中关村软件园</t>
  </si>
  <si>
    <t>上地</t>
  </si>
  <si>
    <t>远洋</t>
  </si>
  <si>
    <t>安狮资产（ACR asset）</t>
  </si>
  <si>
    <t>地上3层，地下一层，可出租面积18053.40平方米，车位数地下76个地上98个；终止日期2055年</t>
  </si>
  <si>
    <t>紫光科技园21#楼</t>
  </si>
  <si>
    <t>通州区永顺镇商通大道5号院</t>
  </si>
  <si>
    <t>通州商务园</t>
  </si>
  <si>
    <t>_</t>
  </si>
  <si>
    <t>地上3层，地下一层</t>
  </si>
  <si>
    <t>声讯控股</t>
  </si>
  <si>
    <t>地上3-10层，地上1层</t>
  </si>
  <si>
    <t>SK大厦</t>
  </si>
  <si>
    <t>朝阳区建国门外大街甲6号A、B座地上1-35层办公用房及地下车库房地产</t>
  </si>
  <si>
    <t>CBD</t>
  </si>
  <si>
    <t>SK集团</t>
  </si>
  <si>
    <t>和谐健康保险股份有限公司</t>
  </si>
  <si>
    <t>地上1-35层，另有298个车位；土地终止日期：2053年3月28日</t>
  </si>
  <si>
    <t>信威大厦</t>
  </si>
  <si>
    <t>北京市海淀区东北旺西路8号7号楼【地上三层、地下一层</t>
  </si>
  <si>
    <t>北京成君东方科技有限公司</t>
  </si>
  <si>
    <t>中科讯飞互联（北京）信息科技有限公司</t>
  </si>
  <si>
    <t>2004年</t>
  </si>
  <si>
    <t>万科翠湖国际办公1号楼</t>
  </si>
  <si>
    <t>海淀区万科翠湖国际南区0062地块1号楼负2至601</t>
  </si>
  <si>
    <t>万科集团</t>
  </si>
  <si>
    <t>地上6层地下2层，地下为库房；地上单价39429元/平方米，地下库房9576元/平方米</t>
  </si>
  <si>
    <t>中国兵器大厦1-3层</t>
  </si>
  <si>
    <t>海淀区紫竹院路69号1-3层裙房</t>
  </si>
  <si>
    <t>紫竹桥</t>
  </si>
  <si>
    <t>-</t>
  </si>
  <si>
    <t>综合</t>
  </si>
  <si>
    <t>恒通集团</t>
  </si>
  <si>
    <t>F1:830.13平方米，F2：1400.75平方米，F3：2038.81㎡；土地使用年限到2053年8月18日</t>
  </si>
  <si>
    <t>西城区德胜门外大街77号</t>
  </si>
  <si>
    <t>西城区</t>
  </si>
  <si>
    <t>德外</t>
  </si>
  <si>
    <t>金融街</t>
  </si>
  <si>
    <t>商业、办公</t>
  </si>
  <si>
    <t>2021-Q2</t>
  </si>
  <si>
    <t>股权转让，另有约6794平方米的车位用房；土地使用权到办公2054-8-29</t>
  </si>
  <si>
    <t>2008年</t>
  </si>
  <si>
    <t>天银大厦</t>
  </si>
  <si>
    <t>西城区复兴门南大街2号</t>
  </si>
  <si>
    <t>市发改委</t>
  </si>
  <si>
    <t>工行</t>
  </si>
  <si>
    <t>2020-Q1</t>
  </si>
  <si>
    <t>交易时补的出让50年,租赁转收购</t>
  </si>
  <si>
    <t xml:space="preserve"> 世茂工三</t>
  </si>
  <si>
    <t>朝阳区工人体育场北路13号院3号楼及5幢（世茂百货）</t>
  </si>
  <si>
    <t>三里屯</t>
  </si>
  <si>
    <t>乐视集团</t>
  </si>
  <si>
    <t>商业、库房、地下车库</t>
  </si>
  <si>
    <t>北京卓睿物业管理有限公司（中植）</t>
  </si>
  <si>
    <t>估价对象所在的世茂·工三项目位于朝阳区三里屯，紧邻使馆区、朝外商务区、燕莎商圈和CBD等黄金区域，总占地面积近4万平方米，总建筑面积约21.2万平方米，为商业、办公综合体，于2011年6月建成。</t>
  </si>
  <si>
    <t>新城国际项目自持物业</t>
  </si>
  <si>
    <t>朝阳区朝阳门外大街6号院</t>
  </si>
  <si>
    <t>万通发展</t>
  </si>
  <si>
    <t>商业及车库</t>
  </si>
  <si>
    <t>融汇嘉恒（中植）</t>
  </si>
  <si>
    <t>2021年Q2</t>
  </si>
  <si>
    <t>股权交易，包括建筑面积约22,716平方米的地上物业及地下负一及负二层259个带产权车位。</t>
  </si>
  <si>
    <t>清华同方科技大厦20层</t>
  </si>
  <si>
    <t>海淀区王庄路1号院2号楼20层房产</t>
  </si>
  <si>
    <t>五道口</t>
  </si>
  <si>
    <t>北京科诺伟业科技股份</t>
  </si>
  <si>
    <t>北京果儿科技</t>
  </si>
  <si>
    <t>26（-3），土地使用权终止日期为 2060 年11 月 26 日</t>
  </si>
  <si>
    <t>2003年</t>
  </si>
  <si>
    <t>首开幸福广场B座-耀莱中心</t>
  </si>
  <si>
    <t>朝阳区幸福二村40号楼40-2（-1-7层），东直门外新东路(国宾大道)西侧,（加拿大使馆向南200米）</t>
  </si>
  <si>
    <t>东直门</t>
  </si>
  <si>
    <t>个人</t>
  </si>
  <si>
    <t>天津光传腾越置业有限公司</t>
  </si>
  <si>
    <t>所在楼栋建筑层数地上7层，地下3层,购买部分位于地下1层，地上7层， 地上1层1477.66平方米，地上2层732.22平方米，地上3层724.57平方米，地上4层701.01平方米，地上5层1387.08平方米，地上6层1436.19平方米，地上7层1231.58平方米，2009年1.43亿买入</t>
  </si>
  <si>
    <t>2009年</t>
  </si>
  <si>
    <t xml:space="preserve">中国国际科技会展中心1号楼2层B201-207 </t>
  </si>
  <si>
    <t>朝阳区裕民路12号1号楼2层B201-207</t>
  </si>
  <si>
    <t>马甸</t>
  </si>
  <si>
    <t>玖桥投资</t>
  </si>
  <si>
    <t>有租赁，租期至2027年8月1日到期</t>
  </si>
  <si>
    <t>2002年</t>
  </si>
  <si>
    <t>睿铂大厦（长安九里南侧）T1</t>
  </si>
  <si>
    <t>石景山区古城南街东侧</t>
  </si>
  <si>
    <t>石景山区</t>
  </si>
  <si>
    <t>石景山</t>
  </si>
  <si>
    <t>电建/华润</t>
  </si>
  <si>
    <t>2021年H2</t>
  </si>
  <si>
    <t>地上21层，地下4层，493个车位，地下商业5150.72平方米</t>
  </si>
  <si>
    <t>约2022年</t>
  </si>
  <si>
    <t>乐融大厦</t>
  </si>
  <si>
    <t>朝阳区姚家园路105号3号楼1-14层不动产</t>
  </si>
  <si>
    <t>东四环</t>
  </si>
  <si>
    <t>北京宏城鑫泰置业有限公司</t>
  </si>
  <si>
    <t>写字楼</t>
  </si>
  <si>
    <t>北京衡盈物业管理有限公司</t>
  </si>
  <si>
    <t>1、2层商业、3-14层办公，其中：办公用</t>
  </si>
  <si>
    <t>银谷大厦1708</t>
  </si>
  <si>
    <t>海淀区北四环西路9号17层1708</t>
  </si>
  <si>
    <t>各付各税</t>
  </si>
  <si>
    <t>2000年</t>
  </si>
  <si>
    <t>丰台金茂广场1#楼</t>
  </si>
  <si>
    <t xml:space="preserve"> 丰台区西南四环总部基地核心区丰台万达广场东侧400米  </t>
  </si>
  <si>
    <t>南四环</t>
  </si>
  <si>
    <t>金茂集团</t>
  </si>
  <si>
    <t>办公、商业</t>
  </si>
  <si>
    <t>1号楼地上1-21层，地下1层商业（1763.2平方米）及15个车位（541.02平方米）</t>
  </si>
  <si>
    <t>朝阳区东三环北路乙2号1幢</t>
  </si>
  <si>
    <t>三元桥</t>
  </si>
  <si>
    <t>北京厚朴蕴德投资管理合伙企业（有限合伙），由北京万科企业有限公司持股99.99%</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</si>
  <si>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</si>
  <si>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</si>
  <si>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</si>
  <si>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</si>
  <si>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</si>
  <si>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金方商贸大厦在建工程</t>
  </si>
  <si>
    <t>丰台区南方庄68号；四至为：东至方庄68号项目用地及方庄南路、南至现状道路、西至润都大厦项目用地、北至方安苑小区项目用地</t>
  </si>
  <si>
    <t>方庄</t>
  </si>
  <si>
    <t>浩搏基业</t>
  </si>
  <si>
    <t>商业酒店、办公、地下车库</t>
  </si>
  <si>
    <t>鹰腾大厦（长安九里（睿铂大厦T1塔楼）</t>
  </si>
  <si>
    <t>石景山区古城南街东侧;长安街西延线南侧400米</t>
  </si>
  <si>
    <t>华润</t>
  </si>
  <si>
    <t>华鹰润金</t>
  </si>
  <si>
    <t>地下面积有地下商业5150.72平方米，地下车位493个</t>
  </si>
  <si>
    <t>北京来福士中心</t>
  </si>
  <si>
    <t>北京市东直门立交桥西南角、东二环的核心商圈地带，北临东直门内大街，东面东二环路</t>
  </si>
  <si>
    <t>东城区</t>
  </si>
  <si>
    <t>东二环</t>
  </si>
  <si>
    <t>凯德</t>
  </si>
  <si>
    <t>平安人寿保险</t>
  </si>
  <si>
    <t>CBRE:股权资产包交易；凯德保留30%股权，商业到期日2046年，综合2056年；总建筑面积为143865平方米（含人防），由41015平方米写字楼、39959平方米零售商场（地上五层地下一层）、29969平方米高档公寓、38200平方米附属用房和停车场组成。总建筑面积110996平方米（不含车库及人防）</t>
  </si>
  <si>
    <t>光熙门独栋</t>
  </si>
  <si>
    <t>朝阳区北三环东路12号危房翻建项目，太阳宫桥的西南角，光熙门地铁站西侧</t>
  </si>
  <si>
    <t>瀚德</t>
  </si>
  <si>
    <t>旧改项目，拆改新建，土地终止日期2062-8-21</t>
  </si>
  <si>
    <t>兆泰国际中心CDE座</t>
  </si>
  <si>
    <t>朝阳区朝阳门南大街东侧雅宝路危改二期A区</t>
  </si>
  <si>
    <t>兆泰</t>
  </si>
  <si>
    <t>普洛斯资本</t>
  </si>
  <si>
    <t>土地终止日2054-8-30</t>
  </si>
  <si>
    <t>三里屯北15楼</t>
  </si>
  <si>
    <t>朝阳区三里屯北15楼，东、北两临三里屯太古里商场，南临虹馆，西临三里屯一中</t>
  </si>
  <si>
    <t>北京名仕利源经贸有限公司</t>
  </si>
  <si>
    <t>北京安业物业管理有限公司</t>
  </si>
  <si>
    <t>土地使用年限至2048年12月31日；一层建筑面积451.57平方米，二层建筑面积441.29平方米，三层建筑面积470.85平方米，四层建筑面积470.85平方米，租人北京安业商贸有限公司，租赁期限至2022年1月31日。每个月租金为364069元。</t>
  </si>
  <si>
    <t>2010年（约）</t>
  </si>
  <si>
    <t>马家堡65号院3号楼</t>
  </si>
  <si>
    <t>北京市丰台区马家堡65号院3号楼房地产</t>
  </si>
  <si>
    <t>马家堡</t>
  </si>
  <si>
    <t>北京润尚泽科技有限公司</t>
  </si>
  <si>
    <t>4层（-1至3层），（-1 层库房建筑面积622.87㎡，1层金融配套建筑面积132.88+491.7㎡；2层办公建筑面积133.54+193.38+133.54+167.48+61.57㎡；3层办公3建筑面积193.38+133.54+133.54+167.48+61.57㎡）；终止日期：2041年3月31日</t>
  </si>
  <si>
    <t>通用时代中心D座</t>
  </si>
  <si>
    <t>中国农业发展银行</t>
  </si>
  <si>
    <t>E-09地块（C座、D座）</t>
  </si>
  <si>
    <t>永丰科技企业加速器三区4号楼</t>
  </si>
  <si>
    <t>海淀区丰秀中路3号院4号楼-1至5层101房产</t>
  </si>
  <si>
    <t>恒泰艾普集团</t>
  </si>
  <si>
    <t>工业用地/厂房</t>
  </si>
  <si>
    <t>北京中关村永丰产业基地发展有限公司</t>
  </si>
  <si>
    <t>土地终止日期2057年6月29日；现状为办公用房</t>
  </si>
  <si>
    <t>2013年</t>
  </si>
  <si>
    <t>北京one底商</t>
  </si>
  <si>
    <t>通州区中山大街59号院1号楼1层102号</t>
  </si>
  <si>
    <t>北京xx房地产开发有限责任公司</t>
  </si>
  <si>
    <t>北京启通泽运科技有限公司</t>
  </si>
  <si>
    <t>有租赁，租期自2016.10.15至2026.10.14止</t>
  </si>
  <si>
    <t>通州富力中心1号楼1-5层部分</t>
  </si>
  <si>
    <t>通州区玉带河东街1号</t>
  </si>
  <si>
    <t>富力集团</t>
  </si>
  <si>
    <t>通州富力中心(富力运河十号)项目位于通州运河核心区，M6号线地铁上盖（玉带河大街站），滨临京杭大运河及运河奥体公园，是目前运河核心区内唯一滨水且地铁上盖的物业。</t>
  </si>
  <si>
    <t>电子城IT产业园301#101-102</t>
  </si>
  <si>
    <t>朝阳区酒仙桥9号院 电子城</t>
  </si>
  <si>
    <t>酒仙桥</t>
  </si>
  <si>
    <t>电子城股份</t>
  </si>
  <si>
    <t>办公（工业）</t>
  </si>
  <si>
    <t>内资科技公司</t>
  </si>
  <si>
    <t>地上7层</t>
  </si>
  <si>
    <t>电子城IT产业园302#-102</t>
  </si>
  <si>
    <t>电子城IT产业园302#-101</t>
  </si>
  <si>
    <t>电子城IT产业园105#-101</t>
  </si>
  <si>
    <t>2016年</t>
  </si>
  <si>
    <t>电子城IT产业园106#-101</t>
  </si>
  <si>
    <t>荣联科技</t>
  </si>
  <si>
    <t>地上7层；已入住，后补网签</t>
  </si>
  <si>
    <t>2017年</t>
  </si>
  <si>
    <t>电子城IT产业园101#-101</t>
  </si>
  <si>
    <t>地上7层地下2层</t>
  </si>
  <si>
    <t>电子城IT产业园205#-101</t>
  </si>
  <si>
    <t>地上7层地下1层</t>
  </si>
  <si>
    <t>电子城国际电子总部8-10#</t>
  </si>
  <si>
    <t>朝阳区酒仙桥路6号院</t>
  </si>
  <si>
    <t>科研办公</t>
  </si>
  <si>
    <t>地上14层</t>
  </si>
  <si>
    <t>电子城IT产业园303#101-102</t>
  </si>
  <si>
    <t>电子城IT产业园102#</t>
  </si>
  <si>
    <t>原鸿炜亿家酒店北苑店</t>
  </si>
  <si>
    <t>朝阳区北苑路28号院1号楼1至12层101</t>
  </si>
  <si>
    <t>北苑</t>
  </si>
  <si>
    <t>商业（酒店）</t>
  </si>
  <si>
    <t>2020伊始科技</t>
  </si>
  <si>
    <t>各付各税，所欠缴的物业、水、电、气、供暖费等由买受人承担；屋内部分格局已变，现状拍卖，过户政策请自行了解。存在两份租赁合同，租赁止期均为2024年11月30日；合同的承租方均已支付租金至2021年11月30日</t>
  </si>
  <si>
    <t>西坝河东里20号2幢1层、4幢1层等不动产</t>
  </si>
  <si>
    <t>朝阳区西坝河东里20号2幢1层、4幢1层、8幢1层、9幢1层、10幢1至3层、13幢1层、14幢1层不动产</t>
  </si>
  <si>
    <t>北京青安养老服务有限公司</t>
  </si>
  <si>
    <t>办公（土地为仓储用地)</t>
  </si>
  <si>
    <t>北京海岸天际房地产开发有限公司</t>
  </si>
  <si>
    <t>现状用途为办公，土地用途为仓储用地，使用期限至2058年9月17日。房屋建筑面积20号2幢1层为183.1平方米，4幢1层为454.7平方米，8幢1层为385.5平方米，9幢1层为303.3平方米，10幢1至3层为1101.9平方米，13幢1层为272.7平方米，14幢1层为83.6平方米，上述房屋建筑面积合计为2784.8平方米。上述房屋除北京市朝阳区西坝河东里20号10幢1至3层，所在层数为1-3层,总层数3层以外其余所在层数均为1层,总层数1层。除北京市朝阳区西坝河东里20号13幢1层为砖木结构外其余均为混合结构</t>
  </si>
  <si>
    <t>1993年</t>
  </si>
  <si>
    <t>北京辉盛阁国际公寓</t>
  </si>
  <si>
    <t>朝阳区金桐西路12号（远洋光华国际中心D座）</t>
  </si>
  <si>
    <t>国贸</t>
  </si>
  <si>
    <t>星狮地产有限公司</t>
  </si>
  <si>
    <t>服务式公寓</t>
  </si>
  <si>
    <t xml:space="preserve">铁狮门/上海福庭企业管理有限公司 </t>
  </si>
  <si>
    <t>F2商业1694.37平方米；地下商业1877.16平方米，地下产权车位10个</t>
  </si>
  <si>
    <t>2007年</t>
  </si>
  <si>
    <t>华熙live</t>
  </si>
  <si>
    <t>海淀区复兴路69号华熙五棵松文化体育中心项目</t>
  </si>
  <si>
    <t>五棵松</t>
  </si>
  <si>
    <t>华熙</t>
  </si>
  <si>
    <t>旭辉集团</t>
  </si>
  <si>
    <t>华熙Live项目。该项目共建有1幢体育场馆（推广名为「凯迪拉克中心」）、1幢篮球公园（推广名为「Hi-Park」）、1幢地下商业街（推广名为「Hi-Up」）、1幢地下车库，正在建设3幢综合楼、1幢冰上运动中心（推广名为「Hi-Ice」），总建筑规模约为27万平方米，宗地面积为286,843.40平方米。含人防19925.21平方米；2055年08月28日止；股权交易</t>
  </si>
  <si>
    <t>万观云城中心（万科天空之城）A\B商业楼</t>
  </si>
  <si>
    <t xml:space="preserve">昌平区回龙观镇欧德宝国际汽车商贸中心b区 </t>
  </si>
  <si>
    <t>昌平区</t>
  </si>
  <si>
    <t>回龙观</t>
  </si>
  <si>
    <t>万科</t>
  </si>
  <si>
    <t>地上1-7层</t>
  </si>
  <si>
    <t>万观云城中心（万科天空之城）C商业楼</t>
  </si>
  <si>
    <t>点石商务公园108、109、1201-1204、F13-F14</t>
  </si>
  <si>
    <t xml:space="preserve">石景山区八大处路45号 </t>
  </si>
  <si>
    <t>新洲集团</t>
  </si>
  <si>
    <t>办公（产业立项）</t>
  </si>
  <si>
    <t>地上1层、地上12-14层</t>
  </si>
  <si>
    <t>兴创公园总部3#楼</t>
  </si>
  <si>
    <t>大兴义和庄地铁站西南侧500米，念坛公园北侧</t>
  </si>
  <si>
    <t>大兴区</t>
  </si>
  <si>
    <t>兴创集团</t>
  </si>
  <si>
    <t>地下1层，地上1-5层，企业独栋；车位19-20万/个</t>
  </si>
  <si>
    <t>怀柔区南大街14号楼（苏宁易购）</t>
  </si>
  <si>
    <t>怀柔区南大街14号楼1至3层；温泽楼牌坊南侧,</t>
  </si>
  <si>
    <t>怀柔区</t>
  </si>
  <si>
    <t>怀柔</t>
  </si>
  <si>
    <t>北京万尚嘉豪商贸有限公司</t>
  </si>
  <si>
    <t>北京同岳巨昌科技有限公司</t>
  </si>
  <si>
    <t>约建于21世纪初期，房屋总层数3层，所在层数1-3层，南北向；土地终止日期：2036年10月15日</t>
  </si>
  <si>
    <t xml:space="preserve">1997年 </t>
  </si>
  <si>
    <t>北工大软件园</t>
  </si>
  <si>
    <t>北京经济技术开发区地盛北街1号6号楼1至3层</t>
  </si>
  <si>
    <t>北京经济技术开发区</t>
  </si>
  <si>
    <t>亦庄</t>
  </si>
  <si>
    <t>单位</t>
  </si>
  <si>
    <t>工业（办公）</t>
  </si>
  <si>
    <t>北京德泽六禾半导体科技有限公司</t>
  </si>
  <si>
    <t>工业；宗地使用期限；2002年3月13日起2052年3月12日止；层高（室内净高）：1 层：2.68-3.82 米；2 层：2.81-3.82 米；3 层</t>
  </si>
  <si>
    <t>2.81-3.86 米</t>
  </si>
  <si>
    <r>
      <t>土地终止日期为办公2054年03月06日、地下车库2054年03月06日。建筑总面积为16239.52平方米，其中B1建筑总面积为4288.48平方米，F1建筑面积为4253.83平方米，F2建筑面积为3745.82平方米，F3建筑面积为3951.39平方米；</t>
    </r>
    <r>
      <rPr>
        <sz val="10"/>
        <color rgb="FFFF0000"/>
        <rFont val="宋体"/>
        <family val="3"/>
        <charset val="134"/>
      </rPr>
      <t>该房屋土地出让金总额为235.4482万元人民币及拍卖成交前一天（含该天）之前所欠的土地使用税、房产税均由被执行人承担。其他费用（包括可能存在的物业费、水、电、燃气等欠费）由买受人承担。</t>
    </r>
  </si>
  <si>
    <t>融汇国际大厦B2-F1层</t>
  </si>
  <si>
    <t>海淀区东升乡高梁桥路慈献寺14号B2-F1层</t>
  </si>
  <si>
    <t>西直门</t>
  </si>
  <si>
    <t>钰苑房地产</t>
  </si>
  <si>
    <t>地下1层436.71平方米，地下2层1902.86平方米（如按地下2层25%，地下1层40%，折合地上1层10万/平方米）</t>
  </si>
  <si>
    <t>2018年</t>
  </si>
  <si>
    <t>天通东苑二区19号楼-1至2层14-101号</t>
  </si>
  <si>
    <t>天通苑</t>
  </si>
  <si>
    <t>地上、地下面积不详</t>
  </si>
  <si>
    <t>2001年</t>
  </si>
  <si>
    <t>世贸百地下4层、地上4层，钢混结构。其中，地下1层至地上4层为百货，地下2层至地下4层为地下车位和库房，共有停车位737个，库房49间。百货部分地下1层层高6米，地上1层层高5.7米，地上2至3层层高5.2米，地上3层层高4.9米；地下库房5984.13平方米，地下车库27210.73平方米，地上全部为商业；地下商业7948.93平方米，2016.6取得29.72亿元</t>
  </si>
  <si>
    <t>灵通观5号院内3号楼（万豪国际公寓院内）</t>
  </si>
  <si>
    <t>朝阳区灵通观5号院内3号楼</t>
  </si>
  <si>
    <t>建国门</t>
  </si>
  <si>
    <t>德润房地产开发集团</t>
  </si>
  <si>
    <t>配套用房（房屋性质：商品房）</t>
  </si>
  <si>
    <t>北京禧唐物业管理有限公司</t>
  </si>
  <si>
    <t>有租户（租赁期限为2026年，双方对此有争议，有诉讼风险）；1-4层；此楼内的中控室、消防设备间不在房本内，竞买者若使用上述设施需与被执行人协商；此楼内水、电、暖、燃气、消防与万豪国际公寓小区共用，竞买者若使用上述设施需与被执行人协商</t>
  </si>
  <si>
    <t>北京通州希尔顿酒店</t>
  </si>
  <si>
    <t>通州区新华东街289号院2号楼</t>
  </si>
  <si>
    <t>绿城中国</t>
  </si>
  <si>
    <t>北投集团</t>
  </si>
  <si>
    <t>2021年Q3</t>
  </si>
  <si>
    <t>酒店位于-2至4层、14-29层，共有313间客房，于2020年年中开业</t>
  </si>
  <si>
    <t>通州爱琴海购物公园</t>
  </si>
  <si>
    <t>通州区新华东街289号院1号楼</t>
  </si>
  <si>
    <t>北投集团、爱琴海</t>
  </si>
  <si>
    <t>2020年Q2</t>
  </si>
  <si>
    <t>B4-F6,毛坯；B3-B4有370个车位(16416.1平方米)</t>
  </si>
  <si>
    <t>德为科技园</t>
  </si>
  <si>
    <t>北京经济技术开发区科创十三街12号院7号楼1至6层101</t>
  </si>
  <si>
    <t>某某显示科技股份</t>
  </si>
  <si>
    <t>厂房（办公）</t>
  </si>
  <si>
    <t>中机日精轴承</t>
  </si>
  <si>
    <t>2021年3月15日起至2023年3月14日止，2021年3月15日起至2022年3月14日，每月租金为人民币：208752元整，2022年3月15日起至2023年3月14日，每月租金为人民币：230163元整，土地终止日期：2060年8月23日</t>
  </si>
  <si>
    <t>2014年</t>
  </si>
  <si>
    <t>赵全营兆丰工业开发中心</t>
  </si>
  <si>
    <t>北京赵全营兆丰工业开发中心的土地及地上建筑物、附属物</t>
  </si>
  <si>
    <t>顺义区</t>
  </si>
  <si>
    <t>顺义</t>
  </si>
  <si>
    <t>北京百富华商贸有限公司</t>
  </si>
  <si>
    <t>北京嘉信意达科技</t>
  </si>
  <si>
    <t>使用权终止日期为2059年1月19日</t>
  </si>
  <si>
    <t>北京经济技术开发区科创十三街12号院2号楼1至5层101</t>
  </si>
  <si>
    <t>德为显示科技</t>
  </si>
  <si>
    <t>忠信意达科技</t>
  </si>
  <si>
    <t>有租赁；土地终止日期：2060年8月23日</t>
  </si>
  <si>
    <t>里外里公寓底商</t>
  </si>
  <si>
    <t>朝阳区望京西园429号楼1层101</t>
  </si>
  <si>
    <t>昌和东方建筑工程施工</t>
  </si>
  <si>
    <t>妙颜盛世商贸</t>
  </si>
  <si>
    <t>现状101和102合租，实际使用人为北京银行望京支行;土地终止日期2041年8月14日；净高约3.3米</t>
  </si>
  <si>
    <t>朝阳区望京西园429号楼2层202</t>
  </si>
  <si>
    <t>北京鼎鑫建业科贸</t>
  </si>
  <si>
    <t>安广无忧</t>
  </si>
  <si>
    <t>利泽西园一区102号楼</t>
  </si>
  <si>
    <t>朝阳区利泽西园102号楼1-3层及地下室</t>
  </si>
  <si>
    <t>沣沃科技</t>
  </si>
  <si>
    <t>其中-1层建筑面积427.56平方米，1层建筑面积427.56平方米，2层建筑面积471.77平方米，3层建筑面积471.77平方米；2043年2月9日；净高3米</t>
  </si>
  <si>
    <t>兴创国际中心1号楼</t>
  </si>
  <si>
    <t>大兴区欣雅街15号院1号楼</t>
  </si>
  <si>
    <t>大兴</t>
  </si>
  <si>
    <t>地上17层</t>
  </si>
  <si>
    <t>约2019年</t>
  </si>
  <si>
    <t>兴创国际中心2号楼</t>
  </si>
  <si>
    <t>大兴区欣雅街15号院2号楼</t>
  </si>
  <si>
    <t>地上19层</t>
  </si>
  <si>
    <t>约2018年</t>
  </si>
  <si>
    <t>房建筑面积为 17092.50 平方米，配套商业建筑面积为 2528.26 平方米</t>
  </si>
  <si>
    <t>朝外soho底商0158A</t>
  </si>
  <si>
    <t>朝阳区朝外大街乙6号1层0158A</t>
  </si>
  <si>
    <t>朝外</t>
  </si>
  <si>
    <t>土地终止日期2044-9-2；原购置单价61730元/平方米（2006-7）</t>
  </si>
  <si>
    <t>中关村西三旗(金隅)科技园T5研发设计楼地上1-7层</t>
  </si>
  <si>
    <t>海淀区东北角，地块四至南与东升科技园二期接壤，北到西三旗建材城路，东临昌平区东小口镇，西靠北新建材国家机关保障性住宅用地</t>
  </si>
  <si>
    <t>西三旗</t>
  </si>
  <si>
    <t>金隅</t>
  </si>
  <si>
    <t>研发办公</t>
  </si>
  <si>
    <t>拓尔思</t>
  </si>
  <si>
    <t>科技园项目一期总建筑面积约22.5万平方米，包含6栋研发楼和2层地下车库（地下共3层，一二期地下相互联通），还设有下沉广场和商铺，敞亮的下沉广场将所有建筑连在了一起。</t>
  </si>
  <si>
    <t>2023年</t>
  </si>
  <si>
    <t>佑安府3#楼（亚林时代中心）</t>
  </si>
  <si>
    <t>丰台区玉泉营桥东北侧</t>
  </si>
  <si>
    <t>山东省土地发展集团</t>
  </si>
  <si>
    <t>地下1层至地上4层</t>
  </si>
  <si>
    <t>佑安府4#楼（亚林时代中心）</t>
  </si>
  <si>
    <t>佑安府5#楼（亚林时代中心）</t>
  </si>
  <si>
    <t>光彩国际公寓部分底商</t>
  </si>
  <si>
    <t>朝阳区工体场西路18号</t>
  </si>
  <si>
    <t>泛海</t>
  </si>
  <si>
    <t>地下1层至地上3层（F1：1231.74平方米，F2：3470.76平方米，F3：963.48平方米）</t>
  </si>
  <si>
    <t>金地旭辉江山风华S2#</t>
  </si>
  <si>
    <t>大兴区黄村镇三合庄村</t>
  </si>
  <si>
    <t>黄村</t>
  </si>
  <si>
    <t>金地+旭辉</t>
  </si>
  <si>
    <t>地上1-3层</t>
  </si>
  <si>
    <t>金地旭辉江山风华s1#</t>
  </si>
  <si>
    <t>地上2-13层</t>
  </si>
  <si>
    <t>兴创公园总部2#楼</t>
  </si>
  <si>
    <t>地下1层，地上1-5层，企业独栋；</t>
  </si>
  <si>
    <t>中冀斯巴鲁大厦部分</t>
  </si>
  <si>
    <t>北京经济技术开发区荣华南路16号</t>
  </si>
  <si>
    <t>中冀兴旺</t>
  </si>
  <si>
    <t>宝利嘉普</t>
  </si>
  <si>
    <t>本次评估房房屋建筑总面积：37,002.48㎡。原房产总面积60,872.84㎡（房屋所有权证所列面积），其中：2007年-2008年作为商品房将23,870.36㎡以均价6,500元/㎡出售给购买者（均为个人，不存在关联交易情况）；剩余部分为37,002.48㎡用途为酒店及孵化器综合服务楼，主要用于出租。土地使用面积13,027.60㎡，土地性质商业用地，土地终止使用日期：2045年8月1日。</t>
  </si>
  <si>
    <t>股权转让</t>
  </si>
  <si>
    <t>双惠苑甲4号楼1至2层07</t>
  </si>
  <si>
    <t>朝阳区双惠苑甲4号楼1至2层07</t>
  </si>
  <si>
    <t>F1:33.14平方米，F2：236.29平方米，有租约至2027年，租金每年38万（含物业费）</t>
  </si>
  <si>
    <t>玫瑰坊商业中心半部分</t>
  </si>
  <si>
    <t>通州区临河里33号楼（-1-101、1-111、1-112、1-119、3-301、4-401、4-402、4-403、5-501、5-502、5-503）</t>
  </si>
  <si>
    <t>君合百年</t>
  </si>
  <si>
    <t>北京通华业科技发展有限公司</t>
  </si>
  <si>
    <t>整个项目28和33号楼一起，地下2层-5层，总建面积34036.24平方米，交易范围为其中一部分，B1-f5，F1：224.07（出租做卸货区）;F3：4157.21(影院);F4:1007.63（办公）;F5：581.89（办公）;土地终止日期2044/8/30，</t>
  </si>
  <si>
    <r>
      <t>现状外立面已基本完工，内部毛坯，目前停工多年，超建面积4306.8平方米，行政罚款已缴纳，评估报告显示应补缴土地出让金</t>
    </r>
    <r>
      <rPr>
        <sz val="10"/>
        <color rgb="FFFF0000"/>
        <rFont val="宋体"/>
        <family val="3"/>
        <charset val="134"/>
      </rPr>
      <t>4,978.57万元</t>
    </r>
    <r>
      <rPr>
        <sz val="10"/>
        <rFont val="宋体"/>
        <family val="3"/>
        <charset val="134"/>
      </rPr>
      <t>，实际以政府土地部门实际收取为准，由买受人承担。土地终止日期商业：2044年3月31日；办公：2054年3月31日；地下车库：2054年3月31日</t>
    </r>
  </si>
  <si>
    <t>丹耀大厦西北角一层部分</t>
  </si>
  <si>
    <t>东城区王府井大街176号丹耀大厦西北角一层</t>
  </si>
  <si>
    <t>王府井</t>
  </si>
  <si>
    <t>懋隆首饰中心</t>
  </si>
  <si>
    <r>
      <t>使用面积184.78平方米，丹耀大厦建成于1999年6月，懋隆首饰中心系被回迁安置到丹耀大厦上述房屋建筑物，</t>
    </r>
    <r>
      <rPr>
        <sz val="10"/>
        <color rgb="FFFF0000"/>
        <rFont val="宋体"/>
        <family val="3"/>
        <charset val="134"/>
      </rPr>
      <t>由于历史原因懋隆首饰中心尚未能取得丹耀大厦一层房屋建筑物所有权；</t>
    </r>
  </si>
  <si>
    <t>1999年</t>
  </si>
  <si>
    <r>
      <t>基于丹耀大厦客观情况，</t>
    </r>
    <r>
      <rPr>
        <b/>
        <sz val="10"/>
        <color rgb="FFFF0000"/>
        <rFont val="宋体"/>
        <family val="3"/>
        <charset val="134"/>
      </rPr>
      <t>上述房屋建筑物不能独立使用，现由懋隆首饰中心委托北京丹耀商业管理有限公司统一出租管理</t>
    </r>
    <r>
      <rPr>
        <sz val="10"/>
        <rFont val="宋体"/>
        <family val="3"/>
        <charset val="134"/>
      </rPr>
      <t>，承租人将租金直接支付给懋隆首饰中心，租期至2021年5月17日；</t>
    </r>
  </si>
  <si>
    <t>密云区云腾路6号土地及地上1幢1层、2幢1层、3幢1层、4号楼1至3层房屋</t>
  </si>
  <si>
    <t>密云区云腾路6号</t>
  </si>
  <si>
    <t>密云区</t>
  </si>
  <si>
    <t>密云</t>
  </si>
  <si>
    <t>北京洪福环宇餐饮有限公司</t>
  </si>
  <si>
    <t>北京奥捷凯工贸有限公司</t>
  </si>
  <si>
    <t>04年取得土地</t>
  </si>
  <si>
    <t>昌平科技园星火街6号5幢等2幢房地产及其所占用的国有出让土地使用权</t>
  </si>
  <si>
    <t>昌平区昌平科技园星火街6号5幢等2幢房地产及其所占用的国有出让土地使用权</t>
  </si>
  <si>
    <t>昌平</t>
  </si>
  <si>
    <t>北京昌科晨宇科技企业孵化器有限公司</t>
  </si>
  <si>
    <t>北京兴昌高科技发展有限公司</t>
  </si>
  <si>
    <t>土地使用权终止日期为2043年6月3日</t>
  </si>
  <si>
    <t>大兴区黄村镇民营工业区新源大街11号1-5幢及两宗土地使用权</t>
  </si>
  <si>
    <t>北京市益华机械电子技</t>
  </si>
  <si>
    <t>北京恒源丰泽投资有限公司</t>
  </si>
  <si>
    <t>土地使用权终止日期为2049年12月27日</t>
  </si>
  <si>
    <t>术研究所</t>
  </si>
  <si>
    <t>大兴区物顺路14号院1号楼1至2层101</t>
  </si>
  <si>
    <t>大兴区物顺路14号院，其四至为东邻合创空间总部大厦、南邻北京半亩园快餐食品有限公司配送中心，西邻天下城科技产业园，北临物顺路</t>
  </si>
  <si>
    <t>京冶鸿喜（北京）风电技术开发有限公司</t>
  </si>
  <si>
    <t>北京仟草中药饮片有限公司</t>
  </si>
  <si>
    <t>国有建设用地使用权至2060年3月10日止</t>
  </si>
  <si>
    <t>延庆区康庄镇东南康西路北侧1幢-1至3层全部工业用房房地产和土地使用权</t>
  </si>
  <si>
    <t>延庆区康庄镇东南康西路北侧1幢-1至3层全部工业</t>
  </si>
  <si>
    <t>延庆区</t>
  </si>
  <si>
    <t>延庆</t>
  </si>
  <si>
    <t>北京方鸿智盛生物科技有限公司</t>
  </si>
  <si>
    <t>北京中农服农业科技股份有限公司</t>
  </si>
  <si>
    <t>土地使用权终止日期为 2052 年 12 月 11 日</t>
  </si>
  <si>
    <t>通州区经济开发区东区D-16部分地块国有土地使用权及地上物</t>
  </si>
  <si>
    <t>通州区经济开发区东区D-16部分地块</t>
  </si>
  <si>
    <t>京奥坤投资</t>
  </si>
  <si>
    <t>北京泰和瑞祥科技发展有限公司</t>
  </si>
  <si>
    <t>2061年11月1日止；委估房屋建筑物尚未办理不动产权证，房屋建筑面积共22954.20平方米，房屋结构为钢混。委估房屋始建于2018至2019年间，目前仅完成主体框架结构浇筑，尚未进行墙体砌筑，目前处于闲置状态</t>
  </si>
  <si>
    <t>平谷区马坊镇海天大道南侧1-4幢</t>
  </si>
  <si>
    <t>平谷区马坊镇海天大道南侧1-4幢工业用途；宗地四至为东至马坊镇西大街村村界、南距金马南街约50米、西距密三路约100米、北至马坊镇西大街村村界。</t>
  </si>
  <si>
    <t>平谷区</t>
  </si>
  <si>
    <t>平谷</t>
  </si>
  <si>
    <t>谷丰行农业科技发展有限公司</t>
  </si>
  <si>
    <t>北京乐嘉保洁有限公司</t>
  </si>
  <si>
    <t>土地使用权终止日期为2051年1月16日；(证载建筑面积为3712.65平方米,其中已灭失配电室建筑面积为51.17平方米)</t>
  </si>
  <si>
    <t>顺义区李桥镇庄子营村东仓储用地</t>
  </si>
  <si>
    <t>顺义区李桥镇庄子营村东仓储用地；四至：东西北至李桥镇庄子营村地，南至北京仓运汽车销售有限公司；大致位置：在通顺路和龙塘路交叉口的东南角；中煤艺校的北侧</t>
  </si>
  <si>
    <t>宝驰汽车</t>
  </si>
  <si>
    <t>北京弘成伟业商贸有限公司</t>
  </si>
  <si>
    <r>
      <t>土地使用权终止日期为2054年12月25日，目前为土地；三通一平；</t>
    </r>
    <r>
      <rPr>
        <b/>
        <sz val="10"/>
        <color rgb="FFFF0000"/>
        <rFont val="宋体"/>
        <family val="3"/>
        <charset val="134"/>
      </rPr>
      <t>2009年规划调整为单身职工公寓；截止2021年3月31日，尚欠罚金31.6万元</t>
    </r>
  </si>
  <si>
    <t>宋庄镇邢各庄村的土地及地上建筑物</t>
  </si>
  <si>
    <t>通州区宋庄镇邢各庄村的土地及地上建筑物，宋庄镇工业园区内，北至旺都二街，南至旺都三街；</t>
  </si>
  <si>
    <t>房屋建筑无产权证，07年取得土地证（估计06年起始计算土地出让日期）</t>
  </si>
  <si>
    <t>大兴区瀛海镇南宫村两宗工业用地</t>
  </si>
  <si>
    <t>北京中唐远达信息科技有限公司</t>
  </si>
  <si>
    <t>土地终止日期2051/7/10，五通一平，设定容积率1.0</t>
  </si>
  <si>
    <t>房山区窦店镇03街区N区国有土地使用权及在建工程</t>
  </si>
  <si>
    <t>房山区窦店镇03街区N区国有土地使用权及在建工程；四至：东临交道西街，南临广茂路，西临光环新网房山数据中心，北临美</t>
  </si>
  <si>
    <t>房山区</t>
  </si>
  <si>
    <t>房山</t>
  </si>
  <si>
    <t>北京博曼迪汽车科技有限公司</t>
  </si>
  <si>
    <t>北京阳诚物业管理有限公司</t>
  </si>
  <si>
    <t>环境试验车间、生产车间、检测实验楼、包装车间及倒班房、门卫 2 已建成并投入使用，科技开发楼主体结构已完工，并完成外部装饰工程及部分设备安装，处于停工状态，门卫 1、换热站未施工；土地终止日期2064年5月8日</t>
  </si>
  <si>
    <t>景创新科技园</t>
  </si>
  <si>
    <t>于家务村南3号院房地产</t>
  </si>
  <si>
    <t>通州区于家务村南3号院房地产；东：通州区于家务村集体用地南：神仙西路；西：张采路；北：企业用地</t>
  </si>
  <si>
    <t>北京天道利源科技</t>
  </si>
  <si>
    <t>北京百铸星工程建设管理有限公司</t>
  </si>
  <si>
    <t>土地终止日期2050年6月5日</t>
  </si>
  <si>
    <t>有限责任公司</t>
  </si>
  <si>
    <t>中关村西三旗(金隅)科技园T4研发设计楼地上1-7层</t>
  </si>
  <si>
    <t>信安世纪股份</t>
  </si>
  <si>
    <t>西井路甲1号的门卫室、办公楼2-5层、厂房及地上附属物</t>
  </si>
  <si>
    <t>石景山区西井路甲1号</t>
  </si>
  <si>
    <t>北京东标电气有限公司</t>
  </si>
  <si>
    <t>河南资产管理有限公司</t>
  </si>
  <si>
    <t>土地终止日期2056年5月25日；2幢2-3层为车间、4层为办公、5层为宿舍；3幢为厂房（5261.53平方米），1幢为门房</t>
  </si>
  <si>
    <t>新地北京通州物流园</t>
  </si>
  <si>
    <t>通州区永乐工业区，Y462与工业区路交叉口东南；恒业六街和恒业七街中间；永开西一路</t>
  </si>
  <si>
    <t>lasalle(领盛投资管理)</t>
  </si>
  <si>
    <t>工业（物流）</t>
  </si>
  <si>
    <t>普洛斯</t>
  </si>
  <si>
    <t>双层， 净高9.5 m</t>
  </si>
  <si>
    <t>顺义金马物流园（普洛斯）</t>
  </si>
  <si>
    <t>顺义金马工业园</t>
  </si>
  <si>
    <t>工业（冷+干库）</t>
  </si>
  <si>
    <t>美库</t>
  </si>
  <si>
    <t>规划面积29000平方米，现状9460.8平方米</t>
  </si>
  <si>
    <t>海淀区海淀大街35号，海淀大街和苏州街交叉口的东北角</t>
  </si>
  <si>
    <t>瀚同资本</t>
  </si>
  <si>
    <t>商业终止日期2039-12-27；拟酒改办</t>
  </si>
  <si>
    <t>新世界燕京大厦</t>
  </si>
  <si>
    <t>东城区磁器口大街136号「新世界燕京大厦」商业、车位、库房</t>
  </si>
  <si>
    <t>磁器口</t>
  </si>
  <si>
    <t>新世界地产</t>
  </si>
  <si>
    <t>浩云科技</t>
  </si>
  <si>
    <t>拟改造为数据中心，地下3层地上4层；土地终止日期商业2044-8-30止，车位及库房2054年8月30</t>
  </si>
  <si>
    <t>上地·元中心项目（中关村移动智能服务创新园项目）</t>
  </si>
  <si>
    <t>海淀区西二旗中路29号院，南邻小米移动互联网产业园，西距中关村软件园1公里</t>
  </si>
  <si>
    <t>首农</t>
  </si>
  <si>
    <t>快手</t>
  </si>
  <si>
    <t>2017年开工；另租赁项目建筑面积11.95万平方米（首三年每月租金2280万元）</t>
  </si>
  <si>
    <t>峯汇国际中心1#楼</t>
  </si>
  <si>
    <t>昌平区北清路1号（京藏高速北清路出口辛庄桥西北角）</t>
  </si>
  <si>
    <t>北清路</t>
  </si>
  <si>
    <t>珠江</t>
  </si>
  <si>
    <t>海科融通</t>
  </si>
  <si>
    <t>1-3层立项商业8172.18平方米；地上10层</t>
  </si>
  <si>
    <t>顺平路南侧回民营村的一宗国有出让土地使用权及地上建筑物</t>
  </si>
  <si>
    <t>顺义区顺平路南侧回民营村</t>
  </si>
  <si>
    <t>北京新兴思达工贸有限公司</t>
  </si>
  <si>
    <t>北京富源盛达房地产开发有限公司（富力地产）</t>
  </si>
  <si>
    <t>土地使用权终止日期为2057年2月11日；宗地规划总建筑面积为43,601.68平方米，规划容积率0.8</t>
  </si>
  <si>
    <t>中关村科技园区大兴生物医药产业基地项目0503-004地块国有土地使用权及在建工程</t>
  </si>
  <si>
    <t>大兴区中关村科技园区大兴生物医药产业基地项目0503-004地块；四至：东至北京生物医药产业基地发展有限公司，西至代征绿地，北至天河西路，南至北京市科学技术研究院</t>
  </si>
  <si>
    <t>生物医药基地</t>
  </si>
  <si>
    <t>北京华臣联合医药科技有限公司</t>
  </si>
  <si>
    <t>北京联东金湖投资管理有限公司</t>
  </si>
  <si>
    <t>土地终止日期2061-6-9，在建停工</t>
  </si>
  <si>
    <t>密云经济开发区恒通路1号涉案两宗土地及工业开发区恒通路1号院1号楼等5幢</t>
  </si>
  <si>
    <t>沧州哈珀生物科技有限公司</t>
  </si>
  <si>
    <t>2051年7月26日止，有租赁</t>
  </si>
  <si>
    <t>文化都汇1#B</t>
  </si>
  <si>
    <t>大兴区金苑路23号，新媒体产业基地广阳大街与金苑路交汇处</t>
  </si>
  <si>
    <t>北京文投</t>
  </si>
  <si>
    <t>地上3-10层，其中3层部分</t>
  </si>
  <si>
    <t>文化都汇1#A</t>
  </si>
  <si>
    <t>地上3-10层</t>
  </si>
  <si>
    <t>办公</t>
    <phoneticPr fontId="32" type="noConversion"/>
  </si>
  <si>
    <t>建成</t>
    <phoneticPr fontId="32" type="noConversion"/>
  </si>
  <si>
    <t>通用时代中心A座7-16层</t>
    <phoneticPr fontId="134" type="noConversion"/>
  </si>
  <si>
    <t>启迪科技大厦D座</t>
    <phoneticPr fontId="134" type="noConversion"/>
  </si>
  <si>
    <t>大新华航空大厦(现更名为中信保诚大厦)</t>
    <phoneticPr fontId="134" type="noConversion"/>
  </si>
  <si>
    <t>精装修</t>
    <phoneticPr fontId="32" type="noConversion"/>
  </si>
  <si>
    <t>普通装修</t>
  </si>
  <si>
    <t>普通装修</t>
    <phoneticPr fontId="32" type="noConversion"/>
  </si>
  <si>
    <t>简单装修</t>
    <phoneticPr fontId="32" type="noConversion"/>
  </si>
  <si>
    <t>毛坯</t>
    <phoneticPr fontId="32" type="noConversion"/>
  </si>
  <si>
    <t>大地花园酒店</t>
    <phoneticPr fontId="134" type="noConversion"/>
  </si>
  <si>
    <t>精装修</t>
  </si>
  <si>
    <t>中关村集成电路设计园2#办公、商业楼2单元3-10层及1-106</t>
    <phoneticPr fontId="134" type="noConversion"/>
  </si>
  <si>
    <t>四元桥</t>
    <phoneticPr fontId="4" type="noConversion"/>
  </si>
  <si>
    <t>商业繁华度</t>
    <phoneticPr fontId="32" type="noConversion"/>
  </si>
  <si>
    <t>一般</t>
    <phoneticPr fontId="32" type="noConversion"/>
  </si>
  <si>
    <t>较好</t>
    <phoneticPr fontId="32" type="noConversion"/>
  </si>
  <si>
    <t>一般</t>
    <phoneticPr fontId="25" type="noConversion"/>
  </si>
  <si>
    <t>一般</t>
    <phoneticPr fontId="41" type="noConversion"/>
  </si>
  <si>
    <t>标准写字楼</t>
  </si>
  <si>
    <t>标准写字楼</t>
    <phoneticPr fontId="32" type="noConversion"/>
  </si>
  <si>
    <t>钢混</t>
    <phoneticPr fontId="32" type="noConversion"/>
  </si>
  <si>
    <t>精装修</t>
    <phoneticPr fontId="32" type="noConversion"/>
  </si>
  <si>
    <t>普通装修</t>
    <phoneticPr fontId="32" type="noConversion"/>
  </si>
  <si>
    <t>简单装修</t>
    <phoneticPr fontId="32" type="noConversion"/>
  </si>
  <si>
    <t>毛坯</t>
    <phoneticPr fontId="32" type="noConversion"/>
  </si>
  <si>
    <t>专业物业管理</t>
  </si>
  <si>
    <t>专业物业管理</t>
    <phoneticPr fontId="32" type="noConversion"/>
  </si>
  <si>
    <t>普通物业管理</t>
    <phoneticPr fontId="32" type="noConversion"/>
  </si>
  <si>
    <t>六通</t>
  </si>
  <si>
    <t>0-5</t>
    <phoneticPr fontId="32" type="noConversion"/>
  </si>
  <si>
    <t>5-10</t>
    <phoneticPr fontId="32" type="noConversion"/>
  </si>
  <si>
    <t>30-40</t>
    <phoneticPr fontId="32" type="noConversion"/>
  </si>
  <si>
    <t>现房</t>
  </si>
  <si>
    <t>项目局部</t>
  </si>
  <si>
    <t>吴薇</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</si>
  <si>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</si>
  <si>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</si>
  <si>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</si>
  <si>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</si>
  <si>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</si>
  <si>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</si>
  <si>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</si>
  <si>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</si>
  <si>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</si>
  <si>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</si>
  <si>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</si>
  <si>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</si>
  <si>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</si>
  <si>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</si>
  <si>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</si>
  <si>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</si>
  <si>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</si>
  <si>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</si>
  <si>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</si>
  <si>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</si>
  <si>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</si>
  <si>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</si>
  <si>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</si>
  <si>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</si>
  <si>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</si>
  <si>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</si>
  <si>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</si>
  <si>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</si>
  <si>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</si>
  <si>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</si>
  <si>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</si>
  <si>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</si>
  <si>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</si>
  <si>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</si>
  <si>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</si>
  <si>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</si>
  <si>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</si>
  <si>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</si>
  <si>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</si>
  <si>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</si>
  <si>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</si>
  <si>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</si>
  <si>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</si>
  <si>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</si>
  <si>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</si>
  <si>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</si>
  <si>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</si>
  <si>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</si>
  <si>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</si>
  <si>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</si>
  <si>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</si>
  <si>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</si>
  <si>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北京市朝阳区太阳宫乡0301-613地块B4综合性商业金融服务业用地</t>
  </si>
  <si>
    <t>京土储挂(朝)[2023]031号</t>
  </si>
  <si>
    <t xml:space="preserve"> 北京</t>
  </si>
  <si>
    <t xml:space="preserve"> 朝阳区</t>
  </si>
  <si>
    <t xml:space="preserve"> 太阳宫</t>
  </si>
  <si>
    <t xml:space="preserve"> 朝阳区太阳宫乡</t>
  </si>
  <si>
    <t xml:space="preserve"> 商业/办公用地</t>
  </si>
  <si>
    <t xml:space="preserve"> 挂牌</t>
  </si>
  <si>
    <t xml:space="preserve"> B4综合性商业金融服务业用地</t>
  </si>
  <si>
    <t xml:space="preserve">-- </t>
  </si>
  <si>
    <t xml:space="preserve"> -- </t>
  </si>
  <si>
    <t xml:space="preserve"> --</t>
  </si>
  <si>
    <t xml:space="preserve"> 京土储挂(朝)[2023]031号</t>
  </si>
  <si>
    <t xml:space="preserve"> 已成交</t>
  </si>
  <si>
    <t xml:space="preserve"> 北京懋源鸿竺房地产开发有限公司  </t>
  </si>
  <si>
    <t xml:space="preserve"> 北京懋源</t>
  </si>
  <si>
    <t xml:space="preserve"> 民营企业</t>
  </si>
  <si>
    <t>2023-07-09 15:00</t>
  </si>
  <si>
    <t xml:space="preserve"> 商业40年办公50年</t>
  </si>
  <si>
    <t>北京市海淀区西八里庄0711-652、640、641地块B4综合性商业金融服务业用地</t>
    <phoneticPr fontId="134" type="noConversion"/>
  </si>
  <si>
    <t>京土整储挂(海)[2020]042号</t>
  </si>
  <si>
    <t xml:space="preserve"> 海淀区</t>
  </si>
  <si>
    <t xml:space="preserve"> 定慧寺</t>
  </si>
  <si>
    <t xml:space="preserve"> 海淀区玲珑巷地区</t>
  </si>
  <si>
    <t xml:space="preserve"> 0711一652≤4.5,0711一640≤1.7,0711一641≤1.3</t>
  </si>
  <si>
    <t xml:space="preserve"> 0711一652≤60,0711一640≤18,0711一641≤9</t>
  </si>
  <si>
    <t xml:space="preserve"> 京土整储挂(海)[2020]042号</t>
  </si>
  <si>
    <t xml:space="preserve"> 中国电建地产集团有限公司  </t>
  </si>
  <si>
    <t xml:space="preserve"> 电建地产</t>
  </si>
  <si>
    <t xml:space="preserve"> 中央国有企业</t>
  </si>
  <si>
    <t>2020-12-01 15:00</t>
  </si>
  <si>
    <t xml:space="preserve"> 商业40年、办公50年</t>
  </si>
  <si>
    <t>北京市朝阳区朝阳站交通枢纽南侧建设用地一体化项目0313-5597、5598、5599地块B4综合性商业金融服务业用地</t>
  </si>
  <si>
    <t>京土储挂(朝)[2023]001号</t>
  </si>
  <si>
    <t xml:space="preserve"> 姚家园</t>
  </si>
  <si>
    <t xml:space="preserve"> 朝阳区东风乡</t>
  </si>
  <si>
    <t xml:space="preserve"> 京土储挂(朝)[2023]001号</t>
  </si>
  <si>
    <t xml:space="preserve"> 北京顺进商务咨询有限公司  </t>
  </si>
  <si>
    <t xml:space="preserve"> 华润置地</t>
  </si>
  <si>
    <t>2023-02-23 15:00</t>
  </si>
  <si>
    <t>北京市海淀区西北旺镇永丰产业基地(新)HD00-0403-004地块F3其他类多功能用地</t>
  </si>
  <si>
    <t>京土储挂(海)[2023]039号</t>
  </si>
  <si>
    <t xml:space="preserve"> 温泉</t>
  </si>
  <si>
    <t xml:space="preserve"> 海淀区西北旺镇永丰产业基地</t>
  </si>
  <si>
    <t xml:space="preserve"> F3其他类多功能用地</t>
  </si>
  <si>
    <t xml:space="preserve"> 京土储挂(海)[2023]039号</t>
  </si>
  <si>
    <t xml:space="preserve"> 北京泽御置业有限公司  </t>
  </si>
  <si>
    <t xml:space="preserve"> 北京市海淀区玉渊潭农工商总公司</t>
  </si>
  <si>
    <t>2023-08-03 15:00</t>
  </si>
  <si>
    <t>北京城市副中心0403街区FZX-0403-0146、0148地块F3 其他类多功能用地</t>
  </si>
  <si>
    <t>京土储挂(通)〔2023〕032号</t>
  </si>
  <si>
    <t xml:space="preserve"> 通州区</t>
  </si>
  <si>
    <t xml:space="preserve"> 北苑街道、玉桥街道</t>
  </si>
  <si>
    <t xml:space="preserve"> 城市副中心0403街区</t>
  </si>
  <si>
    <t xml:space="preserve"> 0146容积率3.82、0148容积率2.75</t>
  </si>
  <si>
    <t xml:space="preserve"> F3 其他类多功能用地</t>
  </si>
  <si>
    <t xml:space="preserve"> 0146限高60米,0148限高30米</t>
  </si>
  <si>
    <t xml:space="preserve"> 京土储挂(通)〔2023〕032号</t>
  </si>
  <si>
    <t xml:space="preserve"> 北京通州投资发展有限公司  </t>
  </si>
  <si>
    <t xml:space="preserve"> 北投集团</t>
  </si>
  <si>
    <t xml:space="preserve"> 地方国有企业</t>
  </si>
  <si>
    <t xml:space="preserve"> 居住70年、商业40年、办公50年</t>
  </si>
  <si>
    <t>北京市丰台区丽泽金融商务区FT00-0612-0016等地块F3其他类多功能用地、S32公交场站设施用地</t>
  </si>
  <si>
    <t>京土储挂(丰)[2023]014号</t>
  </si>
  <si>
    <t xml:space="preserve"> 丰台区</t>
  </si>
  <si>
    <t xml:space="preserve"> 菜户营、西罗园</t>
  </si>
  <si>
    <t xml:space="preserve"> 丰台区太平桥街道</t>
  </si>
  <si>
    <t xml:space="preserve"> F3其他类多功能用地、S32公交场站设施用地</t>
  </si>
  <si>
    <t xml:space="preserve"> 京土储挂(丰)[2023]014号</t>
  </si>
  <si>
    <t xml:space="preserve"> 北京金唐丽行科技服务有限责任公司 、北京金唐建投科技服务中心(有限合伙) 、北京丽控建投科技服务中心(有限合伙)  </t>
  </si>
  <si>
    <t xml:space="preserve"> 北京丽泽金融商务区控股有限公司,北京金唐丽行科技服务有限责任公司,北京建工</t>
  </si>
  <si>
    <t>2023-06-13 15:00</t>
  </si>
  <si>
    <t>北京市房山区窦店镇高端制造业基地06街区01地块FS00-DD06-0018、0019、0023、0024地块F3其他类多功能用地</t>
  </si>
  <si>
    <t>京土储挂(房)[2023]013号</t>
  </si>
  <si>
    <t xml:space="preserve"> 房山区</t>
  </si>
  <si>
    <t xml:space="preserve"> 窦店</t>
  </si>
  <si>
    <t xml:space="preserve"> 房山区窦店镇、良乡镇</t>
  </si>
  <si>
    <t xml:space="preserve"> fs00-dd06-0018、0019容积率1.6;0023、0024容积率2.5</t>
  </si>
  <si>
    <t xml:space="preserve"> 30、45</t>
  </si>
  <si>
    <t xml:space="preserve"> 京土储挂(房)[2023]013号</t>
  </si>
  <si>
    <t xml:space="preserve"> 北京京东方医院有限公司  </t>
  </si>
  <si>
    <t xml:space="preserve"> 京东方科技</t>
  </si>
  <si>
    <t>北京市通州区永顺镇0401街区 46号地块(西马庄收储) B4综合性商业金融服务业用地</t>
  </si>
  <si>
    <t>京土储挂(通)〔2023〕004号</t>
  </si>
  <si>
    <t xml:space="preserve"> 定福庄、管庄</t>
  </si>
  <si>
    <t xml:space="preserve"> 通州区永顺镇</t>
  </si>
  <si>
    <t xml:space="preserve"> ≤2.8</t>
  </si>
  <si>
    <t xml:space="preserve"> 京土储挂(通)〔2023〕004号</t>
  </si>
  <si>
    <t xml:space="preserve"> 北京易创通景信息科技有限公司  </t>
  </si>
  <si>
    <t xml:space="preserve"> 国韬科技文化发展（珠海）有限公司</t>
  </si>
  <si>
    <t xml:space="preserve"> 商业 40 年、办公 50 年</t>
  </si>
  <si>
    <t>大兴区西红门镇集体经营性建设用地2号地2-002A地块</t>
  </si>
  <si>
    <t>京规自集使挂(兴)[2023]002号</t>
  </si>
  <si>
    <t xml:space="preserve"> 大兴区</t>
  </si>
  <si>
    <t xml:space="preserve"> 西红门</t>
  </si>
  <si>
    <t xml:space="preserve"> 西红门镇</t>
  </si>
  <si>
    <t xml:space="preserve"> F81集体产业用地</t>
  </si>
  <si>
    <t xml:space="preserve"> 京规自集使挂(兴)[2023]002号</t>
  </si>
  <si>
    <t xml:space="preserve"> 电建智汇(北京)运营管理有限公司  </t>
  </si>
  <si>
    <t xml:space="preserve"> 中国电建集团贵阳勘测设计研究院有限公司,中国电建集团中南勘测设计研究院有限公司,中信股份,中国电建</t>
  </si>
  <si>
    <t xml:space="preserve"> 中央国有企业,中央国有企业</t>
  </si>
  <si>
    <t>北京大兴国际机场临空经济区DX12-0105-6103地块S5加油加气站(加氢站)用地</t>
  </si>
  <si>
    <t>京土储挂(兴临空)[2022]072号</t>
  </si>
  <si>
    <t xml:space="preserve"> 榆垡</t>
  </si>
  <si>
    <t xml:space="preserve"> 大兴区礼贤镇</t>
  </si>
  <si>
    <t xml:space="preserve"> ≤0.4</t>
  </si>
  <si>
    <t xml:space="preserve"> S5加油加气站(加氢站)用地</t>
  </si>
  <si>
    <t xml:space="preserve"> 京土储挂(兴临空)[2022]072号</t>
  </si>
  <si>
    <t xml:space="preserve"> 空气(北京)氢能科技有限公司  </t>
  </si>
  <si>
    <t>2023-01-19 15:00</t>
  </si>
  <si>
    <t xml:space="preserve"> 商业40年</t>
  </si>
  <si>
    <t>北京市平谷区兴谷新消费综合体项目商业地块PG00-0106-0106地块B1商业用地</t>
  </si>
  <si>
    <t>京土储挂(平)[2022]071号</t>
  </si>
  <si>
    <t xml:space="preserve"> 平谷区</t>
  </si>
  <si>
    <t xml:space="preserve"> 兴谷街道</t>
  </si>
  <si>
    <t xml:space="preserve"> 平谷区兴谷街道</t>
  </si>
  <si>
    <t xml:space="preserve"> B1商业用地</t>
  </si>
  <si>
    <t xml:space="preserve"> 京土储挂(平)[2022]071号</t>
  </si>
  <si>
    <t xml:space="preserve"> 北京市平谷区联扶实业管理有限公司  </t>
  </si>
  <si>
    <t>2023-01-09 15:00</t>
  </si>
  <si>
    <t>北京市石景山区中关村科技园石景山园北Ⅱ区西井地块土地一级开发项目1606-605地块B23研发设计用地</t>
  </si>
  <si>
    <t>京土储挂(石)[2022]070号</t>
  </si>
  <si>
    <t xml:space="preserve"> 石景山区</t>
  </si>
  <si>
    <t xml:space="preserve"> 苹果园、八角、金顶街</t>
  </si>
  <si>
    <t xml:space="preserve"> 石景山区苹果园地区</t>
  </si>
  <si>
    <t xml:space="preserve"> B23研发设计用地</t>
  </si>
  <si>
    <t xml:space="preserve"> 京土储挂(石)[2022]070号</t>
  </si>
  <si>
    <t xml:space="preserve"> 北京中关村工业互联网产业发展有限公司  </t>
  </si>
  <si>
    <t xml:space="preserve"> 中关村发展,北京市石景山区国有资本投资有限公司</t>
  </si>
  <si>
    <t xml:space="preserve"> 地方国有企业,地方国有企业</t>
  </si>
  <si>
    <t>2023-01-04 15:00</t>
  </si>
  <si>
    <t xml:space="preserve"> 50年</t>
  </si>
  <si>
    <t>北京市海淀区西北旺镇永丰产业基地(新)HD00-0403-009地块F3其他类多功能用地</t>
  </si>
  <si>
    <t>京土储挂(海)[2022]063号</t>
  </si>
  <si>
    <t xml:space="preserve"> 海淀区永丰产业基地</t>
  </si>
  <si>
    <t xml:space="preserve"> 京土储挂(海)[2022]063号</t>
  </si>
  <si>
    <t xml:space="preserve"> 北京永丰数字融汇科技有限责任公司  </t>
  </si>
  <si>
    <t xml:space="preserve"> 北京实创科技园</t>
  </si>
  <si>
    <t>2022-10-31 15:00</t>
  </si>
  <si>
    <t>北京市海淀区西北旺镇永丰产业基地(新)HD00-0403-001地块F3其他类多功能用地</t>
  </si>
  <si>
    <t>京土储挂(海)[2022]062号</t>
  </si>
  <si>
    <t xml:space="preserve"> 京土储挂(海)[2022]062号</t>
  </si>
  <si>
    <t xml:space="preserve"> 北京永丰数字先行科技有限责任公司  </t>
  </si>
  <si>
    <t>北京市丰台区丽泽金融商务区D-01地块B4综合性商业金融服务业用地</t>
  </si>
  <si>
    <t>京土储挂(丰)[2022]043号</t>
  </si>
  <si>
    <t xml:space="preserve"> ≤6.33</t>
  </si>
  <si>
    <t xml:space="preserve"> 京土储挂(丰)[2022]043号</t>
  </si>
  <si>
    <t xml:space="preserve"> 北京福榕置业有限公司  </t>
  </si>
  <si>
    <t xml:space="preserve"> 福建省国有资产管理,闽高速,福建投资</t>
  </si>
  <si>
    <t xml:space="preserve"> 地方国有企业,地方国有企业,地方国有企业</t>
  </si>
  <si>
    <t>2022-08-25 15:00</t>
  </si>
  <si>
    <t>北京市通州经济开发区西区南扩区 三、五、六期棚户区改造项目 FZX-1102-6002地块 F3其他类多功能用地</t>
  </si>
  <si>
    <t>京土储挂(通)〔2022〕041号</t>
  </si>
  <si>
    <t xml:space="preserve"> 张家湾</t>
  </si>
  <si>
    <t xml:space="preserve"> 通州区张家湾镇</t>
  </si>
  <si>
    <t xml:space="preserve"> ≤2.2</t>
  </si>
  <si>
    <t xml:space="preserve"> 京土储挂(通)〔2022〕041号</t>
  </si>
  <si>
    <t xml:space="preserve"> 北京未来科创建筑有限公司  </t>
  </si>
  <si>
    <t xml:space="preserve"> 北京未来科创建筑有限公司</t>
  </si>
  <si>
    <t>2022-08-23 15:00</t>
  </si>
  <si>
    <t>北京市通州经济开发区西区南扩区三、五、六期棚户区改造项目FZX-1102-6219地块F3其他类多功能用地</t>
  </si>
  <si>
    <t>京土储挂(通)〔2022〕042号</t>
  </si>
  <si>
    <t xml:space="preserve"> 京土储挂(通)〔2022〕042号</t>
  </si>
  <si>
    <t xml:space="preserve"> 北京市工程咨询有限公司  </t>
  </si>
  <si>
    <t>北京城市副中心1202街区FZX-1202-0001地块 F3其他类多功能用地</t>
  </si>
  <si>
    <t>京土储挂(通)〔2022〕040号</t>
  </si>
  <si>
    <t xml:space="preserve"> 梨园</t>
  </si>
  <si>
    <t xml:space="preserve"> 北京城市副中心12组团</t>
  </si>
  <si>
    <t xml:space="preserve"> 京土储挂(通)〔2022〕040号</t>
  </si>
  <si>
    <t xml:space="preserve"> 北京首旅城市副中心投资有限公司  </t>
  </si>
  <si>
    <t xml:space="preserve"> 北京首旅集团</t>
  </si>
  <si>
    <t>2022-07-19 15:00</t>
  </si>
  <si>
    <t xml:space="preserve"> 商业 40 年、 办公 50 年</t>
  </si>
  <si>
    <t>北京经济技术开发区亦庄新城0303街区C14C-3地块F3其他类多功能用地</t>
  </si>
  <si>
    <t>京土储挂(开)[2022]039号</t>
  </si>
  <si>
    <t xml:space="preserve"> 台湖</t>
  </si>
  <si>
    <t xml:space="preserve"> 北京经济技术开发区亦庄新城0303街区C14C-3地块</t>
  </si>
  <si>
    <t xml:space="preserve"> ≤5.0</t>
  </si>
  <si>
    <t xml:space="preserve"> ≤40</t>
  </si>
  <si>
    <t xml:space="preserve"> 京土储挂(开)[2022]039号</t>
  </si>
  <si>
    <t xml:space="preserve"> 北京京东昆岳科技产业创新发展有限公司  </t>
  </si>
  <si>
    <t xml:space="preserve"> 北京京东昆岳科技产业创新发展有限公司</t>
  </si>
  <si>
    <t>2022-06-23 15:00</t>
  </si>
  <si>
    <t xml:space="preserve"> 商业40 年、办公 50 年</t>
  </si>
  <si>
    <t>北京大兴国际机场临空经济区 DX12-0105-6006、6009 地块F3其他类多功能用地</t>
  </si>
  <si>
    <t>京土储挂(兴临空)[2022]020号</t>
  </si>
  <si>
    <t xml:space="preserve"> 礼贤</t>
  </si>
  <si>
    <t xml:space="preserve"> 京土储挂(兴临空)[2022]020号</t>
  </si>
  <si>
    <t xml:space="preserve"> 北京新航城建设实业发展有限公司  </t>
  </si>
  <si>
    <t xml:space="preserve"> 北京新航城</t>
  </si>
  <si>
    <t>2022-05-02 15:00</t>
  </si>
  <si>
    <t>北京大兴国际机场临空经济区(北京部分)0205街区DX09-0103-0205地块B4综合性商业金融服务业用地</t>
  </si>
  <si>
    <t>京土储挂(兴临空)[2022]019号</t>
  </si>
  <si>
    <t xml:space="preserve"> 大兴区榆垡镇</t>
  </si>
  <si>
    <t xml:space="preserve"> ≤45%</t>
  </si>
  <si>
    <t xml:space="preserve"> 24米</t>
  </si>
  <si>
    <t xml:space="preserve"> 京土储挂(兴临空)[2022]019号</t>
  </si>
  <si>
    <t xml:space="preserve"> 40年</t>
  </si>
  <si>
    <t>北京经济技术开发区亦庄新城0902街区JG01-07地块F3其他类多功能用地</t>
  </si>
  <si>
    <t>京土整储挂(开)[2021]099号</t>
  </si>
  <si>
    <t xml:space="preserve"> 旧宫</t>
  </si>
  <si>
    <t xml:space="preserve"> 北京经济技术开发区亦庄新城0902街区JG01-07</t>
  </si>
  <si>
    <t xml:space="preserve"> 京土整储挂(开)[2021]099号</t>
  </si>
  <si>
    <t xml:space="preserve"> 中国太平洋人寿保险股份有限公司  </t>
  </si>
  <si>
    <t xml:space="preserve"> 太平洋人寿</t>
  </si>
  <si>
    <t>北京市怀柔区怀北、雁栖镇HR00-0211-6031地块〔城市客厅B地块(北侧地块)〕F3其他类多功能用地(怀柔科学城核心区及周边土地一级开发项目)</t>
  </si>
  <si>
    <t>京土整储挂(怀)[2021]097号</t>
  </si>
  <si>
    <t xml:space="preserve"> 怀柔区</t>
  </si>
  <si>
    <t xml:space="preserve"> 怀北、怀柔</t>
  </si>
  <si>
    <t xml:space="preserve"> 怀柔区怀北镇、雁栖镇</t>
  </si>
  <si>
    <t xml:space="preserve"> 36米</t>
  </si>
  <si>
    <t xml:space="preserve"> 京土整储挂(怀)[2021]097号</t>
  </si>
  <si>
    <t xml:space="preserve"> 北京怀柔科学城城开三部开发建设有限公司  </t>
  </si>
  <si>
    <t>2022-01-19 15:00</t>
  </si>
  <si>
    <t>北京市怀柔区北房镇、怀北镇HR00-0211-6027、6028、6029、6030地块(城市客厅C地块)F3其他类多功能用地(怀柔科学城核心区及周边土地一级开发项目)</t>
  </si>
  <si>
    <t>京土整储挂(怀)[2021]098号</t>
  </si>
  <si>
    <t xml:space="preserve"> 30米</t>
  </si>
  <si>
    <t xml:space="preserve"> 京土整储挂(怀)[2021]098号</t>
  </si>
  <si>
    <t xml:space="preserve"> 北京怀柔科学城城开四部开发建设有限公司  </t>
  </si>
  <si>
    <t xml:space="preserve"> 怀柔科学城</t>
  </si>
  <si>
    <t>北京城市副中心0101街区FZX-0101-0902地块F3其他类多功能用地</t>
  </si>
  <si>
    <t>京土整储挂(通)[2021]096号</t>
  </si>
  <si>
    <t xml:space="preserve"> 潞城</t>
  </si>
  <si>
    <t xml:space="preserve"> 北京城市副中心01组团</t>
  </si>
  <si>
    <t xml:space="preserve"> 京土整储挂(通)[2021]096号</t>
  </si>
  <si>
    <t xml:space="preserve"> 华夏银行股份有限公司  </t>
  </si>
  <si>
    <t xml:space="preserve"> 商业40年,办公50年</t>
  </si>
  <si>
    <t>北京市大兴区黄村镇DX00-0201-6001地块B14旅馆用地</t>
  </si>
  <si>
    <t>京土整储挂(兴)[2021]089号</t>
  </si>
  <si>
    <t xml:space="preserve"> 林校路街道</t>
  </si>
  <si>
    <t xml:space="preserve"> 大兴区黄村镇</t>
  </si>
  <si>
    <t xml:space="preserve"> B14旅馆用地</t>
  </si>
  <si>
    <t xml:space="preserve">2021年第3批次 </t>
  </si>
  <si>
    <t xml:space="preserve"> 京土整储挂(兴)[2021]089号</t>
  </si>
  <si>
    <t xml:space="preserve"> 北京大兴宾馆有限责任公司  </t>
  </si>
  <si>
    <t xml:space="preserve"> 北京兴创投资</t>
  </si>
  <si>
    <t>2021-12-23 15:00</t>
  </si>
  <si>
    <t>北京市海淀区西北旺镇永丰产业基地(新)HD00-0403-024地块F3其他类多功能用地</t>
  </si>
  <si>
    <t>京土整储挂(海)[2021] 082号</t>
  </si>
  <si>
    <t xml:space="preserve"> 海淀区永丰产业基地(新)一级开发组团J地块内</t>
  </si>
  <si>
    <t xml:space="preserve"> 京土整储挂(海)[2021] 082号</t>
  </si>
  <si>
    <t xml:space="preserve"> 北京永丰数字共享科技有限责任公司  </t>
  </si>
  <si>
    <t>2021-10-25 15:00</t>
  </si>
  <si>
    <t>北京市海淀区西北旺镇永丰产业基地(新)HD00-0403-011地块F3其他类多功能用地</t>
  </si>
  <si>
    <t>京土整储挂(海)[2021] 081号</t>
  </si>
  <si>
    <t xml:space="preserve"> 京土整储挂(海)[2021] 081号</t>
  </si>
  <si>
    <t xml:space="preserve"> 北京永丰数字融合科技有限责任公司  </t>
  </si>
  <si>
    <t>北京市通州区张家湾车辆段综合利用供地项目FZX-1202-0079-02(上盖区)、FZX-1202-0079-03(落地区)、FZX-1202-0079-04(落地区)地块F3其他类多功能用地</t>
  </si>
  <si>
    <t>京土整储挂(通)[2021] 077号</t>
  </si>
  <si>
    <t xml:space="preserve"> 京土整储挂(通)[2021] 077号</t>
  </si>
  <si>
    <t xml:space="preserve"> 北京市基础设施投资有限公司 、北京首都旅游集团有限责任公司 、北京城建集团有限责任公司  </t>
  </si>
  <si>
    <t xml:space="preserve"> 北京城建集团</t>
  </si>
  <si>
    <t>北京市石景山区首钢园区东南区土地一级开发项目1612-774地块B4综合性商业金融服务业用地</t>
  </si>
  <si>
    <t>京土整储挂(石)[2021] 079号</t>
  </si>
  <si>
    <t xml:space="preserve"> 石景山区古城南街东侧</t>
  </si>
  <si>
    <t xml:space="preserve"> 京土整储挂(石)[2021] 079号</t>
  </si>
  <si>
    <t xml:space="preserve"> 北京首鹰置业有限公司  </t>
  </si>
  <si>
    <t xml:space="preserve"> 北京首鹰置业有限公司</t>
  </si>
  <si>
    <t>北京市东城区广渠门外大街马圈土地一级开发项目0407-001地块F3其他类多功能用地</t>
  </si>
  <si>
    <t>京土整储挂(东)[2021] 076号</t>
  </si>
  <si>
    <t xml:space="preserve"> 东城区</t>
  </si>
  <si>
    <t xml:space="preserve"> 劲松</t>
  </si>
  <si>
    <t xml:space="preserve"> 东城区广渠门外大街22号</t>
  </si>
  <si>
    <t xml:space="preserve"> F3(其他多功能用地)</t>
  </si>
  <si>
    <t xml:space="preserve"> 京土整储挂(东)[2021] 076号</t>
  </si>
  <si>
    <t xml:space="preserve"> 福建隆恩建材贸易有限公司  </t>
  </si>
  <si>
    <t>北京市海淀区西北旺镇永丰产业基地(新)HD00-0403-003地块F3其他类多功能用地</t>
  </si>
  <si>
    <t>京土整储挂(海)[2021] 080号</t>
  </si>
  <si>
    <t xml:space="preserve"> 京土整储挂(海)[2021] 080号</t>
  </si>
  <si>
    <t xml:space="preserve"> 北京永丰数字先导科技有限责任公司  </t>
  </si>
  <si>
    <t>北京城市副中心FZX-0902-0229、0230地块</t>
  </si>
  <si>
    <t>京土整储挂(通)[2021]032号</t>
  </si>
  <si>
    <t xml:space="preserve"> 北至FZX-0902-0028规划科研用地,南至明徳街,西起FZX-0902-0027规划绿地,东至前北营路</t>
  </si>
  <si>
    <t xml:space="preserve"> ≤3.1</t>
  </si>
  <si>
    <t xml:space="preserve"> B2商务用地</t>
  </si>
  <si>
    <t xml:space="preserve"> 45米</t>
  </si>
  <si>
    <t xml:space="preserve"> 京土整储挂(通)[2021]032号</t>
  </si>
  <si>
    <t xml:space="preserve"> 北京城市副中心投资建设集团有限公司  </t>
  </si>
  <si>
    <t xml:space="preserve"> 商业40年 办公50年</t>
  </si>
  <si>
    <t>北京城市副中心12组团西北部</t>
  </si>
  <si>
    <t>京土整储挂(通)[2021]001号</t>
  </si>
  <si>
    <t xml:space="preserve"> 北京城市副中心12组团西北部</t>
  </si>
  <si>
    <t xml:space="preserve"> ≤2.15</t>
  </si>
  <si>
    <t xml:space="preserve"> 京土整储挂(通)[2021]001号</t>
  </si>
  <si>
    <t xml:space="preserve"> 北京公联鼎成交通枢纽建设发展有限公司  </t>
  </si>
  <si>
    <t xml:space="preserve"> 首发集团</t>
  </si>
  <si>
    <t>北京市怀柔区怀北镇雁柏山庄北侧地块B1商业用地</t>
  </si>
  <si>
    <t>京土整储挂(怀)[2020]057号</t>
  </si>
  <si>
    <t xml:space="preserve"> 怀柔区怀北镇</t>
  </si>
  <si>
    <t xml:space="preserve"> ≤0.45</t>
  </si>
  <si>
    <t xml:space="preserve"> 14米</t>
  </si>
  <si>
    <t xml:space="preserve"> 京土整储挂(怀)[2020]057号</t>
  </si>
  <si>
    <t xml:space="preserve"> 北京雁柏山庄有限责任公司  </t>
  </si>
  <si>
    <t>2021-01-27 15:00</t>
  </si>
  <si>
    <t>北京市房山区长阳镇06、07街区棚户区改造土地开发七片区项目FS10-0107-0005地块F3其他类多功能用地</t>
  </si>
  <si>
    <t>京土整储挂(房)[2020]046号</t>
  </si>
  <si>
    <t xml:space="preserve"> 长阳</t>
  </si>
  <si>
    <t xml:space="preserve"> 房山区长阳镇</t>
  </si>
  <si>
    <t xml:space="preserve"> ≤3</t>
  </si>
  <si>
    <t xml:space="preserve"> ≤40%</t>
  </si>
  <si>
    <t xml:space="preserve"> ≤60米</t>
  </si>
  <si>
    <t xml:space="preserve"> 京土整储挂(房)[2020]046号</t>
  </si>
  <si>
    <t xml:space="preserve"> 北京北投新城开发建设有限公司 、北京城市副中心投资基金合伙企业(有限合伙)  </t>
  </si>
  <si>
    <t>2020-12-25 15:00</t>
  </si>
  <si>
    <t>北京市延庆区张山营镇西大庄科村YQ06-0400-0016地块F3其他类多功能用地</t>
  </si>
  <si>
    <t>京土整储招(延)[2020]047号</t>
  </si>
  <si>
    <t xml:space="preserve"> 延庆区</t>
  </si>
  <si>
    <t xml:space="preserve"> 张山营</t>
  </si>
  <si>
    <t xml:space="preserve"> 延庆区张山营镇西大庄科村</t>
  </si>
  <si>
    <t xml:space="preserve"> ≤1.01</t>
  </si>
  <si>
    <t xml:space="preserve"> 招标</t>
  </si>
  <si>
    <t xml:space="preserve"> ≤70%</t>
  </si>
  <si>
    <t xml:space="preserve"> ≤24米</t>
  </si>
  <si>
    <t xml:space="preserve"> 京土整储招(延)[2020]047号</t>
  </si>
  <si>
    <t xml:space="preserve"> 北京北控智开实业发展有限公司  </t>
  </si>
  <si>
    <t xml:space="preserve"> 北控置业</t>
  </si>
  <si>
    <t>2020-12-02 15:30</t>
  </si>
  <si>
    <t>北京市石景山区中关村科技园石景山园北Ⅱ区西井地块土地一级开发项目1606-034地块B1商业用地</t>
  </si>
  <si>
    <t>京土整储挂(石)[2020]045号</t>
  </si>
  <si>
    <t xml:space="preserve"> ≤4.0</t>
  </si>
  <si>
    <t xml:space="preserve"> ≤45米</t>
  </si>
  <si>
    <t xml:space="preserve"> 京土整储挂(石)[2020]045号</t>
  </si>
  <si>
    <t xml:space="preserve"> 中关村发展集团股份有限公司 、北京石景山产业发展有限公司联合体  </t>
  </si>
  <si>
    <t xml:space="preserve"> 中关村发展</t>
  </si>
  <si>
    <t>2020-12-11 15:00</t>
  </si>
  <si>
    <t>北京市海淀区西八里庄0711-652、640、641地块B4综合性商业金融服务业用地</t>
  </si>
  <si>
    <t>北京市怀柔科学城核心区及周边土地一级开发项目HR00-0211-6002、6009、6010、6011、6019地块(城市客厅A)F3其他类多功能用地</t>
  </si>
  <si>
    <t>京土整储挂(怀)[2020]039号</t>
  </si>
  <si>
    <t xml:space="preserve"> 怀柔区雁栖镇、怀北镇</t>
  </si>
  <si>
    <t xml:space="preserve"> ≤1.9</t>
  </si>
  <si>
    <t xml:space="preserve"> 京土整储挂(怀)[2020]039号</t>
  </si>
  <si>
    <t xml:space="preserve"> 北京怀柔科学城城开一部开发建设有限公司  </t>
  </si>
  <si>
    <t>2020-11-02 15:00</t>
  </si>
  <si>
    <t>北京市怀柔区怀北镇雁柏山庄南侧地块B1商业用地</t>
  </si>
  <si>
    <t>京土整储挂(怀)[2020]038号</t>
  </si>
  <si>
    <t xml:space="preserve"> 雁栖</t>
  </si>
  <si>
    <t xml:space="preserve"> ≤0.16</t>
  </si>
  <si>
    <t xml:space="preserve"> ≤9米</t>
  </si>
  <si>
    <t xml:space="preserve"> 京土整储挂(怀)[2020]038号</t>
  </si>
  <si>
    <t>2020-10-10 15:00</t>
  </si>
  <si>
    <t>北京市怀柔区怀北镇栖湖组团F3其他类多功能用地</t>
  </si>
  <si>
    <t>京土整储挂(怀)[2020]037号</t>
  </si>
  <si>
    <t xml:space="preserve"> ≤0.68</t>
  </si>
  <si>
    <t xml:space="preserve"> ≤17.95米</t>
  </si>
  <si>
    <t xml:space="preserve"> 京土整储挂(怀)[2020]037号</t>
  </si>
  <si>
    <t xml:space="preserve"> 北京栖湖饭店有限责任公司  </t>
  </si>
  <si>
    <t>北京经济技术开发区路东区G4F-4、G6F-1、G6F-5、G7F-1、G7F-2、G7F-3地块F3其他类多功能用地国有建设用地</t>
  </si>
  <si>
    <t>京土整储挂(开)[2020]029号</t>
  </si>
  <si>
    <t xml:space="preserve"> 北京经济技术开发区路东区G4F-4、G6F-1、G6F-5、G7F-1、G7F-2、G7F-3地块</t>
  </si>
  <si>
    <t xml:space="preserve"> g4f-4≤3,g6f-1、g6f-5、g7f-1、g7f-2≤2.5,g7f-3≤1.96</t>
  </si>
  <si>
    <t xml:space="preserve"> ≥40%</t>
  </si>
  <si>
    <t xml:space="preserve"> ≤60米,其中G4F-4≤80米(西北角≤100米)</t>
  </si>
  <si>
    <t xml:space="preserve"> 京土整储挂(开)[2020]029号</t>
  </si>
  <si>
    <t xml:space="preserve"> 北京通明湖信息城发展有限公司  </t>
  </si>
  <si>
    <t xml:space="preserve"> 亦庄国投</t>
  </si>
  <si>
    <t>2020-07-31 15:00</t>
  </si>
  <si>
    <t>北京市朝阳区望京花家地西里三组团配套综合楼1006-605地块B4商业金融用地</t>
  </si>
  <si>
    <t>京土整储挂(朝)[2020]004号</t>
  </si>
  <si>
    <t xml:space="preserve"> 望京、酒仙桥</t>
  </si>
  <si>
    <t xml:space="preserve"> 朝阳区望京花家地</t>
  </si>
  <si>
    <t xml:space="preserve"> B4商业金融用地</t>
  </si>
  <si>
    <t xml:space="preserve"> ≤50%</t>
  </si>
  <si>
    <t xml:space="preserve"> 京土整储挂(朝)[2020]004号</t>
  </si>
  <si>
    <t xml:space="preserve"> 北京金隅嘉业房地产开发有限公司  </t>
  </si>
  <si>
    <t xml:space="preserve"> 金隅集团</t>
  </si>
  <si>
    <t>2020-04-01 15:00</t>
  </si>
  <si>
    <t>北京市昌平区朱辛庄新区(二期)土地一级开发项目ZXZ-010地块F3其他类多功能用地</t>
  </si>
  <si>
    <t>京土整储挂(昌)[2020]005号</t>
  </si>
  <si>
    <t xml:space="preserve"> 昌平区</t>
  </si>
  <si>
    <t xml:space="preserve"> 回龙观</t>
  </si>
  <si>
    <t xml:space="preserve"> 昌平区朱辛庄</t>
  </si>
  <si>
    <t xml:space="preserve"> 京土整储挂(昌)[2020]005号</t>
  </si>
  <si>
    <t xml:space="preserve"> 北京裕聪置业有限公司  </t>
  </si>
  <si>
    <t xml:space="preserve"> 裕聪置业</t>
  </si>
  <si>
    <t>北京市石景山区古城南街东侧(首钢园区东南区)1612-769、775等地块B4综合性商业金融服务业用地</t>
  </si>
  <si>
    <t>京土整储挂(石)[2019]037号</t>
  </si>
  <si>
    <t xml:space="preserve"> 石景山区古城南街东侧(首钢园区东南区)</t>
  </si>
  <si>
    <t xml:space="preserve"> 1612-775≤4,1612-769≤5</t>
  </si>
  <si>
    <t xml:space="preserve"> ≤80米</t>
  </si>
  <si>
    <t xml:space="preserve"> 京土整储挂(石)[2019]037号</t>
  </si>
  <si>
    <t xml:space="preserve"> 北京璟鑫达房地产开发有限公司  </t>
  </si>
  <si>
    <t xml:space="preserve"> 首钢集团</t>
  </si>
  <si>
    <t>2019-12-11 15:00</t>
  </si>
  <si>
    <t>北京市石景山区古城南街东侧(首钢园区东南区)1612-778、779、783、784、786等地块B4综合性商业金融服务业用地、F3其他类多功能用地</t>
  </si>
  <si>
    <t>京土整储挂(石)[2019]038号</t>
  </si>
  <si>
    <t xml:space="preserve"> 1612-778≤3.5,779≤4,783、786≤1.1,784≤1.5</t>
  </si>
  <si>
    <t xml:space="preserve"> B4综合性商业金融服务业用地、F3其他类多功能用地</t>
  </si>
  <si>
    <t xml:space="preserve"> 1612-778≤45米,1612-779≤80米,F3≤18米</t>
  </si>
  <si>
    <t xml:space="preserve"> 京土整储挂(石)[2019]038号</t>
  </si>
  <si>
    <t>北京市海淀区学院路北端A、B、C、J地块B4综合性商业金融服务业用地、B23研发设计用地</t>
  </si>
  <si>
    <t>京土整储招(海)[2019]034号</t>
  </si>
  <si>
    <t xml:space="preserve"> 学清路</t>
  </si>
  <si>
    <t xml:space="preserve"> 海淀区学院路北端</t>
  </si>
  <si>
    <t xml:space="preserve"> ≤4.04</t>
  </si>
  <si>
    <t xml:space="preserve"> B4综合性商业金融服务业用地、B23研发设计用地</t>
  </si>
  <si>
    <t xml:space="preserve"> 京土整储招(海)[2019]034号</t>
  </si>
  <si>
    <t xml:space="preserve"> 紫光集团有限公司 、紫光股份有限公司 、紫光国芯微电子股份有限公司 、北京紫光科技服务集团有限公司联合体  </t>
  </si>
  <si>
    <t xml:space="preserve"> 紫光集团</t>
  </si>
  <si>
    <t>北京市通州区潞城镇FZX-0901-0162地块F3其他类多功能用地</t>
  </si>
  <si>
    <t>京土整储挂(通)[2019]029号</t>
  </si>
  <si>
    <t xml:space="preserve"> 通州区潞城镇</t>
  </si>
  <si>
    <t xml:space="preserve"> ≤2.5</t>
  </si>
  <si>
    <t xml:space="preserve"> ≤36米(局部40)</t>
  </si>
  <si>
    <t xml:space="preserve"> 京土整储挂(通)[2019]029号</t>
  </si>
  <si>
    <t xml:space="preserve"> 北京润置商业运营管理有限公司 、北京首都开发股份有限公司联合体  </t>
  </si>
  <si>
    <t xml:space="preserve"> 华润置地,首开股份</t>
  </si>
  <si>
    <t xml:space="preserve"> 中央国有企业,地方国有企业</t>
  </si>
  <si>
    <t>2019-10-16 15:00</t>
  </si>
  <si>
    <t>北京经济技术开发区河西区X78C2地块B4综合性商业金融服务业用地</t>
  </si>
  <si>
    <t>京土整储挂(开)[2019]019号</t>
  </si>
  <si>
    <t xml:space="preserve"> 瀛海</t>
  </si>
  <si>
    <t xml:space="preserve"> 北京经济技术开发区河西区X78C2地块</t>
  </si>
  <si>
    <t xml:space="preserve"> ≤2</t>
  </si>
  <si>
    <t xml:space="preserve"> ≤36米</t>
  </si>
  <si>
    <t xml:space="preserve"> 京土整储挂(开)[2019]019号</t>
  </si>
  <si>
    <t xml:space="preserve"> 北京尚恒锦瑞商业运营管理有限公司  </t>
  </si>
  <si>
    <t xml:space="preserve"> 龙湖集团</t>
  </si>
  <si>
    <t>2019-08-29 15:00</t>
  </si>
  <si>
    <t xml:space="preserve"> 办公50年、商业40年</t>
  </si>
  <si>
    <t>北京市海淀区西三旗1811-L04地块B4综合性商业金融服务业用地</t>
  </si>
  <si>
    <t>京土整储挂(海)[2019]015号</t>
  </si>
  <si>
    <t xml:space="preserve"> 西三旗</t>
  </si>
  <si>
    <t xml:space="preserve"> 海淀区西三旗</t>
  </si>
  <si>
    <t xml:space="preserve"> 京土整储挂(海)[2019]015号</t>
  </si>
  <si>
    <t xml:space="preserve"> 北京润置商业运营管理有限公司  </t>
  </si>
  <si>
    <t>石景山区苹果园交通枢纽M、N地块</t>
  </si>
  <si>
    <t>京土整储挂(石)[2015]061号</t>
  </si>
  <si>
    <t xml:space="preserve"> 石景山区苹果园</t>
  </si>
  <si>
    <t xml:space="preserve"> 京土整储挂(石)[2015]061号</t>
  </si>
  <si>
    <t xml:space="preserve"> 北京市华远置业有限公司 、北京上同致远房地产开发有限公司联合体  </t>
  </si>
  <si>
    <t xml:space="preserve"> 华远地产</t>
  </si>
  <si>
    <t>B4综合性商业金融服务业用地</t>
  </si>
  <si>
    <t>40</t>
  </si>
  <si>
    <t>较规则</t>
  </si>
  <si>
    <t>较适宜</t>
  </si>
  <si>
    <t>三通</t>
  </si>
  <si>
    <t>较差</t>
  </si>
  <si>
    <t>2020-3</t>
    <phoneticPr fontId="31" type="noConversion"/>
  </si>
  <si>
    <t>2020-2</t>
    <phoneticPr fontId="31" type="noConversion"/>
  </si>
  <si>
    <t>2020-1</t>
    <phoneticPr fontId="31" type="noConversion"/>
  </si>
  <si>
    <t>B1商业用地</t>
  </si>
  <si>
    <t>F3其他类多功能用地</t>
  </si>
  <si>
    <t>酒店</t>
    <phoneticPr fontId="31" type="noConversion"/>
  </si>
  <si>
    <t>五通</t>
  </si>
  <si>
    <t>四通</t>
  </si>
  <si>
    <t>住宅</t>
  </si>
  <si>
    <t>建面</t>
    <phoneticPr fontId="4" type="noConversion"/>
  </si>
  <si>
    <t>单方建安</t>
    <phoneticPr fontId="4" type="noConversion"/>
  </si>
  <si>
    <t>合计</t>
    <phoneticPr fontId="4" type="noConversion"/>
  </si>
  <si>
    <t>建安</t>
    <phoneticPr fontId="4" type="noConversion"/>
  </si>
  <si>
    <t>主体</t>
    <phoneticPr fontId="4" type="noConversion"/>
  </si>
  <si>
    <t>地上</t>
    <phoneticPr fontId="4" type="noConversion"/>
  </si>
  <si>
    <t>地下</t>
    <phoneticPr fontId="4" type="noConversion"/>
  </si>
  <si>
    <t>装修</t>
    <phoneticPr fontId="4" type="noConversion"/>
  </si>
  <si>
    <t>设备</t>
    <phoneticPr fontId="4" type="noConversion"/>
  </si>
  <si>
    <t>人防设备</t>
    <phoneticPr fontId="4" type="noConversion"/>
  </si>
  <si>
    <t>综合平均</t>
    <phoneticPr fontId="4" type="noConversion"/>
  </si>
  <si>
    <t>年限</t>
    <phoneticPr fontId="134" type="noConversion"/>
  </si>
  <si>
    <t>价值类型</t>
    <phoneticPr fontId="134" type="noConversion"/>
  </si>
  <si>
    <t>市场价值</t>
    <phoneticPr fontId="134" type="noConversion"/>
  </si>
  <si>
    <t>抵押价值</t>
    <phoneticPr fontId="134" type="noConversion"/>
  </si>
  <si>
    <t>特殊处理</t>
    <phoneticPr fontId="134" type="noConversion"/>
  </si>
  <si>
    <t>评估方法</t>
    <phoneticPr fontId="134" type="noConversion"/>
  </si>
  <si>
    <t>比较+收益</t>
    <phoneticPr fontId="134" type="noConversion"/>
  </si>
  <si>
    <t>方法结果</t>
    <phoneticPr fontId="134" type="noConversion"/>
  </si>
  <si>
    <t>比较法</t>
    <phoneticPr fontId="134" type="noConversion"/>
  </si>
  <si>
    <t>收益法</t>
    <phoneticPr fontId="134" type="noConversion"/>
  </si>
  <si>
    <t>成本法</t>
    <phoneticPr fontId="134" type="noConversion"/>
  </si>
  <si>
    <t>估价结果</t>
    <phoneticPr fontId="134" type="noConversion"/>
  </si>
  <si>
    <t>证载酒店，分实际用途进行测算，1层商业40年、办公及车库50年</t>
    <phoneticPr fontId="134" type="noConversion"/>
  </si>
  <si>
    <t>大宗</t>
    <phoneticPr fontId="134" type="noConversion"/>
  </si>
  <si>
    <t>评估部位</t>
    <phoneticPr fontId="134" type="noConversion"/>
  </si>
  <si>
    <t>商业</t>
    <phoneticPr fontId="134" type="noConversion"/>
  </si>
  <si>
    <t>办公</t>
    <phoneticPr fontId="134" type="noConversion"/>
  </si>
  <si>
    <t>车库</t>
    <phoneticPr fontId="134" type="noConversion"/>
  </si>
  <si>
    <t>整体</t>
    <phoneticPr fontId="134" type="noConversion"/>
  </si>
  <si>
    <t>总值</t>
    <phoneticPr fontId="134" type="noConversion"/>
  </si>
  <si>
    <t>建筑面积</t>
    <phoneticPr fontId="134" type="noConversion"/>
  </si>
  <si>
    <t>小计</t>
    <phoneticPr fontId="134" type="noConversion"/>
  </si>
  <si>
    <t>——</t>
    <phoneticPr fontId="134" type="noConversion"/>
  </si>
  <si>
    <t>2020年</t>
    <phoneticPr fontId="134" type="noConversion"/>
  </si>
  <si>
    <t>2023年</t>
    <phoneticPr fontId="134" type="noConversion"/>
  </si>
  <si>
    <t>7366</t>
    <phoneticPr fontId="134" type="noConversion"/>
  </si>
  <si>
    <t>3469</t>
    <phoneticPr fontId="134" type="noConversion"/>
  </si>
  <si>
    <t>6197</t>
    <phoneticPr fontId="134" type="noConversion"/>
  </si>
  <si>
    <t>权重</t>
    <phoneticPr fontId="134" type="noConversion"/>
  </si>
  <si>
    <t>5/5</t>
    <phoneticPr fontId="134" type="noConversion"/>
  </si>
  <si>
    <t>7/3</t>
    <phoneticPr fontId="134" type="noConversion"/>
  </si>
  <si>
    <t>6/4</t>
    <phoneticPr fontId="134" type="noConversion"/>
  </si>
  <si>
    <t>2020年</t>
    <phoneticPr fontId="134" type="noConversion"/>
  </si>
  <si>
    <t>2023年</t>
    <phoneticPr fontId="134" type="noConversion"/>
  </si>
  <si>
    <t>参数</t>
    <phoneticPr fontId="134" type="noConversion"/>
  </si>
  <si>
    <t>办公租金</t>
    <phoneticPr fontId="134" type="noConversion"/>
  </si>
  <si>
    <t>商业租金</t>
    <phoneticPr fontId="134" type="noConversion"/>
  </si>
  <si>
    <t>车位租金</t>
    <phoneticPr fontId="134" type="noConversion"/>
  </si>
  <si>
    <t>建安单价</t>
    <phoneticPr fontId="134" type="noConversion"/>
  </si>
  <si>
    <t>综合利润</t>
    <phoneticPr fontId="134" type="noConversion"/>
  </si>
  <si>
    <t>1.5年11%</t>
    <phoneticPr fontId="134" type="noConversion"/>
  </si>
  <si>
    <t>2年14%</t>
    <phoneticPr fontId="134" type="noConversion"/>
  </si>
  <si>
    <t>增长率</t>
    <phoneticPr fontId="134" type="noConversion"/>
  </si>
  <si>
    <t>维修费保险费管理费</t>
    <phoneticPr fontId="134" type="noConversion"/>
  </si>
  <si>
    <t>1.5%、0.15%、1.5%</t>
    <phoneticPr fontId="134" type="noConversion"/>
  </si>
  <si>
    <t>0.5%、0.1%、0.5%</t>
    <phoneticPr fontId="134" type="noConversion"/>
  </si>
  <si>
    <t>序号</t>
    <phoneticPr fontId="134" type="noConversion"/>
  </si>
  <si>
    <t>坐落</t>
  </si>
  <si>
    <t>产权证编号</t>
  </si>
  <si>
    <t>所在</t>
  </si>
  <si>
    <t>层数</t>
  </si>
  <si>
    <t>建筑面积</t>
  </si>
  <si>
    <t>房地产价值</t>
  </si>
  <si>
    <t>房地产单价</t>
  </si>
  <si>
    <t>净值</t>
  </si>
  <si>
    <t>净值单价</t>
  </si>
  <si>
    <r>
      <t>朝阳区东四环北路</t>
    </r>
    <r>
      <rPr>
        <sz val="9"/>
        <color theme="1"/>
        <rFont val="Arial"/>
        <family val="2"/>
      </rPr>
      <t>2</t>
    </r>
    <r>
      <rPr>
        <sz val="9"/>
        <color theme="1"/>
        <rFont val="华文细黑"/>
        <family val="3"/>
        <charset val="134"/>
      </rPr>
      <t>号</t>
    </r>
    <r>
      <rPr>
        <sz val="9"/>
        <color theme="1"/>
        <rFont val="Arial"/>
        <family val="2"/>
      </rPr>
      <t>1</t>
    </r>
    <r>
      <rPr>
        <sz val="9"/>
        <color theme="1"/>
        <rFont val="华文细黑"/>
        <family val="3"/>
        <charset val="134"/>
      </rPr>
      <t>层</t>
    </r>
    <r>
      <rPr>
        <sz val="9"/>
        <color theme="1"/>
        <rFont val="Arial"/>
        <family val="2"/>
      </rPr>
      <t>101</t>
    </r>
  </si>
  <si>
    <r>
      <t>X</t>
    </r>
    <r>
      <rPr>
        <sz val="9"/>
        <color theme="1"/>
        <rFont val="华文细黑"/>
        <family val="3"/>
        <charset val="134"/>
      </rPr>
      <t>京房权证朝字第</t>
    </r>
    <r>
      <rPr>
        <sz val="9"/>
        <color theme="1"/>
        <rFont val="Arial"/>
        <family val="2"/>
      </rPr>
      <t>620649</t>
    </r>
    <r>
      <rPr>
        <sz val="9"/>
        <color theme="1"/>
        <rFont val="华文细黑"/>
        <family val="3"/>
        <charset val="134"/>
      </rPr>
      <t>号</t>
    </r>
  </si>
  <si>
    <r>
      <t>朝阳区东四环北路</t>
    </r>
    <r>
      <rPr>
        <sz val="9"/>
        <color theme="1"/>
        <rFont val="Arial"/>
        <family val="2"/>
      </rPr>
      <t>2</t>
    </r>
    <r>
      <rPr>
        <sz val="9"/>
        <color theme="1"/>
        <rFont val="华文细黑"/>
        <family val="3"/>
        <charset val="134"/>
      </rPr>
      <t>号</t>
    </r>
    <r>
      <rPr>
        <sz val="9"/>
        <color theme="1"/>
        <rFont val="Arial"/>
        <family val="2"/>
      </rPr>
      <t>2</t>
    </r>
    <r>
      <rPr>
        <sz val="9"/>
        <color theme="1"/>
        <rFont val="华文细黑"/>
        <family val="3"/>
        <charset val="134"/>
      </rPr>
      <t>层</t>
    </r>
    <r>
      <rPr>
        <sz val="9"/>
        <color theme="1"/>
        <rFont val="Arial"/>
        <family val="2"/>
      </rPr>
      <t>201</t>
    </r>
  </si>
  <si>
    <r>
      <t>X</t>
    </r>
    <r>
      <rPr>
        <sz val="9"/>
        <color theme="1"/>
        <rFont val="华文细黑"/>
        <family val="3"/>
        <charset val="134"/>
      </rPr>
      <t>京房权证朝字第</t>
    </r>
    <r>
      <rPr>
        <sz val="9"/>
        <color theme="1"/>
        <rFont val="Arial"/>
        <family val="2"/>
      </rPr>
      <t>620652</t>
    </r>
    <r>
      <rPr>
        <sz val="9"/>
        <color theme="1"/>
        <rFont val="华文细黑"/>
        <family val="3"/>
        <charset val="134"/>
      </rPr>
      <t>号</t>
    </r>
  </si>
  <si>
    <r>
      <t>朝阳区东四环北路</t>
    </r>
    <r>
      <rPr>
        <sz val="9"/>
        <color theme="1"/>
        <rFont val="Arial"/>
        <family val="2"/>
      </rPr>
      <t>2</t>
    </r>
    <r>
      <rPr>
        <sz val="9"/>
        <color theme="1"/>
        <rFont val="华文细黑"/>
        <family val="3"/>
        <charset val="134"/>
      </rPr>
      <t>号</t>
    </r>
    <r>
      <rPr>
        <sz val="9"/>
        <color theme="1"/>
        <rFont val="Arial"/>
        <family val="2"/>
      </rPr>
      <t>3</t>
    </r>
    <r>
      <rPr>
        <sz val="9"/>
        <color theme="1"/>
        <rFont val="华文细黑"/>
        <family val="3"/>
        <charset val="134"/>
      </rPr>
      <t>层</t>
    </r>
    <r>
      <rPr>
        <sz val="9"/>
        <color theme="1"/>
        <rFont val="Arial"/>
        <family val="2"/>
      </rPr>
      <t>301</t>
    </r>
  </si>
  <si>
    <r>
      <t>X</t>
    </r>
    <r>
      <rPr>
        <sz val="9"/>
        <color theme="1"/>
        <rFont val="华文细黑"/>
        <family val="3"/>
        <charset val="134"/>
      </rPr>
      <t>京房权证朝字第</t>
    </r>
    <r>
      <rPr>
        <sz val="9"/>
        <color theme="1"/>
        <rFont val="Arial"/>
        <family val="2"/>
      </rPr>
      <t>620653</t>
    </r>
    <r>
      <rPr>
        <sz val="9"/>
        <color theme="1"/>
        <rFont val="华文细黑"/>
        <family val="3"/>
        <charset val="134"/>
      </rPr>
      <t>号</t>
    </r>
  </si>
  <si>
    <r>
      <t>朝阳区东四环北路</t>
    </r>
    <r>
      <rPr>
        <sz val="9"/>
        <color theme="1"/>
        <rFont val="Arial"/>
        <family val="2"/>
      </rPr>
      <t>2</t>
    </r>
    <r>
      <rPr>
        <sz val="9"/>
        <color theme="1"/>
        <rFont val="华文细黑"/>
        <family val="3"/>
        <charset val="134"/>
      </rPr>
      <t>号</t>
    </r>
    <r>
      <rPr>
        <sz val="9"/>
        <color theme="1"/>
        <rFont val="Arial"/>
        <family val="2"/>
      </rPr>
      <t>4</t>
    </r>
    <r>
      <rPr>
        <sz val="9"/>
        <color theme="1"/>
        <rFont val="华文细黑"/>
        <family val="3"/>
        <charset val="134"/>
      </rPr>
      <t>层</t>
    </r>
    <r>
      <rPr>
        <sz val="9"/>
        <color theme="1"/>
        <rFont val="Arial"/>
        <family val="2"/>
      </rPr>
      <t>501</t>
    </r>
  </si>
  <si>
    <r>
      <t>京（</t>
    </r>
    <r>
      <rPr>
        <sz val="9"/>
        <color theme="1"/>
        <rFont val="Arial"/>
        <family val="2"/>
      </rPr>
      <t>2016</t>
    </r>
    <r>
      <rPr>
        <sz val="9"/>
        <color theme="1"/>
        <rFont val="华文细黑"/>
        <family val="3"/>
        <charset val="134"/>
      </rPr>
      <t>）朝阳区不动产权第</t>
    </r>
    <r>
      <rPr>
        <sz val="9"/>
        <color theme="1"/>
        <rFont val="Arial"/>
        <family val="2"/>
      </rPr>
      <t>0117052</t>
    </r>
    <r>
      <rPr>
        <sz val="9"/>
        <color theme="1"/>
        <rFont val="华文细黑"/>
        <family val="3"/>
        <charset val="134"/>
      </rPr>
      <t>号</t>
    </r>
  </si>
  <si>
    <r>
      <t>朝阳区东四环北路</t>
    </r>
    <r>
      <rPr>
        <sz val="9"/>
        <color theme="1"/>
        <rFont val="Arial"/>
        <family val="2"/>
      </rPr>
      <t>2</t>
    </r>
    <r>
      <rPr>
        <sz val="9"/>
        <color theme="1"/>
        <rFont val="华文细黑"/>
        <family val="3"/>
        <charset val="134"/>
      </rPr>
      <t>号</t>
    </r>
    <r>
      <rPr>
        <sz val="9"/>
        <color theme="1"/>
        <rFont val="Arial"/>
        <family val="2"/>
      </rPr>
      <t>5</t>
    </r>
    <r>
      <rPr>
        <sz val="9"/>
        <color theme="1"/>
        <rFont val="华文细黑"/>
        <family val="3"/>
        <charset val="134"/>
      </rPr>
      <t>层</t>
    </r>
    <r>
      <rPr>
        <sz val="9"/>
        <color theme="1"/>
        <rFont val="Arial"/>
        <family val="2"/>
      </rPr>
      <t>610</t>
    </r>
  </si>
  <si>
    <r>
      <t>X</t>
    </r>
    <r>
      <rPr>
        <sz val="9"/>
        <color theme="1"/>
        <rFont val="华文细黑"/>
        <family val="3"/>
        <charset val="134"/>
      </rPr>
      <t>京房权证朝字第</t>
    </r>
    <r>
      <rPr>
        <sz val="9"/>
        <color theme="1"/>
        <rFont val="Arial"/>
        <family val="2"/>
      </rPr>
      <t>620657</t>
    </r>
    <r>
      <rPr>
        <sz val="9"/>
        <color theme="1"/>
        <rFont val="华文细黑"/>
        <family val="3"/>
        <charset val="134"/>
      </rPr>
      <t>号</t>
    </r>
  </si>
  <si>
    <r>
      <t>朝阳区东四环北路</t>
    </r>
    <r>
      <rPr>
        <sz val="9"/>
        <color theme="1"/>
        <rFont val="Arial"/>
        <family val="2"/>
      </rPr>
      <t>2</t>
    </r>
    <r>
      <rPr>
        <sz val="9"/>
        <color theme="1"/>
        <rFont val="华文细黑"/>
        <family val="3"/>
        <charset val="134"/>
      </rPr>
      <t>号</t>
    </r>
    <r>
      <rPr>
        <sz val="9"/>
        <color theme="1"/>
        <rFont val="Arial"/>
        <family val="2"/>
      </rPr>
      <t>6</t>
    </r>
    <r>
      <rPr>
        <sz val="9"/>
        <color theme="1"/>
        <rFont val="华文细黑"/>
        <family val="3"/>
        <charset val="134"/>
      </rPr>
      <t>层</t>
    </r>
    <r>
      <rPr>
        <sz val="9"/>
        <color theme="1"/>
        <rFont val="Arial"/>
        <family val="2"/>
      </rPr>
      <t>710</t>
    </r>
  </si>
  <si>
    <r>
      <t>X</t>
    </r>
    <r>
      <rPr>
        <sz val="9"/>
        <color theme="1"/>
        <rFont val="华文细黑"/>
        <family val="3"/>
        <charset val="134"/>
      </rPr>
      <t>京房权证朝字第</t>
    </r>
    <r>
      <rPr>
        <sz val="9"/>
        <color theme="1"/>
        <rFont val="Arial"/>
        <family val="2"/>
      </rPr>
      <t>620658</t>
    </r>
    <r>
      <rPr>
        <sz val="9"/>
        <color theme="1"/>
        <rFont val="华文细黑"/>
        <family val="3"/>
        <charset val="134"/>
      </rPr>
      <t>号</t>
    </r>
  </si>
  <si>
    <r>
      <t>朝阳区东四环北路</t>
    </r>
    <r>
      <rPr>
        <sz val="9"/>
        <color theme="1"/>
        <rFont val="Arial"/>
        <family val="2"/>
      </rPr>
      <t>2</t>
    </r>
    <r>
      <rPr>
        <sz val="9"/>
        <color theme="1"/>
        <rFont val="华文细黑"/>
        <family val="3"/>
        <charset val="134"/>
      </rPr>
      <t>号</t>
    </r>
    <r>
      <rPr>
        <sz val="9"/>
        <color theme="1"/>
        <rFont val="Arial"/>
        <family val="2"/>
      </rPr>
      <t>7</t>
    </r>
    <r>
      <rPr>
        <sz val="9"/>
        <color theme="1"/>
        <rFont val="华文细黑"/>
        <family val="3"/>
        <charset val="134"/>
      </rPr>
      <t>层</t>
    </r>
    <r>
      <rPr>
        <sz val="9"/>
        <color theme="1"/>
        <rFont val="Arial"/>
        <family val="2"/>
      </rPr>
      <t>810</t>
    </r>
  </si>
  <si>
    <r>
      <t>X</t>
    </r>
    <r>
      <rPr>
        <sz val="9"/>
        <color theme="1"/>
        <rFont val="华文细黑"/>
        <family val="3"/>
        <charset val="134"/>
      </rPr>
      <t>京房权证朝字第</t>
    </r>
    <r>
      <rPr>
        <sz val="9"/>
        <color theme="1"/>
        <rFont val="Arial"/>
        <family val="2"/>
      </rPr>
      <t>620661</t>
    </r>
    <r>
      <rPr>
        <sz val="9"/>
        <color theme="1"/>
        <rFont val="华文细黑"/>
        <family val="3"/>
        <charset val="134"/>
      </rPr>
      <t>号</t>
    </r>
  </si>
  <si>
    <r>
      <t>朝阳区东四环北路</t>
    </r>
    <r>
      <rPr>
        <sz val="9"/>
        <color theme="1"/>
        <rFont val="Arial"/>
        <family val="2"/>
      </rPr>
      <t>2</t>
    </r>
    <r>
      <rPr>
        <sz val="9"/>
        <color theme="1"/>
        <rFont val="华文细黑"/>
        <family val="3"/>
        <charset val="134"/>
      </rPr>
      <t>号</t>
    </r>
    <r>
      <rPr>
        <sz val="9"/>
        <color theme="1"/>
        <rFont val="Arial"/>
        <family val="2"/>
      </rPr>
      <t>8</t>
    </r>
    <r>
      <rPr>
        <sz val="9"/>
        <color theme="1"/>
        <rFont val="华文细黑"/>
        <family val="3"/>
        <charset val="134"/>
      </rPr>
      <t>层</t>
    </r>
    <r>
      <rPr>
        <sz val="9"/>
        <color theme="1"/>
        <rFont val="Arial"/>
        <family val="2"/>
      </rPr>
      <t>910</t>
    </r>
  </si>
  <si>
    <r>
      <t>X</t>
    </r>
    <r>
      <rPr>
        <sz val="9"/>
        <color theme="1"/>
        <rFont val="华文细黑"/>
        <family val="3"/>
        <charset val="134"/>
      </rPr>
      <t>京房权证朝字第</t>
    </r>
    <r>
      <rPr>
        <sz val="9"/>
        <color theme="1"/>
        <rFont val="Arial"/>
        <family val="2"/>
      </rPr>
      <t>620663</t>
    </r>
    <r>
      <rPr>
        <sz val="9"/>
        <color theme="1"/>
        <rFont val="华文细黑"/>
        <family val="3"/>
        <charset val="134"/>
      </rPr>
      <t>号</t>
    </r>
  </si>
  <si>
    <r>
      <t>朝阳区东四环北路</t>
    </r>
    <r>
      <rPr>
        <sz val="9"/>
        <color theme="1"/>
        <rFont val="Arial"/>
        <family val="2"/>
      </rPr>
      <t>2</t>
    </r>
    <r>
      <rPr>
        <sz val="9"/>
        <color theme="1"/>
        <rFont val="华文细黑"/>
        <family val="3"/>
        <charset val="134"/>
      </rPr>
      <t>号</t>
    </r>
    <r>
      <rPr>
        <sz val="9"/>
        <color theme="1"/>
        <rFont val="Arial"/>
        <family val="2"/>
      </rPr>
      <t>9</t>
    </r>
    <r>
      <rPr>
        <sz val="9"/>
        <color theme="1"/>
        <rFont val="华文细黑"/>
        <family val="3"/>
        <charset val="134"/>
      </rPr>
      <t>层</t>
    </r>
    <r>
      <rPr>
        <sz val="9"/>
        <color theme="1"/>
        <rFont val="Arial"/>
        <family val="2"/>
      </rPr>
      <t>1010</t>
    </r>
  </si>
  <si>
    <r>
      <t>X</t>
    </r>
    <r>
      <rPr>
        <sz val="9"/>
        <color theme="1"/>
        <rFont val="华文细黑"/>
        <family val="3"/>
        <charset val="134"/>
      </rPr>
      <t>京房权证朝字第</t>
    </r>
    <r>
      <rPr>
        <sz val="9"/>
        <color theme="1"/>
        <rFont val="Arial"/>
        <family val="2"/>
      </rPr>
      <t>620665</t>
    </r>
    <r>
      <rPr>
        <sz val="9"/>
        <color theme="1"/>
        <rFont val="华文细黑"/>
        <family val="3"/>
        <charset val="134"/>
      </rPr>
      <t>号</t>
    </r>
  </si>
  <si>
    <r>
      <t>朝阳区东四环北路</t>
    </r>
    <r>
      <rPr>
        <sz val="9"/>
        <color theme="1"/>
        <rFont val="Arial"/>
        <family val="2"/>
      </rPr>
      <t>2</t>
    </r>
    <r>
      <rPr>
        <sz val="9"/>
        <color theme="1"/>
        <rFont val="华文细黑"/>
        <family val="3"/>
        <charset val="134"/>
      </rPr>
      <t>号</t>
    </r>
    <r>
      <rPr>
        <sz val="9"/>
        <color theme="1"/>
        <rFont val="Arial"/>
        <family val="2"/>
      </rPr>
      <t>10</t>
    </r>
    <r>
      <rPr>
        <sz val="9"/>
        <color theme="1"/>
        <rFont val="华文细黑"/>
        <family val="3"/>
        <charset val="134"/>
      </rPr>
      <t>层</t>
    </r>
    <r>
      <rPr>
        <sz val="9"/>
        <color theme="1"/>
        <rFont val="Arial"/>
        <family val="2"/>
      </rPr>
      <t>1110</t>
    </r>
  </si>
  <si>
    <r>
      <t>X</t>
    </r>
    <r>
      <rPr>
        <sz val="9"/>
        <color theme="1"/>
        <rFont val="华文细黑"/>
        <family val="3"/>
        <charset val="134"/>
      </rPr>
      <t>京房权证朝字第</t>
    </r>
    <r>
      <rPr>
        <sz val="9"/>
        <color theme="1"/>
        <rFont val="Arial"/>
        <family val="2"/>
      </rPr>
      <t>620667</t>
    </r>
    <r>
      <rPr>
        <sz val="9"/>
        <color theme="1"/>
        <rFont val="华文细黑"/>
        <family val="3"/>
        <charset val="134"/>
      </rPr>
      <t>号</t>
    </r>
  </si>
  <si>
    <r>
      <t>朝阳区东四环北路</t>
    </r>
    <r>
      <rPr>
        <sz val="9"/>
        <color theme="1"/>
        <rFont val="Arial"/>
        <family val="2"/>
      </rPr>
      <t>2</t>
    </r>
    <r>
      <rPr>
        <sz val="9"/>
        <color theme="1"/>
        <rFont val="华文细黑"/>
        <family val="3"/>
        <charset val="134"/>
      </rPr>
      <t>号</t>
    </r>
    <r>
      <rPr>
        <sz val="9"/>
        <color theme="1"/>
        <rFont val="Arial"/>
        <family val="2"/>
      </rPr>
      <t>11</t>
    </r>
    <r>
      <rPr>
        <sz val="9"/>
        <color theme="1"/>
        <rFont val="华文细黑"/>
        <family val="3"/>
        <charset val="134"/>
      </rPr>
      <t>层</t>
    </r>
    <r>
      <rPr>
        <sz val="9"/>
        <color theme="1"/>
        <rFont val="Arial"/>
        <family val="2"/>
      </rPr>
      <t>1210</t>
    </r>
  </si>
  <si>
    <r>
      <t>X</t>
    </r>
    <r>
      <rPr>
        <sz val="9"/>
        <color theme="1"/>
        <rFont val="华文细黑"/>
        <family val="3"/>
        <charset val="134"/>
      </rPr>
      <t>京房权证朝字第</t>
    </r>
    <r>
      <rPr>
        <sz val="9"/>
        <color theme="1"/>
        <rFont val="Arial"/>
        <family val="2"/>
      </rPr>
      <t>620670</t>
    </r>
    <r>
      <rPr>
        <sz val="9"/>
        <color theme="1"/>
        <rFont val="华文细黑"/>
        <family val="3"/>
        <charset val="134"/>
      </rPr>
      <t>号</t>
    </r>
  </si>
  <si>
    <r>
      <t>朝阳区东四环北路</t>
    </r>
    <r>
      <rPr>
        <sz val="9"/>
        <color theme="1"/>
        <rFont val="Arial"/>
        <family val="2"/>
      </rPr>
      <t>2</t>
    </r>
    <r>
      <rPr>
        <sz val="9"/>
        <color theme="1"/>
        <rFont val="华文细黑"/>
        <family val="3"/>
        <charset val="134"/>
      </rPr>
      <t>号</t>
    </r>
    <r>
      <rPr>
        <sz val="9"/>
        <color theme="1"/>
        <rFont val="Arial"/>
        <family val="2"/>
      </rPr>
      <t>12</t>
    </r>
    <r>
      <rPr>
        <sz val="9"/>
        <color theme="1"/>
        <rFont val="华文细黑"/>
        <family val="3"/>
        <charset val="134"/>
      </rPr>
      <t>层</t>
    </r>
    <r>
      <rPr>
        <sz val="9"/>
        <color theme="1"/>
        <rFont val="Arial"/>
        <family val="2"/>
      </rPr>
      <t>1510</t>
    </r>
  </si>
  <si>
    <r>
      <t>X</t>
    </r>
    <r>
      <rPr>
        <sz val="9"/>
        <color theme="1"/>
        <rFont val="华文细黑"/>
        <family val="3"/>
        <charset val="134"/>
      </rPr>
      <t>京房权证朝字第</t>
    </r>
    <r>
      <rPr>
        <sz val="9"/>
        <color theme="1"/>
        <rFont val="Arial"/>
        <family val="2"/>
      </rPr>
      <t>620673</t>
    </r>
    <r>
      <rPr>
        <sz val="9"/>
        <color theme="1"/>
        <rFont val="华文细黑"/>
        <family val="3"/>
        <charset val="134"/>
      </rPr>
      <t>号</t>
    </r>
  </si>
  <si>
    <r>
      <t>朝阳区东四环北路</t>
    </r>
    <r>
      <rPr>
        <sz val="9"/>
        <color theme="1"/>
        <rFont val="Arial"/>
        <family val="2"/>
      </rPr>
      <t>2</t>
    </r>
    <r>
      <rPr>
        <sz val="9"/>
        <color theme="1"/>
        <rFont val="华文细黑"/>
        <family val="3"/>
        <charset val="134"/>
      </rPr>
      <t>号</t>
    </r>
    <r>
      <rPr>
        <sz val="9"/>
        <color theme="1"/>
        <rFont val="Arial"/>
        <family val="2"/>
      </rPr>
      <t>13</t>
    </r>
    <r>
      <rPr>
        <sz val="9"/>
        <color theme="1"/>
        <rFont val="华文细黑"/>
        <family val="3"/>
        <charset val="134"/>
      </rPr>
      <t>层</t>
    </r>
    <r>
      <rPr>
        <sz val="9"/>
        <color theme="1"/>
        <rFont val="Arial"/>
        <family val="2"/>
      </rPr>
      <t>1610</t>
    </r>
  </si>
  <si>
    <r>
      <t>X</t>
    </r>
    <r>
      <rPr>
        <sz val="9"/>
        <color theme="1"/>
        <rFont val="华文细黑"/>
        <family val="3"/>
        <charset val="134"/>
      </rPr>
      <t>京房权证朝字第</t>
    </r>
    <r>
      <rPr>
        <sz val="9"/>
        <color theme="1"/>
        <rFont val="Arial"/>
        <family val="2"/>
      </rPr>
      <t>620676</t>
    </r>
    <r>
      <rPr>
        <sz val="9"/>
        <color theme="1"/>
        <rFont val="华文细黑"/>
        <family val="3"/>
        <charset val="134"/>
      </rPr>
      <t>号</t>
    </r>
  </si>
  <si>
    <r>
      <t>朝阳区东四环北路</t>
    </r>
    <r>
      <rPr>
        <sz val="9"/>
        <color theme="1"/>
        <rFont val="Arial"/>
        <family val="2"/>
      </rPr>
      <t>2</t>
    </r>
    <r>
      <rPr>
        <sz val="9"/>
        <color theme="1"/>
        <rFont val="华文细黑"/>
        <family val="3"/>
        <charset val="134"/>
      </rPr>
      <t>号</t>
    </r>
    <r>
      <rPr>
        <sz val="9"/>
        <color theme="1"/>
        <rFont val="Arial"/>
        <family val="2"/>
      </rPr>
      <t>14</t>
    </r>
    <r>
      <rPr>
        <sz val="9"/>
        <color theme="1"/>
        <rFont val="华文细黑"/>
        <family val="3"/>
        <charset val="134"/>
      </rPr>
      <t>层</t>
    </r>
    <r>
      <rPr>
        <sz val="9"/>
        <color theme="1"/>
        <rFont val="Arial"/>
        <family val="2"/>
      </rPr>
      <t>1710</t>
    </r>
  </si>
  <si>
    <r>
      <t>X</t>
    </r>
    <r>
      <rPr>
        <sz val="9"/>
        <color theme="1"/>
        <rFont val="华文细黑"/>
        <family val="3"/>
        <charset val="134"/>
      </rPr>
      <t>京房权证朝字第</t>
    </r>
    <r>
      <rPr>
        <sz val="9"/>
        <color theme="1"/>
        <rFont val="Arial"/>
        <family val="2"/>
      </rPr>
      <t>620680</t>
    </r>
    <r>
      <rPr>
        <sz val="9"/>
        <color theme="1"/>
        <rFont val="华文细黑"/>
        <family val="3"/>
        <charset val="134"/>
      </rPr>
      <t>号</t>
    </r>
  </si>
  <si>
    <r>
      <t>朝阳区东四环北路</t>
    </r>
    <r>
      <rPr>
        <sz val="9"/>
        <color theme="1"/>
        <rFont val="Arial"/>
        <family val="2"/>
      </rPr>
      <t>2</t>
    </r>
    <r>
      <rPr>
        <sz val="9"/>
        <color theme="1"/>
        <rFont val="华文细黑"/>
        <family val="3"/>
        <charset val="134"/>
      </rPr>
      <t>号</t>
    </r>
    <r>
      <rPr>
        <sz val="9"/>
        <color theme="1"/>
        <rFont val="Arial"/>
        <family val="2"/>
      </rPr>
      <t>15</t>
    </r>
    <r>
      <rPr>
        <sz val="9"/>
        <color theme="1"/>
        <rFont val="华文细黑"/>
        <family val="3"/>
        <charset val="134"/>
      </rPr>
      <t>层</t>
    </r>
    <r>
      <rPr>
        <sz val="9"/>
        <color theme="1"/>
        <rFont val="Arial"/>
        <family val="2"/>
      </rPr>
      <t>1810</t>
    </r>
  </si>
  <si>
    <r>
      <t>X</t>
    </r>
    <r>
      <rPr>
        <sz val="9"/>
        <color theme="1"/>
        <rFont val="华文细黑"/>
        <family val="3"/>
        <charset val="134"/>
      </rPr>
      <t>京房权证朝字第</t>
    </r>
    <r>
      <rPr>
        <sz val="9"/>
        <color theme="1"/>
        <rFont val="Arial"/>
        <family val="2"/>
      </rPr>
      <t>620683</t>
    </r>
    <r>
      <rPr>
        <sz val="9"/>
        <color theme="1"/>
        <rFont val="华文细黑"/>
        <family val="3"/>
        <charset val="134"/>
      </rPr>
      <t>号</t>
    </r>
  </si>
  <si>
    <r>
      <t>朝阳区东四环北路</t>
    </r>
    <r>
      <rPr>
        <sz val="9"/>
        <color theme="1"/>
        <rFont val="Arial"/>
        <family val="2"/>
      </rPr>
      <t>2</t>
    </r>
    <r>
      <rPr>
        <sz val="9"/>
        <color theme="1"/>
        <rFont val="华文细黑"/>
        <family val="3"/>
        <charset val="134"/>
      </rPr>
      <t>号</t>
    </r>
    <r>
      <rPr>
        <sz val="9"/>
        <color theme="1"/>
        <rFont val="Arial"/>
        <family val="2"/>
      </rPr>
      <t>16</t>
    </r>
    <r>
      <rPr>
        <sz val="9"/>
        <color theme="1"/>
        <rFont val="华文细黑"/>
        <family val="3"/>
        <charset val="134"/>
      </rPr>
      <t>层</t>
    </r>
    <r>
      <rPr>
        <sz val="9"/>
        <color theme="1"/>
        <rFont val="Arial"/>
        <family val="2"/>
      </rPr>
      <t>1910</t>
    </r>
  </si>
  <si>
    <r>
      <t>X</t>
    </r>
    <r>
      <rPr>
        <sz val="9"/>
        <color theme="1"/>
        <rFont val="华文细黑"/>
        <family val="3"/>
        <charset val="134"/>
      </rPr>
      <t>京房权证朝字第</t>
    </r>
    <r>
      <rPr>
        <sz val="9"/>
        <color theme="1"/>
        <rFont val="Arial"/>
        <family val="2"/>
      </rPr>
      <t>620687</t>
    </r>
    <r>
      <rPr>
        <sz val="9"/>
        <color theme="1"/>
        <rFont val="华文细黑"/>
        <family val="3"/>
        <charset val="134"/>
      </rPr>
      <t>号</t>
    </r>
  </si>
  <si>
    <r>
      <t>朝阳区东四环北路</t>
    </r>
    <r>
      <rPr>
        <sz val="9"/>
        <color theme="1"/>
        <rFont val="Arial"/>
        <family val="2"/>
      </rPr>
      <t>2</t>
    </r>
    <r>
      <rPr>
        <sz val="9"/>
        <color theme="1"/>
        <rFont val="华文细黑"/>
        <family val="3"/>
        <charset val="134"/>
      </rPr>
      <t>号</t>
    </r>
    <r>
      <rPr>
        <sz val="9"/>
        <color theme="1"/>
        <rFont val="Arial"/>
        <family val="2"/>
      </rPr>
      <t>17</t>
    </r>
    <r>
      <rPr>
        <sz val="9"/>
        <color theme="1"/>
        <rFont val="华文细黑"/>
        <family val="3"/>
        <charset val="134"/>
      </rPr>
      <t>层</t>
    </r>
    <r>
      <rPr>
        <sz val="9"/>
        <color theme="1"/>
        <rFont val="Arial"/>
        <family val="2"/>
      </rPr>
      <t>2010</t>
    </r>
  </si>
  <si>
    <r>
      <t>X</t>
    </r>
    <r>
      <rPr>
        <sz val="9"/>
        <color theme="1"/>
        <rFont val="华文细黑"/>
        <family val="3"/>
        <charset val="134"/>
      </rPr>
      <t>京房权证朝字第</t>
    </r>
    <r>
      <rPr>
        <sz val="9"/>
        <color theme="1"/>
        <rFont val="Arial"/>
        <family val="2"/>
      </rPr>
      <t>620684</t>
    </r>
    <r>
      <rPr>
        <sz val="9"/>
        <color theme="1"/>
        <rFont val="华文细黑"/>
        <family val="3"/>
        <charset val="134"/>
      </rPr>
      <t>号</t>
    </r>
  </si>
  <si>
    <r>
      <t>朝阳区东四环北路</t>
    </r>
    <r>
      <rPr>
        <sz val="9"/>
        <color theme="1"/>
        <rFont val="Arial"/>
        <family val="2"/>
      </rPr>
      <t>2</t>
    </r>
    <r>
      <rPr>
        <sz val="9"/>
        <color theme="1"/>
        <rFont val="华文细黑"/>
        <family val="3"/>
        <charset val="134"/>
      </rPr>
      <t>号</t>
    </r>
    <r>
      <rPr>
        <sz val="9"/>
        <color theme="1"/>
        <rFont val="Arial"/>
        <family val="2"/>
      </rPr>
      <t>18</t>
    </r>
    <r>
      <rPr>
        <sz val="9"/>
        <color theme="1"/>
        <rFont val="华文细黑"/>
        <family val="3"/>
        <charset val="134"/>
      </rPr>
      <t>层</t>
    </r>
    <r>
      <rPr>
        <sz val="9"/>
        <color theme="1"/>
        <rFont val="Arial"/>
        <family val="2"/>
      </rPr>
      <t>2110</t>
    </r>
  </si>
  <si>
    <r>
      <t>X</t>
    </r>
    <r>
      <rPr>
        <sz val="9"/>
        <color theme="1"/>
        <rFont val="华文细黑"/>
        <family val="3"/>
        <charset val="134"/>
      </rPr>
      <t>京房权证朝字第</t>
    </r>
    <r>
      <rPr>
        <sz val="9"/>
        <color theme="1"/>
        <rFont val="Arial"/>
        <family val="2"/>
      </rPr>
      <t>620688</t>
    </r>
    <r>
      <rPr>
        <sz val="9"/>
        <color theme="1"/>
        <rFont val="华文细黑"/>
        <family val="3"/>
        <charset val="134"/>
      </rPr>
      <t>号</t>
    </r>
  </si>
  <si>
    <r>
      <t>朝阳区东四环北路</t>
    </r>
    <r>
      <rPr>
        <sz val="9"/>
        <color theme="1"/>
        <rFont val="Arial"/>
        <family val="2"/>
      </rPr>
      <t>2</t>
    </r>
    <r>
      <rPr>
        <sz val="9"/>
        <color theme="1"/>
        <rFont val="华文细黑"/>
        <family val="3"/>
        <charset val="134"/>
      </rPr>
      <t>号</t>
    </r>
    <r>
      <rPr>
        <sz val="9"/>
        <color theme="1"/>
        <rFont val="Arial"/>
        <family val="2"/>
      </rPr>
      <t>19</t>
    </r>
    <r>
      <rPr>
        <sz val="9"/>
        <color theme="1"/>
        <rFont val="华文细黑"/>
        <family val="3"/>
        <charset val="134"/>
      </rPr>
      <t>层</t>
    </r>
    <r>
      <rPr>
        <sz val="9"/>
        <color theme="1"/>
        <rFont val="Arial"/>
        <family val="2"/>
      </rPr>
      <t>2210</t>
    </r>
  </si>
  <si>
    <r>
      <t>X</t>
    </r>
    <r>
      <rPr>
        <sz val="9"/>
        <color theme="1"/>
        <rFont val="华文细黑"/>
        <family val="3"/>
        <charset val="134"/>
      </rPr>
      <t>京房权证朝字第</t>
    </r>
    <r>
      <rPr>
        <sz val="9"/>
        <color theme="1"/>
        <rFont val="Arial"/>
        <family val="2"/>
      </rPr>
      <t>620691</t>
    </r>
    <r>
      <rPr>
        <sz val="9"/>
        <color theme="1"/>
        <rFont val="华文细黑"/>
        <family val="3"/>
        <charset val="134"/>
      </rPr>
      <t>号</t>
    </r>
  </si>
  <si>
    <r>
      <t>朝阳区东四环北路</t>
    </r>
    <r>
      <rPr>
        <sz val="9"/>
        <color theme="1"/>
        <rFont val="Arial"/>
        <family val="2"/>
      </rPr>
      <t>2</t>
    </r>
    <r>
      <rPr>
        <sz val="9"/>
        <color theme="1"/>
        <rFont val="华文细黑"/>
        <family val="3"/>
        <charset val="134"/>
      </rPr>
      <t>号</t>
    </r>
    <r>
      <rPr>
        <sz val="9"/>
        <color theme="1"/>
        <rFont val="Arial"/>
        <family val="2"/>
      </rPr>
      <t>20</t>
    </r>
    <r>
      <rPr>
        <sz val="9"/>
        <color theme="1"/>
        <rFont val="华文细黑"/>
        <family val="3"/>
        <charset val="134"/>
      </rPr>
      <t>层</t>
    </r>
    <r>
      <rPr>
        <sz val="9"/>
        <color theme="1"/>
        <rFont val="Arial"/>
        <family val="2"/>
      </rPr>
      <t>2310</t>
    </r>
  </si>
  <si>
    <r>
      <t>X</t>
    </r>
    <r>
      <rPr>
        <sz val="9"/>
        <color theme="1"/>
        <rFont val="华文细黑"/>
        <family val="3"/>
        <charset val="134"/>
      </rPr>
      <t>京房权证朝字第</t>
    </r>
    <r>
      <rPr>
        <sz val="9"/>
        <color theme="1"/>
        <rFont val="Arial"/>
        <family val="2"/>
      </rPr>
      <t>620695</t>
    </r>
    <r>
      <rPr>
        <sz val="9"/>
        <color theme="1"/>
        <rFont val="华文细黑"/>
        <family val="3"/>
        <charset val="134"/>
      </rPr>
      <t>号</t>
    </r>
  </si>
  <si>
    <r>
      <t>朝阳区东四环北路</t>
    </r>
    <r>
      <rPr>
        <sz val="9"/>
        <color theme="1"/>
        <rFont val="Arial"/>
        <family val="2"/>
      </rPr>
      <t>2</t>
    </r>
    <r>
      <rPr>
        <sz val="9"/>
        <color theme="1"/>
        <rFont val="华文细黑"/>
        <family val="3"/>
        <charset val="134"/>
      </rPr>
      <t>号</t>
    </r>
    <r>
      <rPr>
        <sz val="9"/>
        <color theme="1"/>
        <rFont val="Arial"/>
        <family val="2"/>
      </rPr>
      <t>21</t>
    </r>
    <r>
      <rPr>
        <sz val="9"/>
        <color theme="1"/>
        <rFont val="华文细黑"/>
        <family val="3"/>
        <charset val="134"/>
      </rPr>
      <t>层</t>
    </r>
    <r>
      <rPr>
        <sz val="9"/>
        <color theme="1"/>
        <rFont val="Arial"/>
        <family val="2"/>
      </rPr>
      <t>2510</t>
    </r>
  </si>
  <si>
    <r>
      <t>X</t>
    </r>
    <r>
      <rPr>
        <sz val="9"/>
        <color theme="1"/>
        <rFont val="华文细黑"/>
        <family val="3"/>
        <charset val="134"/>
      </rPr>
      <t>京房权证朝字第</t>
    </r>
    <r>
      <rPr>
        <sz val="9"/>
        <color theme="1"/>
        <rFont val="Arial"/>
        <family val="2"/>
      </rPr>
      <t>620696</t>
    </r>
    <r>
      <rPr>
        <sz val="9"/>
        <color theme="1"/>
        <rFont val="华文细黑"/>
        <family val="3"/>
        <charset val="134"/>
      </rPr>
      <t>号</t>
    </r>
  </si>
  <si>
    <r>
      <t>朝阳区东四环北路</t>
    </r>
    <r>
      <rPr>
        <sz val="9"/>
        <color theme="1"/>
        <rFont val="Arial"/>
        <family val="2"/>
      </rPr>
      <t>2</t>
    </r>
    <r>
      <rPr>
        <sz val="9"/>
        <color theme="1"/>
        <rFont val="华文细黑"/>
        <family val="3"/>
        <charset val="134"/>
      </rPr>
      <t>号</t>
    </r>
    <r>
      <rPr>
        <sz val="9"/>
        <color theme="1"/>
        <rFont val="Arial"/>
        <family val="2"/>
      </rPr>
      <t>22</t>
    </r>
    <r>
      <rPr>
        <sz val="9"/>
        <color theme="1"/>
        <rFont val="华文细黑"/>
        <family val="3"/>
        <charset val="134"/>
      </rPr>
      <t>层</t>
    </r>
    <r>
      <rPr>
        <sz val="9"/>
        <color theme="1"/>
        <rFont val="Arial"/>
        <family val="2"/>
      </rPr>
      <t>2610</t>
    </r>
  </si>
  <si>
    <r>
      <t>X</t>
    </r>
    <r>
      <rPr>
        <sz val="9"/>
        <color theme="1"/>
        <rFont val="华文细黑"/>
        <family val="3"/>
        <charset val="134"/>
      </rPr>
      <t>京房权证朝字第</t>
    </r>
    <r>
      <rPr>
        <sz val="9"/>
        <color theme="1"/>
        <rFont val="Arial"/>
        <family val="2"/>
      </rPr>
      <t>620698</t>
    </r>
    <r>
      <rPr>
        <sz val="9"/>
        <color theme="1"/>
        <rFont val="华文细黑"/>
        <family val="3"/>
        <charset val="134"/>
      </rPr>
      <t>号</t>
    </r>
  </si>
  <si>
    <r>
      <t>朝阳区东四环北路</t>
    </r>
    <r>
      <rPr>
        <sz val="9"/>
        <color theme="1"/>
        <rFont val="Arial"/>
        <family val="2"/>
      </rPr>
      <t>2</t>
    </r>
    <r>
      <rPr>
        <sz val="9"/>
        <color theme="1"/>
        <rFont val="华文细黑"/>
        <family val="3"/>
        <charset val="134"/>
      </rPr>
      <t>号</t>
    </r>
    <r>
      <rPr>
        <sz val="9"/>
        <color theme="1"/>
        <rFont val="Arial"/>
        <family val="2"/>
      </rPr>
      <t>23</t>
    </r>
    <r>
      <rPr>
        <sz val="9"/>
        <color theme="1"/>
        <rFont val="华文细黑"/>
        <family val="3"/>
        <charset val="134"/>
      </rPr>
      <t>层</t>
    </r>
    <r>
      <rPr>
        <sz val="9"/>
        <color theme="1"/>
        <rFont val="Arial"/>
        <family val="2"/>
      </rPr>
      <t>2710</t>
    </r>
  </si>
  <si>
    <r>
      <t>X</t>
    </r>
    <r>
      <rPr>
        <sz val="9"/>
        <color theme="1"/>
        <rFont val="华文细黑"/>
        <family val="3"/>
        <charset val="134"/>
      </rPr>
      <t>京房权证朝字第</t>
    </r>
    <r>
      <rPr>
        <sz val="9"/>
        <color theme="1"/>
        <rFont val="Arial"/>
        <family val="2"/>
      </rPr>
      <t>620702</t>
    </r>
    <r>
      <rPr>
        <sz val="9"/>
        <color theme="1"/>
        <rFont val="华文细黑"/>
        <family val="3"/>
        <charset val="134"/>
      </rPr>
      <t>号</t>
    </r>
  </si>
  <si>
    <r>
      <t>朝阳区东四环北路</t>
    </r>
    <r>
      <rPr>
        <sz val="9"/>
        <color theme="1"/>
        <rFont val="Arial"/>
        <family val="2"/>
      </rPr>
      <t>2</t>
    </r>
    <r>
      <rPr>
        <sz val="9"/>
        <color theme="1"/>
        <rFont val="华文细黑"/>
        <family val="3"/>
        <charset val="134"/>
      </rPr>
      <t>号</t>
    </r>
    <r>
      <rPr>
        <sz val="9"/>
        <color theme="1"/>
        <rFont val="Arial"/>
        <family val="2"/>
      </rPr>
      <t>24</t>
    </r>
    <r>
      <rPr>
        <sz val="9"/>
        <color theme="1"/>
        <rFont val="华文细黑"/>
        <family val="3"/>
        <charset val="134"/>
      </rPr>
      <t>层</t>
    </r>
    <r>
      <rPr>
        <sz val="9"/>
        <color theme="1"/>
        <rFont val="Arial"/>
        <family val="2"/>
      </rPr>
      <t>2810</t>
    </r>
  </si>
  <si>
    <r>
      <t>X</t>
    </r>
    <r>
      <rPr>
        <sz val="9"/>
        <color theme="1"/>
        <rFont val="华文细黑"/>
        <family val="3"/>
        <charset val="134"/>
      </rPr>
      <t>京房权证朝字第</t>
    </r>
    <r>
      <rPr>
        <sz val="9"/>
        <color theme="1"/>
        <rFont val="Arial"/>
        <family val="2"/>
      </rPr>
      <t>620703</t>
    </r>
    <r>
      <rPr>
        <sz val="9"/>
        <color theme="1"/>
        <rFont val="华文细黑"/>
        <family val="3"/>
        <charset val="134"/>
      </rPr>
      <t>号</t>
    </r>
  </si>
  <si>
    <r>
      <t>朝阳区东四环北路</t>
    </r>
    <r>
      <rPr>
        <sz val="9"/>
        <color theme="1"/>
        <rFont val="Arial"/>
        <family val="2"/>
      </rPr>
      <t>2</t>
    </r>
    <r>
      <rPr>
        <sz val="9"/>
        <color theme="1"/>
        <rFont val="华文细黑"/>
        <family val="3"/>
        <charset val="134"/>
      </rPr>
      <t>号</t>
    </r>
    <r>
      <rPr>
        <sz val="9"/>
        <color theme="1"/>
        <rFont val="Arial"/>
        <family val="2"/>
      </rPr>
      <t>25</t>
    </r>
    <r>
      <rPr>
        <sz val="9"/>
        <color theme="1"/>
        <rFont val="华文细黑"/>
        <family val="3"/>
        <charset val="134"/>
      </rPr>
      <t>层</t>
    </r>
    <r>
      <rPr>
        <sz val="9"/>
        <color theme="1"/>
        <rFont val="Arial"/>
        <family val="2"/>
      </rPr>
      <t>2910</t>
    </r>
  </si>
  <si>
    <r>
      <t>X</t>
    </r>
    <r>
      <rPr>
        <sz val="9"/>
        <color theme="1"/>
        <rFont val="华文细黑"/>
        <family val="3"/>
        <charset val="134"/>
      </rPr>
      <t>京房权证朝字第</t>
    </r>
    <r>
      <rPr>
        <sz val="9"/>
        <color theme="1"/>
        <rFont val="Arial"/>
        <family val="2"/>
      </rPr>
      <t>620705</t>
    </r>
    <r>
      <rPr>
        <sz val="9"/>
        <color theme="1"/>
        <rFont val="华文细黑"/>
        <family val="3"/>
        <charset val="134"/>
      </rPr>
      <t>号</t>
    </r>
  </si>
  <si>
    <r>
      <t>朝阳区东四环北路</t>
    </r>
    <r>
      <rPr>
        <sz val="9"/>
        <color theme="1"/>
        <rFont val="Arial"/>
        <family val="2"/>
      </rPr>
      <t>2</t>
    </r>
    <r>
      <rPr>
        <sz val="9"/>
        <color theme="1"/>
        <rFont val="华文细黑"/>
        <family val="3"/>
        <charset val="134"/>
      </rPr>
      <t>号</t>
    </r>
    <r>
      <rPr>
        <sz val="9"/>
        <color theme="1"/>
        <rFont val="Arial"/>
        <family val="2"/>
      </rPr>
      <t>26</t>
    </r>
    <r>
      <rPr>
        <sz val="9"/>
        <color theme="1"/>
        <rFont val="华文细黑"/>
        <family val="3"/>
        <charset val="134"/>
      </rPr>
      <t>层</t>
    </r>
    <r>
      <rPr>
        <sz val="9"/>
        <color theme="1"/>
        <rFont val="Arial"/>
        <family val="2"/>
      </rPr>
      <t>3010</t>
    </r>
  </si>
  <si>
    <r>
      <t>X</t>
    </r>
    <r>
      <rPr>
        <sz val="9"/>
        <color theme="1"/>
        <rFont val="华文细黑"/>
        <family val="3"/>
        <charset val="134"/>
      </rPr>
      <t>京房权证朝字第</t>
    </r>
    <r>
      <rPr>
        <sz val="9"/>
        <color theme="1"/>
        <rFont val="Arial"/>
        <family val="2"/>
      </rPr>
      <t>620706</t>
    </r>
    <r>
      <rPr>
        <sz val="9"/>
        <color theme="1"/>
        <rFont val="华文细黑"/>
        <family val="3"/>
        <charset val="134"/>
      </rPr>
      <t>号</t>
    </r>
  </si>
  <si>
    <r>
      <t>朝阳区东四环北路</t>
    </r>
    <r>
      <rPr>
        <sz val="9"/>
        <color theme="1"/>
        <rFont val="Arial"/>
        <family val="2"/>
      </rPr>
      <t>2</t>
    </r>
    <r>
      <rPr>
        <sz val="9"/>
        <color theme="1"/>
        <rFont val="华文细黑"/>
        <family val="3"/>
        <charset val="134"/>
      </rPr>
      <t>号</t>
    </r>
    <r>
      <rPr>
        <sz val="9"/>
        <color theme="1"/>
        <rFont val="Arial"/>
        <family val="2"/>
      </rPr>
      <t>27</t>
    </r>
    <r>
      <rPr>
        <sz val="9"/>
        <color theme="1"/>
        <rFont val="华文细黑"/>
        <family val="3"/>
        <charset val="134"/>
      </rPr>
      <t>层</t>
    </r>
    <r>
      <rPr>
        <sz val="9"/>
        <color theme="1"/>
        <rFont val="Arial"/>
        <family val="2"/>
      </rPr>
      <t>3110</t>
    </r>
  </si>
  <si>
    <r>
      <t>X</t>
    </r>
    <r>
      <rPr>
        <sz val="9"/>
        <color theme="1"/>
        <rFont val="华文细黑"/>
        <family val="3"/>
        <charset val="134"/>
      </rPr>
      <t>京房权证朝字第</t>
    </r>
    <r>
      <rPr>
        <sz val="9"/>
        <color theme="1"/>
        <rFont val="Arial"/>
        <family val="2"/>
      </rPr>
      <t>620709</t>
    </r>
    <r>
      <rPr>
        <sz val="9"/>
        <color theme="1"/>
        <rFont val="华文细黑"/>
        <family val="3"/>
        <charset val="134"/>
      </rPr>
      <t>号</t>
    </r>
  </si>
  <si>
    <r>
      <t>朝阳区东四环北路</t>
    </r>
    <r>
      <rPr>
        <sz val="9"/>
        <color theme="1"/>
        <rFont val="Arial"/>
        <family val="2"/>
      </rPr>
      <t>2</t>
    </r>
    <r>
      <rPr>
        <sz val="9"/>
        <color theme="1"/>
        <rFont val="华文细黑"/>
        <family val="3"/>
        <charset val="134"/>
      </rPr>
      <t>号</t>
    </r>
    <r>
      <rPr>
        <sz val="9"/>
        <color theme="1"/>
        <rFont val="Arial"/>
        <family val="2"/>
      </rPr>
      <t>27</t>
    </r>
    <r>
      <rPr>
        <sz val="9"/>
        <color theme="1"/>
        <rFont val="华文细黑"/>
        <family val="3"/>
        <charset val="134"/>
      </rPr>
      <t>层附属酒店</t>
    </r>
  </si>
  <si>
    <r>
      <t>X</t>
    </r>
    <r>
      <rPr>
        <sz val="9"/>
        <color theme="1"/>
        <rFont val="华文细黑"/>
        <family val="3"/>
        <charset val="134"/>
      </rPr>
      <t>京房权证朝字第</t>
    </r>
    <r>
      <rPr>
        <sz val="9"/>
        <color theme="1"/>
        <rFont val="Arial"/>
        <family val="2"/>
      </rPr>
      <t>630558</t>
    </r>
    <r>
      <rPr>
        <sz val="9"/>
        <color theme="1"/>
        <rFont val="华文细黑"/>
        <family val="3"/>
        <charset val="134"/>
      </rPr>
      <t>号</t>
    </r>
  </si>
  <si>
    <r>
      <t>朝阳区东四环北路</t>
    </r>
    <r>
      <rPr>
        <sz val="9"/>
        <color theme="1"/>
        <rFont val="Arial"/>
        <family val="2"/>
      </rPr>
      <t>2</t>
    </r>
    <r>
      <rPr>
        <sz val="9"/>
        <color theme="1"/>
        <rFont val="华文细黑"/>
        <family val="3"/>
        <charset val="134"/>
      </rPr>
      <t>号（车库）</t>
    </r>
  </si>
  <si>
    <r>
      <t>X</t>
    </r>
    <r>
      <rPr>
        <sz val="9"/>
        <color theme="1"/>
        <rFont val="华文细黑"/>
        <family val="3"/>
        <charset val="134"/>
      </rPr>
      <t>京房权证朝字第</t>
    </r>
    <r>
      <rPr>
        <sz val="9"/>
        <color theme="1"/>
        <rFont val="Arial"/>
        <family val="2"/>
      </rPr>
      <t>630562</t>
    </r>
    <r>
      <rPr>
        <sz val="9"/>
        <color theme="1"/>
        <rFont val="华文细黑"/>
        <family val="3"/>
        <charset val="134"/>
      </rPr>
      <t>号</t>
    </r>
  </si>
  <si>
    <r>
      <t>B1</t>
    </r>
    <r>
      <rPr>
        <sz val="9"/>
        <color theme="1"/>
        <rFont val="华文细黑"/>
        <family val="3"/>
        <charset val="134"/>
      </rPr>
      <t>、夹层、</t>
    </r>
    <r>
      <rPr>
        <sz val="9"/>
        <color theme="1"/>
        <rFont val="Arial"/>
        <family val="2"/>
      </rPr>
      <t>B2</t>
    </r>
  </si>
  <si>
    <t>合计</t>
  </si>
</sst>
</file>

<file path=xl/styles.xml><?xml version="1.0" encoding="utf-8"?>
<styleSheet xmlns="http://schemas.openxmlformats.org/spreadsheetml/2006/main" xmlns:mc="http://schemas.openxmlformats.org/markup-compatibility/2006" xmlns:x14ac="http://schemas.microsoft.com/office/spreadsheetml/2009/9/ac" mc:Ignorable="x14ac">
  <numFmts count="32">
    <numFmt numFmtId="44" formatCode="_ &quot;¥&quot;* #,##0.00_ ;_ &quot;¥&quot;* \-#,##0.00_ ;_ &quot;¥&quot;*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 &quot;个月&quot;"/>
    <numFmt numFmtId="197" formatCode="0\ &quot;年&quot;"/>
    <numFmt numFmtId="198" formatCode="\ &quot;人民币&quot;0.00&quot;/平米/天&quot;"/>
    <numFmt numFmtId="199" formatCode="&quot;￥&quot;#,##0.00;&quot;￥&quot;\-#,##0.00"/>
    <numFmt numFmtId="200" formatCode="_ [$¥-804]* #,##0.00_ ;_ [$¥-804]* \-#,##0.00_ ;_ [$¥-804]* &quot;-&quot;??_ ;_ @_ "/>
    <numFmt numFmtId="201" formatCode="#,##0.00_);[Red]\(#,##0.00\)"/>
    <numFmt numFmtId="202" formatCode="\ &quot;人民币&quot;0.00&quot;/平米/月&quot;"/>
    <numFmt numFmtId="203" formatCode="#,##0.00_);\(#,##0.00\)"/>
    <numFmt numFmtId="204" formatCode="0_);\(0\)"/>
    <numFmt numFmtId="205" formatCode="000000"/>
  </numFmts>
  <fonts count="296">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0"/>
      <name val="微软雅黑"/>
      <family val="2"/>
      <charset val="134"/>
    </font>
    <font>
      <sz val="10"/>
      <name val="微软雅黑"/>
      <family val="2"/>
      <charset val="134"/>
    </font>
    <font>
      <b/>
      <sz val="10"/>
      <color theme="0"/>
      <name val="微软雅黑"/>
      <family val="2"/>
      <charset val="134"/>
    </font>
    <font>
      <sz val="9"/>
      <name val="Calibri"/>
      <family val="2"/>
    </font>
    <font>
      <sz val="10"/>
      <name val="Times New Roman"/>
      <family val="1"/>
    </font>
    <font>
      <sz val="9"/>
      <name val="微软雅黑"/>
      <family val="2"/>
      <charset val="134"/>
    </font>
    <font>
      <sz val="9"/>
      <name val="Palatino Linotype"/>
      <family val="1"/>
    </font>
    <font>
      <sz val="11"/>
      <name val="돋움"/>
      <family val="2"/>
    </font>
    <font>
      <sz val="14"/>
      <name val="Times New Roman"/>
      <family val="1"/>
    </font>
    <font>
      <sz val="14"/>
      <name val="宋体"/>
      <family val="3"/>
      <charset val="134"/>
    </font>
    <font>
      <sz val="10"/>
      <color theme="1"/>
      <name val="Times New Roman"/>
      <family val="1"/>
    </font>
    <font>
      <b/>
      <sz val="10"/>
      <color rgb="FFFFFFFF"/>
      <name val="Times New Roman"/>
      <family val="1"/>
    </font>
    <font>
      <b/>
      <sz val="10"/>
      <color rgb="FFFFFFFF"/>
      <name val="宋体"/>
      <family val="3"/>
      <charset val="134"/>
    </font>
    <font>
      <b/>
      <sz val="10"/>
      <name val="Times New Roman"/>
      <family val="1"/>
    </font>
    <font>
      <sz val="10"/>
      <color theme="9" tint="0.59999389629810485"/>
      <name val="Times New Roman"/>
      <family val="1"/>
    </font>
    <font>
      <sz val="10"/>
      <name val="宋体"/>
      <family val="1"/>
      <charset val="134"/>
    </font>
    <font>
      <sz val="10"/>
      <color rgb="FFFFFFFF"/>
      <name val="Times New Roman"/>
      <family val="1"/>
    </font>
    <font>
      <b/>
      <sz val="10"/>
      <color theme="0"/>
      <name val="Times New Roman"/>
      <family val="1"/>
    </font>
    <font>
      <b/>
      <sz val="10"/>
      <color theme="0"/>
      <name val="宋体"/>
      <family val="3"/>
      <charset val="134"/>
    </font>
    <font>
      <sz val="10"/>
      <color indexed="9"/>
      <name val="Times New Roman"/>
      <family val="1"/>
    </font>
    <font>
      <b/>
      <sz val="9"/>
      <name val="微软雅黑"/>
      <family val="2"/>
      <charset val="134"/>
    </font>
    <font>
      <sz val="10"/>
      <color theme="0"/>
      <name val="宋体"/>
      <family val="3"/>
      <charset val="134"/>
    </font>
    <font>
      <sz val="11"/>
      <color rgb="FFFF0000"/>
      <name val="宋体"/>
      <family val="2"/>
      <charset val="134"/>
      <scheme val="minor"/>
    </font>
    <font>
      <sz val="10"/>
      <color rgb="FF000000"/>
      <name val="Times New Roman"/>
      <family val="1"/>
    </font>
    <font>
      <sz val="11"/>
      <color theme="1"/>
      <name val="华文细黑"/>
      <family val="3"/>
      <charset val="134"/>
    </font>
    <font>
      <b/>
      <sz val="11"/>
      <color theme="1"/>
      <name val="华文细黑"/>
      <family val="3"/>
      <charset val="134"/>
    </font>
    <font>
      <sz val="9"/>
      <color theme="1"/>
      <name val="Arial"/>
      <family val="2"/>
    </font>
  </fonts>
  <fills count="3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70C0"/>
        <bgColor indexed="64"/>
      </patternFill>
    </fill>
    <fill>
      <patternFill patternType="solid">
        <fgColor indexed="55"/>
        <bgColor indexed="64"/>
      </patternFill>
    </fill>
    <fill>
      <patternFill patternType="solid">
        <fgColor indexed="11"/>
        <bgColor indexed="64"/>
      </patternFill>
    </fill>
    <fill>
      <patternFill patternType="solid">
        <fgColor theme="4"/>
        <bgColor indexed="64"/>
      </patternFill>
    </fill>
    <fill>
      <patternFill patternType="solid">
        <fgColor indexed="47"/>
        <bgColor indexed="64"/>
      </patternFill>
    </fill>
    <fill>
      <patternFill patternType="solid">
        <fgColor theme="9" tint="0.39994506668294322"/>
        <bgColor indexed="64"/>
      </patternFill>
    </fill>
    <fill>
      <patternFill patternType="solid">
        <fgColor rgb="FF66FF33"/>
        <bgColor indexed="64"/>
      </patternFill>
    </fill>
    <fill>
      <patternFill patternType="solid">
        <fgColor theme="9" tint="0.39997558519241921"/>
        <bgColor indexed="64"/>
      </patternFill>
    </fill>
    <fill>
      <patternFill patternType="solid">
        <fgColor theme="1"/>
        <bgColor indexed="64"/>
      </patternFill>
    </fill>
    <fill>
      <patternFill patternType="solid">
        <fgColor theme="2"/>
        <bgColor indexed="64"/>
      </patternFill>
    </fill>
    <fill>
      <patternFill patternType="solid">
        <fgColor theme="1" tint="0.249977111117893"/>
        <bgColor indexed="64"/>
      </patternFill>
    </fill>
    <fill>
      <patternFill patternType="solid">
        <fgColor rgb="FFC00000"/>
        <bgColor indexed="64"/>
      </patternFill>
    </fill>
    <fill>
      <patternFill patternType="solid">
        <fgColor rgb="FF00B0F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theme="0"/>
      </left>
      <right style="thin">
        <color theme="0"/>
      </right>
      <top style="thin">
        <color theme="0"/>
      </top>
      <bottom style="thin">
        <color theme="0"/>
      </bottom>
      <diagonal/>
    </border>
  </borders>
  <cellStyleXfs count="54">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59"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5" fillId="0" borderId="0" applyFont="0" applyFill="0" applyBorder="0" applyAlignment="0" applyProtection="0">
      <alignment vertical="center"/>
    </xf>
    <xf numFmtId="192" fontId="96" fillId="0" borderId="0">
      <alignment vertical="center"/>
    </xf>
    <xf numFmtId="191" fontId="37" fillId="0" borderId="0"/>
    <xf numFmtId="191" fontId="37" fillId="0" borderId="0"/>
    <xf numFmtId="43" fontId="96" fillId="0" borderId="0" applyFont="0" applyFill="0" applyBorder="0" applyAlignment="0" applyProtection="0">
      <alignment vertical="center"/>
    </xf>
    <xf numFmtId="9" fontId="96" fillId="0" borderId="0" applyFont="0" applyFill="0" applyBorder="0" applyAlignment="0" applyProtection="0">
      <alignment vertical="center"/>
    </xf>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91" fontId="275" fillId="0" borderId="0"/>
    <xf numFmtId="191" fontId="96" fillId="0" borderId="0">
      <alignment vertical="center"/>
    </xf>
    <xf numFmtId="191" fontId="96" fillId="0" borderId="0">
      <alignment vertical="center"/>
    </xf>
    <xf numFmtId="191" fontId="96" fillId="0" borderId="0"/>
    <xf numFmtId="191" fontId="54" fillId="0" borderId="0"/>
    <xf numFmtId="191" fontId="96" fillId="0" borderId="0">
      <alignment vertical="center"/>
    </xf>
    <xf numFmtId="191" fontId="276" fillId="0" borderId="0">
      <alignment vertical="center"/>
    </xf>
    <xf numFmtId="191" fontId="37" fillId="0" borderId="0">
      <alignment vertical="center"/>
    </xf>
    <xf numFmtId="191" fontId="37" fillId="0" borderId="0">
      <alignment vertical="center"/>
    </xf>
    <xf numFmtId="191" fontId="37" fillId="0" borderId="0">
      <alignment vertical="center"/>
    </xf>
    <xf numFmtId="191" fontId="37" fillId="0" borderId="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191" fontId="96" fillId="0" borderId="0"/>
    <xf numFmtId="0" fontId="221" fillId="0" borderId="0"/>
    <xf numFmtId="0" fontId="292" fillId="0" borderId="0"/>
    <xf numFmtId="0" fontId="96" fillId="0" borderId="0">
      <alignment vertical="center"/>
    </xf>
    <xf numFmtId="0" fontId="221" fillId="0" borderId="0"/>
    <xf numFmtId="0" fontId="1" fillId="0" borderId="0">
      <alignment vertical="center"/>
    </xf>
  </cellStyleXfs>
  <cellXfs count="413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5" fillId="0" borderId="0" xfId="5" applyFont="1">
      <alignment vertical="center"/>
    </xf>
    <xf numFmtId="0" fontId="96" fillId="0" borderId="0" xfId="5">
      <alignment vertical="center"/>
    </xf>
    <xf numFmtId="0" fontId="115"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2"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2"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2"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2"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20"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39"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6" fillId="0" borderId="0" xfId="0" applyFont="1" applyProtection="1">
      <alignment vertical="center"/>
      <protection locked="0"/>
    </xf>
    <xf numFmtId="0" fontId="195"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9" fillId="0" borderId="0" xfId="0" applyFont="1" applyProtection="1">
      <alignment vertical="center"/>
      <protection locked="0"/>
    </xf>
    <xf numFmtId="0" fontId="196"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0"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6"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0" fillId="0" borderId="0" xfId="0" applyFont="1" applyAlignment="1">
      <alignment horizontal="right" vertical="center"/>
    </xf>
    <xf numFmtId="0" fontId="96"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4"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4"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8"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6"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3"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2"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4"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4"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3" fillId="12" borderId="0" xfId="0" applyFont="1" applyFill="1" applyAlignment="1" applyProtection="1">
      <alignment vertical="center"/>
    </xf>
    <xf numFmtId="0" fontId="101" fillId="12" borderId="0" xfId="0" applyFont="1" applyFill="1" applyAlignment="1" applyProtection="1">
      <alignment vertical="center"/>
    </xf>
    <xf numFmtId="0" fontId="240"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6"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2"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1"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48" fillId="6" borderId="36" xfId="0" applyFont="1" applyFill="1" applyBorder="1" applyAlignment="1" applyProtection="1">
      <alignment horizontal="left" vertical="center"/>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78" fillId="7" borderId="54" xfId="0" applyFont="1" applyFill="1" applyBorder="1" applyAlignment="1" applyProtection="1">
      <alignment vertical="center" wrapText="1"/>
      <protection locked="0"/>
    </xf>
    <xf numFmtId="0" fontId="128" fillId="0" borderId="2" xfId="0" applyFont="1" applyBorder="1" applyAlignment="1" applyProtection="1">
      <alignment horizontal="center" vertical="center" wrapText="1"/>
      <protection locked="0"/>
    </xf>
    <xf numFmtId="191" fontId="269" fillId="6" borderId="5" xfId="19" applyNumberFormat="1" applyFont="1" applyFill="1" applyBorder="1" applyAlignment="1">
      <alignment vertical="center"/>
    </xf>
    <xf numFmtId="191" fontId="269" fillId="6" borderId="54" xfId="19" applyNumberFormat="1" applyFont="1" applyFill="1" applyBorder="1" applyAlignment="1">
      <alignment vertical="center"/>
    </xf>
    <xf numFmtId="3" fontId="269" fillId="6" borderId="54" xfId="19" applyNumberFormat="1" applyFont="1" applyFill="1" applyBorder="1" applyAlignment="1">
      <alignment vertical="center"/>
    </xf>
    <xf numFmtId="0" fontId="269" fillId="6" borderId="54" xfId="19" applyNumberFormat="1" applyFont="1" applyFill="1" applyBorder="1" applyAlignment="1">
      <alignment vertical="center"/>
    </xf>
    <xf numFmtId="191" fontId="270" fillId="0" borderId="0" xfId="19" applyNumberFormat="1" applyFont="1" applyFill="1" applyBorder="1" applyAlignment="1">
      <alignment horizontal="center" vertical="center"/>
    </xf>
    <xf numFmtId="191" fontId="271" fillId="22" borderId="1" xfId="19" applyNumberFormat="1" applyFont="1" applyFill="1" applyBorder="1" applyAlignment="1">
      <alignment horizontal="center" vertical="center" wrapText="1"/>
    </xf>
    <xf numFmtId="185" fontId="271" fillId="22" borderId="1" xfId="19" applyNumberFormat="1" applyFont="1" applyFill="1" applyBorder="1" applyAlignment="1">
      <alignment horizontal="center" vertical="center" wrapText="1"/>
    </xf>
    <xf numFmtId="3" fontId="271" fillId="22" borderId="1" xfId="19" applyNumberFormat="1" applyFont="1" applyFill="1" applyBorder="1" applyAlignment="1">
      <alignment horizontal="center" vertical="center" wrapText="1"/>
    </xf>
    <xf numFmtId="0" fontId="271" fillId="22" borderId="1" xfId="19" applyNumberFormat="1" applyFont="1" applyFill="1" applyBorder="1" applyAlignment="1">
      <alignment horizontal="center" vertical="center" wrapText="1"/>
    </xf>
    <xf numFmtId="191" fontId="270" fillId="0" borderId="0" xfId="19" applyNumberFormat="1" applyFont="1" applyFill="1" applyBorder="1" applyAlignment="1">
      <alignment horizontal="center" vertical="center" wrapText="1"/>
    </xf>
    <xf numFmtId="185" fontId="270" fillId="0" borderId="3" xfId="19" applyNumberFormat="1" applyFont="1" applyFill="1" applyBorder="1" applyAlignment="1">
      <alignment horizontal="center" vertical="center"/>
    </xf>
    <xf numFmtId="185" fontId="270" fillId="0" borderId="1" xfId="19" applyNumberFormat="1" applyFont="1" applyFill="1" applyBorder="1" applyAlignment="1">
      <alignment horizontal="center" vertical="center"/>
    </xf>
    <xf numFmtId="191" fontId="270" fillId="0" borderId="1" xfId="19" applyNumberFormat="1" applyFont="1" applyFill="1" applyBorder="1" applyAlignment="1">
      <alignment horizontal="center" vertical="center" wrapText="1"/>
    </xf>
    <xf numFmtId="191" fontId="270" fillId="0" borderId="1" xfId="19" applyNumberFormat="1" applyFont="1" applyFill="1" applyBorder="1" applyAlignment="1">
      <alignment horizontal="center" vertical="center"/>
    </xf>
    <xf numFmtId="4" fontId="270" fillId="0" borderId="1" xfId="19" applyNumberFormat="1" applyFont="1" applyFill="1" applyBorder="1" applyAlignment="1">
      <alignment horizontal="center" vertical="center"/>
    </xf>
    <xf numFmtId="183" fontId="270" fillId="0" borderId="1" xfId="19" applyNumberFormat="1" applyFont="1" applyFill="1" applyBorder="1" applyAlignment="1">
      <alignment horizontal="center" vertical="center"/>
    </xf>
    <xf numFmtId="196" fontId="270" fillId="0" borderId="1" xfId="19" applyNumberFormat="1" applyFont="1" applyFill="1" applyBorder="1" applyAlignment="1">
      <alignment horizontal="center" vertical="center"/>
    </xf>
    <xf numFmtId="3" fontId="270" fillId="0" borderId="1" xfId="19" applyNumberFormat="1" applyFont="1" applyFill="1" applyBorder="1" applyAlignment="1">
      <alignment horizontal="center" vertical="center"/>
    </xf>
    <xf numFmtId="197" fontId="270" fillId="0" borderId="1" xfId="19" applyNumberFormat="1" applyFont="1" applyFill="1" applyBorder="1" applyAlignment="1">
      <alignment horizontal="center" vertical="center"/>
    </xf>
    <xf numFmtId="2" fontId="270" fillId="0" borderId="1" xfId="19" applyNumberFormat="1" applyFont="1" applyFill="1" applyBorder="1" applyAlignment="1">
      <alignment horizontal="center" vertical="center"/>
    </xf>
    <xf numFmtId="43" fontId="270" fillId="0" borderId="1" xfId="19" applyNumberFormat="1" applyFont="1" applyFill="1" applyBorder="1" applyAlignment="1">
      <alignment horizontal="center" vertical="center"/>
    </xf>
    <xf numFmtId="198" fontId="270" fillId="0" borderId="1" xfId="19" applyNumberFormat="1" applyFont="1" applyFill="1" applyBorder="1" applyAlignment="1">
      <alignment horizontal="center" vertical="center"/>
    </xf>
    <xf numFmtId="199" fontId="270" fillId="0" borderId="1" xfId="19" applyNumberFormat="1" applyFont="1" applyFill="1" applyBorder="1" applyAlignment="1">
      <alignment horizontal="center" vertical="center"/>
    </xf>
    <xf numFmtId="9" fontId="270" fillId="0" borderId="1" xfId="19" applyNumberFormat="1" applyFont="1" applyFill="1" applyBorder="1" applyAlignment="1">
      <alignment horizontal="center" vertical="center"/>
    </xf>
    <xf numFmtId="0" fontId="270" fillId="0" borderId="1" xfId="19" applyNumberFormat="1" applyFont="1" applyFill="1" applyBorder="1" applyAlignment="1">
      <alignment horizontal="center" vertical="center"/>
    </xf>
    <xf numFmtId="49" fontId="270" fillId="0" borderId="1" xfId="19" applyNumberFormat="1" applyFont="1" applyFill="1" applyBorder="1" applyAlignment="1">
      <alignment horizontal="center" vertical="center"/>
    </xf>
    <xf numFmtId="200" fontId="273" fillId="0" borderId="1" xfId="19" applyNumberFormat="1" applyFont="1" applyFill="1" applyBorder="1" applyAlignment="1">
      <alignment horizontal="center" vertical="center"/>
    </xf>
    <xf numFmtId="49" fontId="270" fillId="0" borderId="1" xfId="20" applyNumberFormat="1" applyFont="1" applyBorder="1" applyAlignment="1">
      <alignment horizontal="center" vertical="center"/>
    </xf>
    <xf numFmtId="191" fontId="270" fillId="0" borderId="0" xfId="19" applyNumberFormat="1" applyFont="1" applyFill="1" applyAlignment="1">
      <alignment horizontal="center" vertical="center"/>
    </xf>
    <xf numFmtId="191" fontId="270" fillId="7" borderId="1" xfId="19" applyNumberFormat="1" applyFont="1" applyFill="1" applyBorder="1" applyAlignment="1">
      <alignment horizontal="center" vertical="center" wrapText="1"/>
    </xf>
    <xf numFmtId="191" fontId="270" fillId="7" borderId="1" xfId="19" applyNumberFormat="1" applyFont="1" applyFill="1" applyBorder="1" applyAlignment="1">
      <alignment horizontal="center" vertical="center"/>
    </xf>
    <xf numFmtId="183" fontId="270" fillId="7" borderId="1" xfId="19" applyNumberFormat="1" applyFont="1" applyFill="1" applyBorder="1" applyAlignment="1">
      <alignment horizontal="center" vertical="center"/>
    </xf>
    <xf numFmtId="196" fontId="270" fillId="7" borderId="1" xfId="19" applyNumberFormat="1" applyFont="1" applyFill="1" applyBorder="1" applyAlignment="1">
      <alignment horizontal="center" vertical="center"/>
    </xf>
    <xf numFmtId="3" fontId="270" fillId="7" borderId="1" xfId="19" applyNumberFormat="1" applyFont="1" applyFill="1" applyBorder="1" applyAlignment="1">
      <alignment horizontal="center" vertical="center"/>
    </xf>
    <xf numFmtId="197" fontId="270" fillId="7" borderId="1" xfId="19" applyNumberFormat="1" applyFont="1" applyFill="1" applyBorder="1" applyAlignment="1">
      <alignment horizontal="center" vertical="center"/>
    </xf>
    <xf numFmtId="2" fontId="270" fillId="7" borderId="1" xfId="19" applyNumberFormat="1" applyFont="1" applyFill="1" applyBorder="1" applyAlignment="1">
      <alignment horizontal="center" vertical="center"/>
    </xf>
    <xf numFmtId="198" fontId="270" fillId="7" borderId="1" xfId="19" applyNumberFormat="1" applyFont="1" applyFill="1" applyBorder="1" applyAlignment="1">
      <alignment horizontal="center" vertical="center"/>
    </xf>
    <xf numFmtId="43" fontId="270" fillId="7" borderId="1" xfId="19" applyNumberFormat="1" applyFont="1" applyFill="1" applyBorder="1" applyAlignment="1">
      <alignment horizontal="center" vertical="center"/>
    </xf>
    <xf numFmtId="191" fontId="270" fillId="7" borderId="0" xfId="19" applyNumberFormat="1" applyFont="1" applyFill="1" applyAlignment="1">
      <alignment horizontal="center" vertical="center"/>
    </xf>
    <xf numFmtId="4" fontId="270" fillId="7" borderId="1" xfId="19" applyNumberFormat="1" applyFont="1" applyFill="1" applyBorder="1" applyAlignment="1">
      <alignment horizontal="center" vertical="center"/>
    </xf>
    <xf numFmtId="199" fontId="270" fillId="7" borderId="1" xfId="19" applyNumberFormat="1" applyFont="1" applyFill="1" applyBorder="1" applyAlignment="1">
      <alignment horizontal="center" vertical="center"/>
    </xf>
    <xf numFmtId="49" fontId="270" fillId="0" borderId="13" xfId="20" applyNumberFormat="1" applyFont="1" applyBorder="1" applyAlignment="1">
      <alignment horizontal="center" vertical="center"/>
    </xf>
    <xf numFmtId="4" fontId="270" fillId="7" borderId="13" xfId="19" applyNumberFormat="1" applyFont="1" applyFill="1" applyBorder="1" applyAlignment="1">
      <alignment horizontal="center" vertical="center"/>
    </xf>
    <xf numFmtId="49" fontId="270" fillId="0" borderId="1" xfId="20" applyNumberFormat="1" applyFont="1" applyFill="1" applyBorder="1" applyAlignment="1">
      <alignment horizontal="center" vertical="center"/>
    </xf>
    <xf numFmtId="196" fontId="273" fillId="0" borderId="1" xfId="19" applyNumberFormat="1" applyFont="1" applyFill="1" applyBorder="1" applyAlignment="1">
      <alignment horizontal="center" vertical="center"/>
    </xf>
    <xf numFmtId="0" fontId="270" fillId="0" borderId="1" xfId="19" applyNumberFormat="1" applyFont="1" applyFill="1" applyBorder="1" applyAlignment="1">
      <alignment vertical="center"/>
    </xf>
    <xf numFmtId="185" fontId="270" fillId="0" borderId="0" xfId="19" applyNumberFormat="1" applyFont="1" applyFill="1" applyBorder="1" applyAlignment="1">
      <alignment horizontal="center" vertical="center"/>
    </xf>
    <xf numFmtId="191" fontId="270" fillId="0" borderId="0" xfId="19" applyNumberFormat="1" applyFont="1" applyFill="1" applyBorder="1" applyAlignment="1">
      <alignment vertical="center"/>
    </xf>
    <xf numFmtId="4" fontId="270" fillId="0" borderId="0" xfId="19" applyNumberFormat="1" applyFont="1" applyFill="1" applyBorder="1" applyAlignment="1">
      <alignment horizontal="center" vertical="center"/>
    </xf>
    <xf numFmtId="183" fontId="270" fillId="0" borderId="0" xfId="19" applyNumberFormat="1" applyFont="1" applyFill="1" applyBorder="1" applyAlignment="1">
      <alignment horizontal="center" vertical="center"/>
    </xf>
    <xf numFmtId="196" fontId="270" fillId="0" borderId="0" xfId="19" applyNumberFormat="1" applyFont="1" applyFill="1" applyBorder="1" applyAlignment="1">
      <alignment horizontal="center" vertical="center"/>
    </xf>
    <xf numFmtId="3" fontId="270" fillId="0" borderId="0" xfId="19" applyNumberFormat="1" applyFont="1" applyFill="1" applyBorder="1" applyAlignment="1">
      <alignment horizontal="center" vertical="center"/>
    </xf>
    <xf numFmtId="2" fontId="270" fillId="0" borderId="0" xfId="19" applyNumberFormat="1" applyFont="1" applyFill="1" applyBorder="1" applyAlignment="1">
      <alignment horizontal="center" vertical="center"/>
    </xf>
    <xf numFmtId="43" fontId="270" fillId="0" borderId="0" xfId="19" applyNumberFormat="1" applyFont="1" applyFill="1" applyBorder="1" applyAlignment="1">
      <alignment horizontal="center" vertical="center"/>
    </xf>
    <xf numFmtId="198" fontId="270" fillId="0" borderId="0" xfId="19" applyNumberFormat="1" applyFont="1" applyFill="1" applyBorder="1" applyAlignment="1">
      <alignment horizontal="center" vertical="center"/>
    </xf>
    <xf numFmtId="199" fontId="270" fillId="0" borderId="0" xfId="19" applyNumberFormat="1" applyFont="1" applyFill="1" applyBorder="1" applyAlignment="1">
      <alignment horizontal="center" vertical="center"/>
    </xf>
    <xf numFmtId="9" fontId="270" fillId="0" borderId="0" xfId="19" applyNumberFormat="1" applyFont="1" applyFill="1" applyBorder="1" applyAlignment="1">
      <alignment horizontal="center" vertical="center"/>
    </xf>
    <xf numFmtId="0" fontId="270" fillId="0" borderId="0" xfId="19" applyNumberFormat="1" applyFont="1" applyFill="1" applyBorder="1" applyAlignment="1">
      <alignment vertical="center"/>
    </xf>
    <xf numFmtId="191" fontId="270" fillId="7" borderId="0" xfId="19" applyNumberFormat="1" applyFont="1" applyFill="1" applyBorder="1" applyAlignment="1">
      <alignment horizontal="center" vertical="center"/>
    </xf>
    <xf numFmtId="185" fontId="270" fillId="7" borderId="0" xfId="19" applyNumberFormat="1" applyFont="1" applyFill="1" applyBorder="1" applyAlignment="1">
      <alignment horizontal="center" vertical="center"/>
    </xf>
    <xf numFmtId="201" fontId="270" fillId="7" borderId="0" xfId="19" applyNumberFormat="1" applyFont="1" applyFill="1" applyBorder="1" applyAlignment="1">
      <alignment horizontal="center" vertical="center" wrapText="1"/>
    </xf>
    <xf numFmtId="201" fontId="270" fillId="7" borderId="0" xfId="19" applyNumberFormat="1" applyFont="1" applyFill="1" applyBorder="1" applyAlignment="1">
      <alignment horizontal="center" vertical="center"/>
    </xf>
    <xf numFmtId="4" fontId="270" fillId="7" borderId="0" xfId="19" applyNumberFormat="1" applyFont="1" applyFill="1" applyBorder="1" applyAlignment="1">
      <alignment horizontal="center" vertical="center"/>
    </xf>
    <xf numFmtId="183" fontId="270" fillId="7" borderId="0" xfId="19" applyNumberFormat="1" applyFont="1" applyFill="1" applyBorder="1" applyAlignment="1">
      <alignment horizontal="center" vertical="center"/>
    </xf>
    <xf numFmtId="3" fontId="270" fillId="7" borderId="0" xfId="19" applyNumberFormat="1" applyFont="1" applyFill="1" applyBorder="1" applyAlignment="1">
      <alignment horizontal="center" vertical="center"/>
    </xf>
    <xf numFmtId="197" fontId="270" fillId="7" borderId="0" xfId="19" applyNumberFormat="1" applyFont="1" applyFill="1" applyBorder="1" applyAlignment="1">
      <alignment horizontal="center" vertical="center"/>
    </xf>
    <xf numFmtId="198" fontId="270" fillId="7" borderId="0" xfId="19" applyNumberFormat="1" applyFont="1" applyFill="1" applyBorder="1" applyAlignment="1">
      <alignment horizontal="center" vertical="center"/>
    </xf>
    <xf numFmtId="199" fontId="270" fillId="7" borderId="0" xfId="19" applyNumberFormat="1" applyFont="1" applyFill="1" applyBorder="1" applyAlignment="1">
      <alignment horizontal="center" vertical="center"/>
    </xf>
    <xf numFmtId="202" fontId="270" fillId="7" borderId="0" xfId="19" applyNumberFormat="1" applyFont="1" applyFill="1" applyBorder="1" applyAlignment="1">
      <alignment horizontal="center" vertical="center"/>
    </xf>
    <xf numFmtId="0" fontId="270" fillId="7" borderId="0" xfId="19" applyNumberFormat="1" applyFont="1" applyFill="1" applyBorder="1" applyAlignment="1">
      <alignment horizontal="center" vertical="center"/>
    </xf>
    <xf numFmtId="201" fontId="270" fillId="0" borderId="0" xfId="19" applyNumberFormat="1" applyFont="1" applyFill="1" applyAlignment="1">
      <alignment horizontal="center" vertical="center"/>
    </xf>
    <xf numFmtId="191" fontId="271" fillId="22" borderId="1" xfId="19" applyNumberFormat="1" applyFont="1" applyFill="1" applyBorder="1" applyAlignment="1">
      <alignment horizontal="center" vertical="center"/>
    </xf>
    <xf numFmtId="185" fontId="271" fillId="22" borderId="1" xfId="19" applyNumberFormat="1" applyFont="1" applyFill="1" applyBorder="1" applyAlignment="1">
      <alignment horizontal="center" vertical="center"/>
    </xf>
    <xf numFmtId="3" fontId="271" fillId="22" borderId="1" xfId="19" applyNumberFormat="1" applyFont="1" applyFill="1" applyBorder="1" applyAlignment="1">
      <alignment horizontal="center" vertical="center"/>
    </xf>
    <xf numFmtId="0" fontId="271" fillId="22" borderId="1" xfId="19" applyNumberFormat="1" applyFont="1" applyFill="1" applyBorder="1" applyAlignment="1">
      <alignment horizontal="center" vertical="center"/>
    </xf>
    <xf numFmtId="201" fontId="270" fillId="0" borderId="1" xfId="19" applyNumberFormat="1" applyFont="1" applyFill="1" applyBorder="1" applyAlignment="1">
      <alignment horizontal="center" vertical="center"/>
    </xf>
    <xf numFmtId="202" fontId="270" fillId="0" borderId="1" xfId="19" applyNumberFormat="1" applyFont="1" applyFill="1" applyBorder="1" applyAlignment="1">
      <alignment horizontal="center" vertical="center"/>
    </xf>
    <xf numFmtId="191" fontId="270" fillId="0" borderId="13" xfId="19" applyNumberFormat="1" applyFont="1" applyFill="1" applyBorder="1" applyAlignment="1">
      <alignment horizontal="center" vertical="center"/>
    </xf>
    <xf numFmtId="44" fontId="270" fillId="0" borderId="1" xfId="19" applyNumberFormat="1" applyFont="1" applyFill="1" applyBorder="1" applyAlignment="1">
      <alignment horizontal="center" vertical="center"/>
    </xf>
    <xf numFmtId="185" fontId="270" fillId="7" borderId="1" xfId="19" applyNumberFormat="1" applyFont="1" applyFill="1" applyBorder="1" applyAlignment="1">
      <alignment horizontal="center" vertical="center"/>
    </xf>
    <xf numFmtId="201" fontId="270" fillId="7" borderId="1" xfId="19" applyNumberFormat="1" applyFont="1" applyFill="1" applyBorder="1" applyAlignment="1">
      <alignment horizontal="center" vertical="center"/>
    </xf>
    <xf numFmtId="202" fontId="270" fillId="7" borderId="1" xfId="19" applyNumberFormat="1" applyFont="1" applyFill="1" applyBorder="1" applyAlignment="1">
      <alignment horizontal="center" vertical="center"/>
    </xf>
    <xf numFmtId="191" fontId="274" fillId="0" borderId="0" xfId="19" applyNumberFormat="1" applyFont="1" applyFill="1" applyBorder="1" applyAlignment="1">
      <alignment horizontal="center" vertical="center"/>
    </xf>
    <xf numFmtId="185" fontId="274" fillId="0" borderId="0" xfId="19" applyNumberFormat="1" applyFont="1" applyFill="1" applyBorder="1" applyAlignment="1">
      <alignment horizontal="center" vertical="center"/>
    </xf>
    <xf numFmtId="191" fontId="274" fillId="0" borderId="0" xfId="19" applyNumberFormat="1" applyFont="1" applyFill="1" applyBorder="1" applyAlignment="1">
      <alignment horizontal="center" vertical="center" wrapText="1"/>
    </xf>
    <xf numFmtId="43" fontId="274" fillId="0" borderId="0" xfId="21" applyFont="1" applyFill="1" applyBorder="1" applyAlignment="1">
      <alignment horizontal="center" vertical="center"/>
    </xf>
    <xf numFmtId="3" fontId="274" fillId="0" borderId="0" xfId="19" applyNumberFormat="1" applyFont="1" applyFill="1" applyBorder="1" applyAlignment="1">
      <alignment horizontal="center" vertical="center"/>
    </xf>
    <xf numFmtId="0" fontId="274" fillId="0" borderId="0" xfId="19" applyNumberFormat="1" applyFont="1" applyFill="1" applyBorder="1" applyAlignment="1">
      <alignment horizontal="center" vertical="center"/>
    </xf>
    <xf numFmtId="43" fontId="274" fillId="0" borderId="0" xfId="22" applyNumberFormat="1" applyFont="1" applyFill="1" applyBorder="1" applyAlignment="1">
      <alignment horizontal="right" vertical="center"/>
    </xf>
    <xf numFmtId="9" fontId="274" fillId="0" borderId="0" xfId="22" applyFont="1" applyFill="1" applyBorder="1" applyAlignment="1">
      <alignment horizontal="center" vertical="center"/>
    </xf>
    <xf numFmtId="191" fontId="279" fillId="0" borderId="0" xfId="48" applyFont="1" applyAlignment="1">
      <alignment horizontal="left"/>
    </xf>
    <xf numFmtId="203" fontId="273" fillId="7" borderId="0" xfId="35" applyNumberFormat="1" applyFont="1" applyFill="1" applyBorder="1" applyAlignment="1">
      <alignment horizontal="left" vertical="center"/>
    </xf>
    <xf numFmtId="183" fontId="273" fillId="7" borderId="0" xfId="35" applyNumberFormat="1" applyFont="1" applyFill="1" applyBorder="1" applyAlignment="1">
      <alignment horizontal="left" vertical="center"/>
    </xf>
    <xf numFmtId="204" fontId="280" fillId="23" borderId="1" xfId="35" applyNumberFormat="1" applyFont="1" applyFill="1" applyBorder="1" applyAlignment="1">
      <alignment horizontal="center" vertical="center"/>
    </xf>
    <xf numFmtId="203" fontId="280" fillId="23" borderId="1" xfId="35" applyNumberFormat="1" applyFont="1" applyFill="1" applyBorder="1" applyAlignment="1">
      <alignment horizontal="center" vertical="center"/>
    </xf>
    <xf numFmtId="203" fontId="282" fillId="24" borderId="1" xfId="35" applyNumberFormat="1" applyFont="1" applyFill="1" applyBorder="1" applyAlignment="1">
      <alignment horizontal="center" vertical="center" wrapText="1"/>
    </xf>
    <xf numFmtId="203" fontId="280" fillId="25" borderId="1" xfId="35" applyNumberFormat="1" applyFont="1" applyFill="1" applyBorder="1" applyAlignment="1">
      <alignment horizontal="center" vertical="center" wrapText="1"/>
    </xf>
    <xf numFmtId="203" fontId="282" fillId="5" borderId="1" xfId="35" applyNumberFormat="1" applyFont="1" applyFill="1" applyBorder="1" applyAlignment="1">
      <alignment horizontal="center" vertical="center" wrapText="1"/>
    </xf>
    <xf numFmtId="203" fontId="282" fillId="26" borderId="1" xfId="35" applyNumberFormat="1" applyFont="1" applyFill="1" applyBorder="1" applyAlignment="1">
      <alignment horizontal="center" vertical="center" wrapText="1"/>
    </xf>
    <xf numFmtId="204" fontId="273" fillId="0" borderId="1" xfId="35" applyNumberFormat="1" applyFont="1" applyFill="1" applyBorder="1" applyAlignment="1">
      <alignment horizontal="center" vertical="center"/>
    </xf>
    <xf numFmtId="203" fontId="273" fillId="0" borderId="1" xfId="40" applyNumberFormat="1" applyFont="1" applyBorder="1" applyAlignment="1">
      <alignment horizontal="center" vertical="center"/>
    </xf>
    <xf numFmtId="201" fontId="273" fillId="0" borderId="1" xfId="40" applyNumberFormat="1" applyFont="1" applyBorder="1" applyAlignment="1">
      <alignment horizontal="left" vertical="center"/>
    </xf>
    <xf numFmtId="201" fontId="273" fillId="0" borderId="1" xfId="38" applyNumberFormat="1" applyFont="1" applyBorder="1" applyAlignment="1">
      <alignment horizontal="left" vertical="center"/>
    </xf>
    <xf numFmtId="201" fontId="279" fillId="0" borderId="1" xfId="34" applyNumberFormat="1" applyFont="1" applyBorder="1" applyAlignment="1">
      <alignment horizontal="left" vertical="center"/>
    </xf>
    <xf numFmtId="201" fontId="273" fillId="7" borderId="1" xfId="35" applyNumberFormat="1" applyFont="1" applyFill="1" applyBorder="1" applyAlignment="1">
      <alignment horizontal="left" vertical="center" wrapText="1"/>
    </xf>
    <xf numFmtId="201" fontId="285" fillId="7" borderId="1" xfId="35" applyNumberFormat="1" applyFont="1" applyFill="1" applyBorder="1" applyAlignment="1">
      <alignment horizontal="left" vertical="center" wrapText="1"/>
    </xf>
    <xf numFmtId="201" fontId="273" fillId="0" borderId="1" xfId="39" applyNumberFormat="1" applyFont="1" applyFill="1" applyBorder="1" applyAlignment="1">
      <alignment horizontal="left" vertical="center"/>
    </xf>
    <xf numFmtId="201" fontId="279" fillId="0" borderId="1" xfId="34" applyNumberFormat="1" applyFont="1" applyBorder="1" applyAlignment="1">
      <alignment horizontal="left"/>
    </xf>
    <xf numFmtId="201" fontId="282" fillId="24" borderId="1" xfId="35" applyNumberFormat="1" applyFont="1" applyFill="1" applyBorder="1" applyAlignment="1">
      <alignment horizontal="left" vertical="center" wrapText="1"/>
    </xf>
    <xf numFmtId="201" fontId="280" fillId="25" borderId="1" xfId="35" applyNumberFormat="1" applyFont="1" applyFill="1" applyBorder="1" applyAlignment="1">
      <alignment horizontal="left" vertical="center" wrapText="1"/>
    </xf>
    <xf numFmtId="201" fontId="282" fillId="5" borderId="1" xfId="35" applyNumberFormat="1" applyFont="1" applyFill="1" applyBorder="1" applyAlignment="1">
      <alignment horizontal="left" vertical="center" wrapText="1"/>
    </xf>
    <xf numFmtId="201" fontId="282" fillId="26" borderId="1" xfId="35" applyNumberFormat="1" applyFont="1" applyFill="1" applyBorder="1" applyAlignment="1">
      <alignment horizontal="left" vertical="center" wrapText="1"/>
    </xf>
    <xf numFmtId="203" fontId="20" fillId="28" borderId="1" xfId="41" applyNumberFormat="1" applyFont="1" applyFill="1" applyBorder="1" applyAlignment="1">
      <alignment horizontal="center" vertical="center"/>
    </xf>
    <xf numFmtId="203" fontId="273" fillId="28" borderId="1" xfId="41" applyNumberFormat="1" applyFont="1" applyFill="1" applyBorder="1" applyAlignment="1">
      <alignment horizontal="center" vertical="center"/>
    </xf>
    <xf numFmtId="203" fontId="273" fillId="29" borderId="3" xfId="41" applyNumberFormat="1" applyFont="1" applyFill="1" applyBorder="1" applyAlignment="1">
      <alignment vertical="center"/>
    </xf>
    <xf numFmtId="203" fontId="282" fillId="0" borderId="1" xfId="35" applyNumberFormat="1" applyFont="1" applyFill="1" applyBorder="1" applyAlignment="1">
      <alignment horizontal="center" vertical="center"/>
    </xf>
    <xf numFmtId="203" fontId="282" fillId="0" borderId="1" xfId="40" applyNumberFormat="1" applyFont="1" applyBorder="1" applyAlignment="1">
      <alignment horizontal="center" vertical="center"/>
    </xf>
    <xf numFmtId="203" fontId="282" fillId="7" borderId="0" xfId="41" applyNumberFormat="1" applyFont="1" applyFill="1" applyBorder="1" applyAlignment="1">
      <alignment horizontal="left" vertical="center"/>
    </xf>
    <xf numFmtId="201" fontId="282" fillId="0" borderId="1" xfId="38" applyNumberFormat="1" applyFont="1" applyBorder="1" applyAlignment="1">
      <alignment horizontal="left" vertical="center"/>
    </xf>
    <xf numFmtId="204" fontId="279" fillId="0" borderId="0" xfId="34" applyNumberFormat="1" applyFont="1" applyAlignment="1">
      <alignment horizontal="left"/>
    </xf>
    <xf numFmtId="203" fontId="279" fillId="0" borderId="0" xfId="34" applyNumberFormat="1" applyFont="1" applyAlignment="1">
      <alignment horizontal="left"/>
    </xf>
    <xf numFmtId="203" fontId="279" fillId="0" borderId="0" xfId="34" applyNumberFormat="1" applyFont="1" applyAlignment="1">
      <alignment horizontal="left" vertical="center"/>
    </xf>
    <xf numFmtId="203" fontId="286" fillId="30" borderId="1" xfId="37" applyNumberFormat="1" applyFont="1" applyFill="1" applyBorder="1" applyAlignment="1">
      <alignment horizontal="center" vertical="center"/>
    </xf>
    <xf numFmtId="203" fontId="286" fillId="30" borderId="1" xfId="35" applyNumberFormat="1" applyFont="1" applyFill="1" applyBorder="1" applyAlignment="1">
      <alignment horizontal="center" vertical="center"/>
    </xf>
    <xf numFmtId="203" fontId="273" fillId="24" borderId="1" xfId="37" applyNumberFormat="1" applyFont="1" applyFill="1" applyBorder="1" applyAlignment="1">
      <alignment horizontal="left" vertical="center"/>
    </xf>
    <xf numFmtId="203" fontId="273" fillId="0" borderId="5" xfId="32" applyNumberFormat="1" applyFont="1" applyFill="1" applyBorder="1" applyAlignment="1">
      <alignment horizontal="left" vertical="center"/>
    </xf>
    <xf numFmtId="10" fontId="273" fillId="0" borderId="1" xfId="35" applyNumberFormat="1" applyFont="1" applyFill="1" applyBorder="1" applyAlignment="1">
      <alignment horizontal="left" vertical="center"/>
    </xf>
    <xf numFmtId="203" fontId="288" fillId="25" borderId="1" xfId="37" applyNumberFormat="1" applyFont="1" applyFill="1" applyBorder="1" applyAlignment="1">
      <alignment horizontal="left" vertical="center"/>
    </xf>
    <xf numFmtId="203" fontId="273" fillId="2" borderId="1" xfId="37" applyNumberFormat="1" applyFont="1" applyFill="1" applyBorder="1" applyAlignment="1">
      <alignment horizontal="left" vertical="center"/>
    </xf>
    <xf numFmtId="191" fontId="289" fillId="0" borderId="0" xfId="19" applyNumberFormat="1" applyFont="1" applyFill="1" applyBorder="1" applyAlignment="1">
      <alignment horizontal="left" vertical="center"/>
    </xf>
    <xf numFmtId="203" fontId="273" fillId="26" borderId="1" xfId="35" applyNumberFormat="1" applyFont="1" applyFill="1" applyBorder="1" applyAlignment="1">
      <alignment horizontal="left" vertical="center"/>
    </xf>
    <xf numFmtId="191" fontId="274" fillId="7" borderId="0" xfId="19" applyNumberFormat="1" applyFont="1" applyFill="1" applyBorder="1" applyAlignment="1">
      <alignment horizontal="center" vertical="center"/>
    </xf>
    <xf numFmtId="185" fontId="274" fillId="0" borderId="0" xfId="19" applyNumberFormat="1" applyFont="1" applyFill="1" applyBorder="1" applyAlignment="1">
      <alignment horizontal="left" vertical="center"/>
    </xf>
    <xf numFmtId="203" fontId="286" fillId="20" borderId="1" xfId="35" applyNumberFormat="1" applyFont="1" applyFill="1" applyBorder="1" applyAlignment="1">
      <alignment horizontal="left" vertical="center"/>
    </xf>
    <xf numFmtId="203" fontId="286" fillId="20" borderId="5" xfId="32" applyNumberFormat="1" applyFont="1" applyFill="1" applyBorder="1" applyAlignment="1">
      <alignment horizontal="left" vertical="center"/>
    </xf>
    <xf numFmtId="9" fontId="286" fillId="20" borderId="5" xfId="32" applyNumberFormat="1" applyFont="1" applyFill="1" applyBorder="1" applyAlignment="1">
      <alignment horizontal="left" vertical="center"/>
    </xf>
    <xf numFmtId="191" fontId="290" fillId="8" borderId="1" xfId="48" applyFont="1" applyFill="1" applyBorder="1" applyAlignment="1">
      <alignment horizontal="left"/>
    </xf>
    <xf numFmtId="183" fontId="270" fillId="0" borderId="13" xfId="19" applyNumberFormat="1" applyFont="1" applyFill="1" applyBorder="1" applyAlignment="1">
      <alignment horizontal="center" vertical="center"/>
    </xf>
    <xf numFmtId="183" fontId="270" fillId="0" borderId="2" xfId="19" applyNumberFormat="1" applyFont="1" applyFill="1" applyBorder="1" applyAlignment="1">
      <alignment horizontal="center" vertical="center"/>
    </xf>
    <xf numFmtId="49" fontId="270" fillId="0" borderId="3" xfId="19" applyNumberFormat="1" applyFont="1" applyFill="1" applyBorder="1" applyAlignment="1">
      <alignment horizontal="center" vertical="center"/>
    </xf>
    <xf numFmtId="4" fontId="270" fillId="0" borderId="13" xfId="19" applyNumberFormat="1" applyFont="1" applyFill="1" applyBorder="1" applyAlignment="1">
      <alignment horizontal="center" vertical="center"/>
    </xf>
    <xf numFmtId="185" fontId="270" fillId="0" borderId="3" xfId="19" applyNumberFormat="1" applyFont="1" applyFill="1" applyBorder="1" applyAlignment="1">
      <alignment horizontal="center" vertical="center" wrapText="1"/>
    </xf>
    <xf numFmtId="185" fontId="270" fillId="0" borderId="1" xfId="19" applyNumberFormat="1" applyFont="1" applyFill="1" applyBorder="1" applyAlignment="1">
      <alignment horizontal="center" vertical="center" wrapText="1"/>
    </xf>
    <xf numFmtId="0" fontId="78" fillId="12" borderId="0" xfId="0" applyFont="1" applyFill="1" applyAlignment="1" applyProtection="1">
      <alignment vertical="center"/>
      <protection locked="0"/>
    </xf>
    <xf numFmtId="9" fontId="48" fillId="12" borderId="0" xfId="0" applyNumberFormat="1"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49" fontId="45" fillId="0" borderId="44"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189" fontId="45" fillId="6" borderId="9" xfId="0" applyNumberFormat="1" applyFont="1" applyFill="1" applyBorder="1" applyAlignment="1" applyProtection="1">
      <alignment horizontal="center" vertical="center" wrapText="1"/>
      <protection locked="0"/>
    </xf>
    <xf numFmtId="49" fontId="52" fillId="0" borderId="44" xfId="0" applyNumberFormat="1" applyFont="1" applyFill="1" applyBorder="1" applyAlignment="1" applyProtection="1">
      <alignment horizontal="center" vertical="center" wrapText="1"/>
      <protection locked="0"/>
    </xf>
    <xf numFmtId="10" fontId="54" fillId="6" borderId="1" xfId="0" applyNumberFormat="1" applyFont="1" applyFill="1" applyBorder="1" applyAlignment="1" applyProtection="1">
      <alignment horizontal="left" vertical="center"/>
    </xf>
    <xf numFmtId="9" fontId="54" fillId="6" borderId="1" xfId="0" applyNumberFormat="1" applyFont="1" applyFill="1" applyBorder="1" applyAlignment="1" applyProtection="1">
      <alignment horizontal="left" vertical="center"/>
    </xf>
    <xf numFmtId="9" fontId="54" fillId="6" borderId="13" xfId="0" applyNumberFormat="1" applyFont="1" applyFill="1" applyBorder="1" applyAlignment="1" applyProtection="1">
      <alignment horizontal="left" vertical="center"/>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54" fillId="6" borderId="54" xfId="0" applyFont="1" applyFill="1" applyBorder="1" applyAlignment="1" applyProtection="1">
      <alignment horizontal="left" vertical="center"/>
    </xf>
    <xf numFmtId="0" fontId="54" fillId="6" borderId="58" xfId="0"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0" fontId="54" fillId="6" borderId="35" xfId="0" applyFont="1" applyFill="1" applyBorder="1" applyAlignment="1" applyProtection="1">
      <alignment horizontal="left" vertical="center" wrapText="1"/>
    </xf>
    <xf numFmtId="0" fontId="54" fillId="6" borderId="4"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48" fillId="9" borderId="5" xfId="0" applyFont="1" applyFill="1" applyBorder="1" applyAlignment="1" applyProtection="1">
      <alignment horizontal="left" vertical="center"/>
    </xf>
    <xf numFmtId="0" fontId="287" fillId="33" borderId="176" xfId="53" applyFont="1" applyFill="1" applyBorder="1" applyAlignment="1">
      <alignment vertical="center" wrapText="1"/>
    </xf>
    <xf numFmtId="0" fontId="1" fillId="0" borderId="176" xfId="53" applyBorder="1">
      <alignment vertical="center"/>
    </xf>
    <xf numFmtId="0" fontId="20" fillId="31" borderId="176" xfId="53" applyFont="1" applyFill="1" applyBorder="1" applyAlignment="1">
      <alignment vertical="center" wrapText="1"/>
    </xf>
    <xf numFmtId="31" fontId="20" fillId="31" borderId="176" xfId="53" applyNumberFormat="1" applyFont="1" applyFill="1" applyBorder="1" applyAlignment="1">
      <alignment vertical="center" wrapText="1"/>
    </xf>
    <xf numFmtId="9" fontId="20" fillId="31" borderId="176" xfId="53" applyNumberFormat="1" applyFont="1" applyFill="1" applyBorder="1" applyAlignment="1">
      <alignment vertical="center" wrapText="1"/>
    </xf>
    <xf numFmtId="0" fontId="290" fillId="32" borderId="176" xfId="53" applyFont="1" applyFill="1" applyBorder="1" applyAlignment="1">
      <alignment vertical="center" wrapText="1"/>
    </xf>
    <xf numFmtId="31" fontId="290" fillId="32" borderId="176" xfId="53" applyNumberFormat="1" applyFont="1" applyFill="1" applyBorder="1" applyAlignment="1">
      <alignment vertical="center" wrapText="1"/>
    </xf>
    <xf numFmtId="9" fontId="290" fillId="32" borderId="176" xfId="53" applyNumberFormat="1" applyFont="1" applyFill="1" applyBorder="1" applyAlignment="1">
      <alignment vertical="center" wrapText="1"/>
    </xf>
    <xf numFmtId="0" fontId="129" fillId="5" borderId="176" xfId="53" applyFont="1" applyFill="1" applyBorder="1" applyAlignment="1">
      <alignment vertical="center" wrapText="1"/>
    </xf>
    <xf numFmtId="31" fontId="129" fillId="5" borderId="176" xfId="53" applyNumberFormat="1" applyFont="1" applyFill="1" applyBorder="1" applyAlignment="1">
      <alignment vertical="center" wrapText="1"/>
    </xf>
    <xf numFmtId="9" fontId="129" fillId="5" borderId="176" xfId="53" applyNumberFormat="1" applyFont="1" applyFill="1" applyBorder="1" applyAlignment="1">
      <alignment vertical="center" wrapText="1"/>
    </xf>
    <xf numFmtId="0" fontId="291" fillId="5" borderId="176" xfId="53" applyFont="1" applyFill="1" applyBorder="1">
      <alignment vertical="center"/>
    </xf>
    <xf numFmtId="0" fontId="290" fillId="9" borderId="176" xfId="53" applyFont="1" applyFill="1" applyBorder="1" applyAlignment="1">
      <alignment vertical="center" wrapText="1"/>
    </xf>
    <xf numFmtId="31" fontId="290" fillId="9" borderId="176" xfId="53" applyNumberFormat="1" applyFont="1" applyFill="1" applyBorder="1" applyAlignment="1">
      <alignment vertical="center" wrapText="1"/>
    </xf>
    <xf numFmtId="9" fontId="290" fillId="9" borderId="176" xfId="53" applyNumberFormat="1" applyFont="1" applyFill="1" applyBorder="1" applyAlignment="1">
      <alignment vertical="center" wrapText="1"/>
    </xf>
    <xf numFmtId="0" fontId="1" fillId="9" borderId="176" xfId="53" applyFill="1" applyBorder="1">
      <alignment vertical="center"/>
    </xf>
    <xf numFmtId="0" fontId="20" fillId="9" borderId="176" xfId="53" applyFont="1" applyFill="1" applyBorder="1" applyAlignment="1">
      <alignment vertical="center" wrapText="1"/>
    </xf>
    <xf numFmtId="31" fontId="20" fillId="9" borderId="176" xfId="53" applyNumberFormat="1" applyFont="1" applyFill="1" applyBorder="1" applyAlignment="1">
      <alignment vertical="center" wrapText="1"/>
    </xf>
    <xf numFmtId="9" fontId="20" fillId="9" borderId="176" xfId="53" applyNumberFormat="1" applyFont="1" applyFill="1" applyBorder="1" applyAlignment="1">
      <alignment vertical="center" wrapText="1"/>
    </xf>
    <xf numFmtId="0" fontId="128" fillId="0" borderId="46" xfId="0"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0" fontId="129" fillId="9" borderId="176" xfId="53" applyFont="1" applyFill="1" applyBorder="1" applyAlignment="1">
      <alignment vertical="center" wrapText="1"/>
    </xf>
    <xf numFmtId="31" fontId="129" fillId="9" borderId="176" xfId="53" applyNumberFormat="1" applyFont="1" applyFill="1" applyBorder="1" applyAlignment="1">
      <alignment vertical="center" wrapText="1"/>
    </xf>
    <xf numFmtId="9" fontId="129" fillId="9" borderId="176" xfId="53" applyNumberFormat="1" applyFont="1" applyFill="1" applyBorder="1" applyAlignment="1">
      <alignment vertical="center" wrapText="1"/>
    </xf>
    <xf numFmtId="0" fontId="291" fillId="9" borderId="176" xfId="53" applyFont="1" applyFill="1" applyBorder="1">
      <alignment vertical="center"/>
    </xf>
    <xf numFmtId="0" fontId="20" fillId="34" borderId="176" xfId="53" applyFont="1" applyFill="1" applyBorder="1" applyAlignment="1">
      <alignment vertical="center" wrapText="1"/>
    </xf>
    <xf numFmtId="31" fontId="20" fillId="34" borderId="176" xfId="53" applyNumberFormat="1" applyFont="1" applyFill="1" applyBorder="1" applyAlignment="1">
      <alignment vertical="center" wrapText="1"/>
    </xf>
    <xf numFmtId="9" fontId="20" fillId="34" borderId="176" xfId="53" applyNumberFormat="1" applyFont="1" applyFill="1" applyBorder="1" applyAlignment="1">
      <alignment vertical="center" wrapText="1"/>
    </xf>
    <xf numFmtId="0" fontId="1" fillId="34" borderId="176" xfId="53" applyFill="1" applyBorder="1">
      <alignment vertical="center"/>
    </xf>
    <xf numFmtId="0" fontId="290" fillId="18" borderId="176" xfId="53" applyFont="1" applyFill="1" applyBorder="1" applyAlignment="1">
      <alignment vertical="center" wrapText="1"/>
    </xf>
    <xf numFmtId="31" fontId="290" fillId="18" borderId="176" xfId="53" applyNumberFormat="1" applyFont="1" applyFill="1" applyBorder="1" applyAlignment="1">
      <alignment vertical="center" wrapText="1"/>
    </xf>
    <xf numFmtId="9" fontId="290" fillId="18" borderId="176" xfId="53" applyNumberFormat="1" applyFont="1" applyFill="1" applyBorder="1" applyAlignment="1">
      <alignment vertical="center" wrapText="1"/>
    </xf>
    <xf numFmtId="0" fontId="1" fillId="18" borderId="176" xfId="53" applyFill="1" applyBorder="1">
      <alignment vertical="center"/>
    </xf>
    <xf numFmtId="0" fontId="128" fillId="0" borderId="24" xfId="0" applyFont="1" applyFill="1" applyBorder="1" applyAlignment="1" applyProtection="1">
      <alignment horizontal="center" vertical="center" wrapText="1"/>
      <protection locked="0"/>
    </xf>
    <xf numFmtId="0" fontId="95" fillId="0" borderId="54" xfId="0" applyNumberFormat="1" applyFont="1" applyFill="1" applyBorder="1" applyAlignment="1" applyProtection="1">
      <alignment horizontal="center" vertical="center" wrapText="1"/>
      <protection locked="0"/>
    </xf>
    <xf numFmtId="0" fontId="96" fillId="0" borderId="0" xfId="51">
      <alignment vertical="center"/>
    </xf>
    <xf numFmtId="14" fontId="96" fillId="0" borderId="0" xfId="51" applyNumberFormat="1">
      <alignment vertical="center"/>
    </xf>
    <xf numFmtId="0" fontId="96" fillId="0" borderId="0" xfId="51" applyFont="1">
      <alignment vertical="center"/>
    </xf>
    <xf numFmtId="0" fontId="78" fillId="12" borderId="0" xfId="0" applyFont="1" applyFill="1" applyAlignment="1" applyProtection="1">
      <alignment horizontal="center" vertical="center"/>
      <protection locked="0"/>
    </xf>
    <xf numFmtId="0" fontId="78" fillId="12" borderId="0" xfId="0" applyFont="1" applyFill="1" applyProtection="1">
      <alignment vertical="center"/>
      <protection locked="0"/>
    </xf>
    <xf numFmtId="0" fontId="80" fillId="12" borderId="1" xfId="0" applyFont="1" applyFill="1" applyBorder="1" applyAlignment="1" applyProtection="1">
      <alignment horizontal="left" vertical="center"/>
      <protection locked="0"/>
    </xf>
    <xf numFmtId="0" fontId="53" fillId="12" borderId="1" xfId="0" applyFont="1" applyFill="1" applyBorder="1" applyAlignment="1" applyProtection="1">
      <alignment horizontal="left" vertical="center"/>
      <protection locked="0"/>
    </xf>
    <xf numFmtId="1" fontId="53" fillId="12" borderId="1" xfId="0" applyNumberFormat="1" applyFont="1" applyFill="1" applyBorder="1" applyAlignment="1" applyProtection="1">
      <alignment horizontal="left" vertical="center"/>
      <protection locked="0"/>
    </xf>
    <xf numFmtId="0" fontId="78" fillId="12" borderId="1" xfId="0" applyFont="1" applyFill="1" applyBorder="1" applyAlignment="1" applyProtection="1">
      <alignment horizontal="left" vertical="center"/>
      <protection locked="0"/>
    </xf>
    <xf numFmtId="176" fontId="48" fillId="12" borderId="1" xfId="0" applyNumberFormat="1" applyFont="1" applyFill="1" applyBorder="1" applyAlignment="1" applyProtection="1">
      <alignment horizontal="left" vertical="center"/>
      <protection locked="0"/>
    </xf>
    <xf numFmtId="1" fontId="48" fillId="12" borderId="1" xfId="0" applyNumberFormat="1" applyFont="1" applyFill="1" applyBorder="1" applyAlignment="1" applyProtection="1">
      <alignment horizontal="left" vertical="center"/>
      <protection locked="0"/>
    </xf>
    <xf numFmtId="0" fontId="48" fillId="12" borderId="1" xfId="0" applyFont="1" applyFill="1" applyBorder="1" applyAlignment="1" applyProtection="1">
      <alignment horizontal="left" vertical="center"/>
      <protection locked="0"/>
    </xf>
    <xf numFmtId="0" fontId="78" fillId="12" borderId="1" xfId="0" applyFont="1" applyFill="1" applyBorder="1" applyAlignment="1" applyProtection="1">
      <alignment horizontal="center" vertical="center"/>
      <protection locked="0"/>
    </xf>
    <xf numFmtId="179" fontId="48" fillId="12" borderId="1" xfId="0" applyNumberFormat="1" applyFont="1" applyFill="1" applyBorder="1" applyAlignment="1" applyProtection="1">
      <alignment horizontal="center" vertical="center"/>
      <protection locked="0"/>
    </xf>
    <xf numFmtId="0" fontId="48" fillId="12" borderId="1" xfId="0" applyFont="1" applyFill="1" applyBorder="1" applyAlignment="1" applyProtection="1">
      <alignment horizontal="center" vertical="center"/>
      <protection locked="0"/>
    </xf>
    <xf numFmtId="176" fontId="53" fillId="12" borderId="1" xfId="0" applyNumberFormat="1" applyFont="1" applyFill="1" applyBorder="1" applyAlignment="1" applyProtection="1">
      <alignment horizontal="left" vertical="center"/>
      <protection locked="0"/>
    </xf>
    <xf numFmtId="0" fontId="293" fillId="0" borderId="0" xfId="0" applyFont="1" applyAlignment="1">
      <alignment horizontal="left" vertical="center"/>
    </xf>
    <xf numFmtId="0" fontId="293" fillId="0" borderId="1" xfId="0" applyFont="1" applyBorder="1" applyAlignment="1">
      <alignment horizontal="left" vertical="center"/>
    </xf>
    <xf numFmtId="49" fontId="293" fillId="0" borderId="1" xfId="0" applyNumberFormat="1" applyFont="1" applyBorder="1" applyAlignment="1">
      <alignment horizontal="left" vertical="center" wrapText="1"/>
    </xf>
    <xf numFmtId="0" fontId="293" fillId="0" borderId="1" xfId="0" applyNumberFormat="1" applyFont="1" applyBorder="1" applyAlignment="1">
      <alignment horizontal="left" vertical="center" wrapText="1"/>
    </xf>
    <xf numFmtId="205" fontId="293" fillId="0" borderId="0" xfId="0" applyNumberFormat="1" applyFont="1" applyAlignment="1">
      <alignment horizontal="left" vertical="center" wrapText="1"/>
    </xf>
    <xf numFmtId="0" fontId="293" fillId="0" borderId="1" xfId="0" applyNumberFormat="1" applyFont="1" applyBorder="1" applyAlignment="1">
      <alignment horizontal="left" vertical="center"/>
    </xf>
    <xf numFmtId="205" fontId="293" fillId="0" borderId="26" xfId="0" applyNumberFormat="1" applyFont="1" applyBorder="1" applyAlignment="1">
      <alignment horizontal="left" vertical="center" wrapText="1"/>
    </xf>
    <xf numFmtId="205" fontId="293" fillId="0" borderId="84" xfId="0" applyNumberFormat="1" applyFont="1" applyBorder="1" applyAlignment="1">
      <alignment horizontal="left" vertical="center" wrapText="1"/>
    </xf>
    <xf numFmtId="49" fontId="293" fillId="0" borderId="84" xfId="0" applyNumberFormat="1" applyFont="1" applyBorder="1" applyAlignment="1">
      <alignment horizontal="left" vertical="center" wrapText="1"/>
    </xf>
    <xf numFmtId="0" fontId="293" fillId="0" borderId="84" xfId="0" applyNumberFormat="1" applyFont="1" applyBorder="1" applyAlignment="1">
      <alignment horizontal="left" vertical="center" wrapText="1"/>
    </xf>
    <xf numFmtId="0" fontId="294" fillId="0" borderId="67" xfId="0" applyNumberFormat="1" applyFont="1" applyBorder="1" applyAlignment="1">
      <alignment horizontal="left" vertical="center" wrapText="1"/>
    </xf>
    <xf numFmtId="49" fontId="293" fillId="0" borderId="9" xfId="0" applyNumberFormat="1" applyFont="1" applyBorder="1" applyAlignment="1">
      <alignment horizontal="left" vertical="center" wrapText="1"/>
    </xf>
    <xf numFmtId="205" fontId="293" fillId="0" borderId="9" xfId="0" applyNumberFormat="1" applyFont="1" applyBorder="1" applyAlignment="1">
      <alignment horizontal="left" vertical="center" wrapText="1"/>
    </xf>
    <xf numFmtId="0" fontId="293" fillId="0" borderId="9" xfId="0" applyNumberFormat="1" applyFont="1" applyBorder="1" applyAlignment="1">
      <alignment horizontal="left" vertical="center" wrapText="1"/>
    </xf>
    <xf numFmtId="49" fontId="293" fillId="0" borderId="10" xfId="0" applyNumberFormat="1" applyFont="1" applyBorder="1" applyAlignment="1">
      <alignment horizontal="left" vertical="center" wrapText="1"/>
    </xf>
    <xf numFmtId="0" fontId="293" fillId="0" borderId="24" xfId="0" applyNumberFormat="1" applyFont="1" applyBorder="1" applyAlignment="1">
      <alignment horizontal="left" vertical="center" wrapText="1"/>
    </xf>
    <xf numFmtId="205" fontId="293" fillId="0" borderId="32" xfId="0" applyNumberFormat="1" applyFont="1" applyBorder="1" applyAlignment="1">
      <alignment horizontal="left" vertical="center" wrapText="1"/>
    </xf>
    <xf numFmtId="49" fontId="293" fillId="0" borderId="32" xfId="0" applyNumberFormat="1" applyFont="1" applyBorder="1" applyAlignment="1">
      <alignment horizontal="left" vertical="center"/>
    </xf>
    <xf numFmtId="0" fontId="293" fillId="0" borderId="32" xfId="0" applyFont="1" applyBorder="1" applyAlignment="1">
      <alignment horizontal="left" vertical="center"/>
    </xf>
    <xf numFmtId="49" fontId="293" fillId="0" borderId="32" xfId="0" applyNumberFormat="1" applyFont="1" applyBorder="1" applyAlignment="1">
      <alignment horizontal="left" vertical="center" wrapText="1"/>
    </xf>
    <xf numFmtId="0" fontId="293" fillId="0" borderId="32" xfId="0" applyNumberFormat="1" applyFont="1" applyBorder="1" applyAlignment="1">
      <alignment horizontal="left" vertical="center" wrapText="1"/>
    </xf>
    <xf numFmtId="49" fontId="294" fillId="0" borderId="49" xfId="0" applyNumberFormat="1" applyFont="1" applyBorder="1" applyAlignment="1">
      <alignment horizontal="left" vertical="center" wrapText="1"/>
    </xf>
    <xf numFmtId="9" fontId="293" fillId="0" borderId="1" xfId="0" applyNumberFormat="1" applyFont="1" applyBorder="1" applyAlignment="1">
      <alignment horizontal="left" vertical="center"/>
    </xf>
    <xf numFmtId="10" fontId="293" fillId="0" borderId="1" xfId="0" applyNumberFormat="1" applyFont="1" applyBorder="1" applyAlignment="1">
      <alignment horizontal="left" vertical="center"/>
    </xf>
    <xf numFmtId="0" fontId="55" fillId="6" borderId="0" xfId="0" applyFont="1" applyFill="1" applyBorder="1" applyAlignment="1" applyProtection="1">
      <alignment horizontal="center" vertical="center"/>
      <protection locked="0"/>
    </xf>
    <xf numFmtId="0" fontId="265" fillId="0" borderId="31" xfId="0" applyFont="1" applyBorder="1" applyAlignment="1">
      <alignment horizontal="justify" vertical="center"/>
    </xf>
    <xf numFmtId="0" fontId="265" fillId="0" borderId="43" xfId="0" applyFont="1" applyBorder="1" applyAlignment="1">
      <alignment horizontal="justify" vertical="center"/>
    </xf>
    <xf numFmtId="0" fontId="295" fillId="0" borderId="43" xfId="0" applyFont="1" applyBorder="1" applyAlignment="1">
      <alignment horizontal="justify" vertical="center"/>
    </xf>
    <xf numFmtId="0" fontId="266" fillId="0" borderId="43" xfId="0" applyFont="1" applyBorder="1" applyAlignment="1">
      <alignment horizontal="justify" vertical="center"/>
    </xf>
    <xf numFmtId="1" fontId="0" fillId="0" borderId="0" xfId="0" applyNumberFormat="1">
      <alignment vertical="center"/>
    </xf>
    <xf numFmtId="1" fontId="295" fillId="0" borderId="43" xfId="0" applyNumberFormat="1" applyFont="1" applyBorder="1" applyAlignment="1">
      <alignment horizontal="justify" vertical="center"/>
    </xf>
    <xf numFmtId="0" fontId="0" fillId="0" borderId="1" xfId="0" applyBorder="1">
      <alignment vertical="center"/>
    </xf>
    <xf numFmtId="0" fontId="0" fillId="0" borderId="0" xfId="0" applyAlignment="1">
      <alignment vertical="center"/>
    </xf>
    <xf numFmtId="0" fontId="265" fillId="0" borderId="81" xfId="0" applyFont="1" applyBorder="1" applyAlignment="1">
      <alignment horizontal="justify" vertical="center"/>
    </xf>
    <xf numFmtId="0" fontId="186"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46" fillId="0" borderId="1"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53" fillId="6" borderId="47" xfId="0" applyFont="1" applyFill="1" applyBorder="1" applyAlignment="1" applyProtection="1">
      <alignment horizontal="center" vertical="center"/>
    </xf>
    <xf numFmtId="0" fontId="45"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6" borderId="5"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55" fillId="6" borderId="1" xfId="0" applyNumberFormat="1"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54" fillId="6" borderId="5" xfId="0" applyFont="1" applyFill="1" applyBorder="1" applyAlignment="1" applyProtection="1">
      <alignment horizontal="left" vertical="center"/>
    </xf>
    <xf numFmtId="0" fontId="54"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54"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2" fillId="6" borderId="23"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5" fillId="6" borderId="37"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2" fillId="6" borderId="17"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185" fontId="51" fillId="18"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3"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191" fontId="270" fillId="0" borderId="1" xfId="19" applyNumberFormat="1" applyFont="1" applyFill="1" applyBorder="1" applyAlignment="1">
      <alignment horizontal="center" vertical="center"/>
    </xf>
    <xf numFmtId="185" fontId="270" fillId="0" borderId="35" xfId="19" applyNumberFormat="1" applyFont="1" applyFill="1" applyBorder="1" applyAlignment="1">
      <alignment horizontal="center" vertical="center"/>
    </xf>
    <xf numFmtId="185" fontId="270" fillId="0" borderId="7" xfId="19" applyNumberFormat="1" applyFont="1" applyFill="1" applyBorder="1" applyAlignment="1">
      <alignment horizontal="center" vertical="center"/>
    </xf>
    <xf numFmtId="185" fontId="270" fillId="0" borderId="15" xfId="19" applyNumberFormat="1" applyFont="1" applyFill="1" applyBorder="1" applyAlignment="1">
      <alignment horizontal="center" vertical="center"/>
    </xf>
    <xf numFmtId="185" fontId="270" fillId="0" borderId="2" xfId="19" applyNumberFormat="1" applyFont="1" applyFill="1" applyBorder="1" applyAlignment="1">
      <alignment horizontal="center" vertical="center"/>
    </xf>
    <xf numFmtId="185" fontId="270" fillId="0" borderId="22" xfId="19" applyNumberFormat="1" applyFont="1" applyFill="1" applyBorder="1" applyAlignment="1">
      <alignment horizontal="center" vertical="center"/>
    </xf>
    <xf numFmtId="185" fontId="270" fillId="0" borderId="13" xfId="19" applyNumberFormat="1" applyFont="1" applyFill="1" applyBorder="1" applyAlignment="1">
      <alignment horizontal="center" vertical="center"/>
    </xf>
    <xf numFmtId="185" fontId="270" fillId="0" borderId="3" xfId="19" applyNumberFormat="1" applyFont="1" applyFill="1" applyBorder="1" applyAlignment="1">
      <alignment horizontal="center" vertical="center"/>
    </xf>
    <xf numFmtId="185" fontId="270" fillId="0" borderId="1" xfId="19" applyNumberFormat="1" applyFont="1" applyFill="1" applyBorder="1" applyAlignment="1">
      <alignment horizontal="center" vertical="center"/>
    </xf>
    <xf numFmtId="191" fontId="270" fillId="0" borderId="13" xfId="19" applyNumberFormat="1" applyFont="1" applyFill="1" applyBorder="1" applyAlignment="1">
      <alignment horizontal="center" vertical="center" wrapText="1"/>
    </xf>
    <xf numFmtId="191" fontId="270" fillId="0" borderId="2" xfId="19" applyNumberFormat="1" applyFont="1" applyFill="1" applyBorder="1" applyAlignment="1">
      <alignment horizontal="center" vertical="center" wrapText="1"/>
    </xf>
    <xf numFmtId="43" fontId="270" fillId="0" borderId="13" xfId="19" applyNumberFormat="1" applyFont="1" applyFill="1" applyBorder="1" applyAlignment="1">
      <alignment horizontal="center" vertical="center"/>
    </xf>
    <xf numFmtId="43" fontId="270" fillId="0" borderId="2" xfId="19" applyNumberFormat="1" applyFont="1" applyFill="1" applyBorder="1" applyAlignment="1">
      <alignment horizontal="center" vertical="center"/>
    </xf>
    <xf numFmtId="4" fontId="270" fillId="0" borderId="13" xfId="19" applyNumberFormat="1" applyFont="1" applyFill="1" applyBorder="1" applyAlignment="1">
      <alignment horizontal="center" vertical="center"/>
    </xf>
    <xf numFmtId="4" fontId="270" fillId="0" borderId="2" xfId="19" applyNumberFormat="1" applyFont="1" applyFill="1" applyBorder="1" applyAlignment="1">
      <alignment horizontal="center" vertical="center"/>
    </xf>
    <xf numFmtId="183" fontId="270" fillId="0" borderId="1" xfId="19" applyNumberFormat="1" applyFont="1" applyFill="1" applyBorder="1" applyAlignment="1">
      <alignment horizontal="center" vertical="center"/>
    </xf>
    <xf numFmtId="196" fontId="270" fillId="0" borderId="1" xfId="19" applyNumberFormat="1" applyFont="1" applyFill="1" applyBorder="1" applyAlignment="1">
      <alignment horizontal="center" vertical="center"/>
    </xf>
    <xf numFmtId="3" fontId="270" fillId="0" borderId="13" xfId="19" applyNumberFormat="1" applyFont="1" applyFill="1" applyBorder="1" applyAlignment="1">
      <alignment horizontal="center" vertical="center"/>
    </xf>
    <xf numFmtId="3" fontId="270" fillId="0" borderId="2" xfId="19" applyNumberFormat="1" applyFont="1" applyFill="1" applyBorder="1" applyAlignment="1">
      <alignment horizontal="center" vertical="center"/>
    </xf>
    <xf numFmtId="183" fontId="270" fillId="0" borderId="13" xfId="19" applyNumberFormat="1" applyFont="1" applyFill="1" applyBorder="1" applyAlignment="1">
      <alignment horizontal="center" vertical="center"/>
    </xf>
    <xf numFmtId="183" fontId="270" fillId="0" borderId="2" xfId="19" applyNumberFormat="1" applyFont="1" applyFill="1" applyBorder="1" applyAlignment="1">
      <alignment horizontal="center" vertical="center"/>
    </xf>
    <xf numFmtId="196" fontId="270" fillId="0" borderId="13" xfId="19" applyNumberFormat="1" applyFont="1" applyFill="1" applyBorder="1" applyAlignment="1">
      <alignment horizontal="center" vertical="center"/>
    </xf>
    <xf numFmtId="196" fontId="270" fillId="0" borderId="2" xfId="19" applyNumberFormat="1" applyFont="1" applyFill="1" applyBorder="1" applyAlignment="1">
      <alignment horizontal="center" vertical="center"/>
    </xf>
    <xf numFmtId="199" fontId="270" fillId="0" borderId="13" xfId="19" applyNumberFormat="1" applyFont="1" applyFill="1" applyBorder="1" applyAlignment="1">
      <alignment horizontal="center" vertical="center"/>
    </xf>
    <xf numFmtId="199" fontId="270" fillId="0" borderId="2" xfId="19" applyNumberFormat="1" applyFont="1" applyFill="1" applyBorder="1" applyAlignment="1">
      <alignment horizontal="center" vertical="center"/>
    </xf>
    <xf numFmtId="197" fontId="270" fillId="0" borderId="13" xfId="19" applyNumberFormat="1" applyFont="1" applyFill="1" applyBorder="1" applyAlignment="1">
      <alignment horizontal="center" vertical="center"/>
    </xf>
    <xf numFmtId="197" fontId="270" fillId="0" borderId="2" xfId="19" applyNumberFormat="1" applyFont="1" applyFill="1" applyBorder="1" applyAlignment="1">
      <alignment horizontal="center" vertical="center"/>
    </xf>
    <xf numFmtId="2" fontId="270" fillId="0" borderId="13" xfId="19" applyNumberFormat="1" applyFont="1" applyFill="1" applyBorder="1" applyAlignment="1">
      <alignment horizontal="center" vertical="center"/>
    </xf>
    <xf numFmtId="2" fontId="270" fillId="0" borderId="2" xfId="19" applyNumberFormat="1" applyFont="1" applyFill="1" applyBorder="1" applyAlignment="1">
      <alignment horizontal="center" vertical="center"/>
    </xf>
    <xf numFmtId="191" fontId="270" fillId="0" borderId="13" xfId="19" applyNumberFormat="1" applyFont="1" applyFill="1" applyBorder="1" applyAlignment="1">
      <alignment horizontal="center" vertical="center"/>
    </xf>
    <xf numFmtId="191" fontId="270" fillId="0" borderId="2" xfId="19" applyNumberFormat="1" applyFont="1" applyFill="1" applyBorder="1" applyAlignment="1">
      <alignment horizontal="center" vertical="center"/>
    </xf>
    <xf numFmtId="191" fontId="270" fillId="0" borderId="15" xfId="19" applyNumberFormat="1" applyFont="1" applyFill="1" applyBorder="1" applyAlignment="1">
      <alignment horizontal="center" vertical="center"/>
    </xf>
    <xf numFmtId="191" fontId="269" fillId="6" borderId="1" xfId="19" applyNumberFormat="1" applyFont="1" applyFill="1" applyBorder="1" applyAlignment="1">
      <alignment horizontal="left" vertical="center" wrapText="1"/>
    </xf>
    <xf numFmtId="49" fontId="270" fillId="0" borderId="13" xfId="19" applyNumberFormat="1" applyFont="1" applyFill="1" applyBorder="1" applyAlignment="1">
      <alignment horizontal="center" vertical="center"/>
    </xf>
    <xf numFmtId="49" fontId="270" fillId="0" borderId="15" xfId="19" applyNumberFormat="1" applyFont="1" applyFill="1" applyBorder="1" applyAlignment="1">
      <alignment horizontal="center" vertical="center"/>
    </xf>
    <xf numFmtId="49" fontId="270" fillId="0" borderId="2" xfId="19" applyNumberFormat="1" applyFont="1" applyFill="1" applyBorder="1" applyAlignment="1">
      <alignment horizontal="center" vertical="center"/>
    </xf>
    <xf numFmtId="201" fontId="270" fillId="0" borderId="13" xfId="19" applyNumberFormat="1" applyFont="1" applyFill="1" applyBorder="1" applyAlignment="1">
      <alignment horizontal="center" vertical="center" wrapText="1"/>
    </xf>
    <xf numFmtId="201" fontId="270" fillId="0" borderId="15" xfId="19" applyNumberFormat="1" applyFont="1" applyFill="1" applyBorder="1" applyAlignment="1">
      <alignment horizontal="center" vertical="center" wrapText="1"/>
    </xf>
    <xf numFmtId="201" fontId="270" fillId="0" borderId="1" xfId="19" applyNumberFormat="1" applyFont="1" applyFill="1" applyBorder="1" applyAlignment="1">
      <alignment horizontal="center" vertical="center"/>
    </xf>
    <xf numFmtId="4" fontId="270" fillId="0" borderId="1" xfId="19" applyNumberFormat="1" applyFont="1" applyFill="1" applyBorder="1" applyAlignment="1">
      <alignment horizontal="center" vertical="center"/>
    </xf>
    <xf numFmtId="3" fontId="270" fillId="0" borderId="15" xfId="19" applyNumberFormat="1" applyFont="1" applyFill="1" applyBorder="1" applyAlignment="1">
      <alignment horizontal="center" vertical="center"/>
    </xf>
    <xf numFmtId="197" fontId="270" fillId="0" borderId="1" xfId="19" applyNumberFormat="1" applyFont="1" applyFill="1" applyBorder="1" applyAlignment="1">
      <alignment horizontal="center" vertical="center"/>
    </xf>
    <xf numFmtId="44" fontId="270" fillId="0" borderId="1" xfId="19" applyNumberFormat="1" applyFont="1" applyFill="1" applyBorder="1" applyAlignment="1">
      <alignment horizontal="center" vertical="center"/>
    </xf>
    <xf numFmtId="201" fontId="270" fillId="0" borderId="2" xfId="19" applyNumberFormat="1" applyFont="1" applyFill="1" applyBorder="1" applyAlignment="1">
      <alignment horizontal="center" vertical="center" wrapText="1"/>
    </xf>
    <xf numFmtId="0" fontId="270" fillId="0" borderId="1" xfId="19" applyNumberFormat="1" applyFont="1" applyFill="1" applyBorder="1" applyAlignment="1">
      <alignment horizontal="center" vertical="center"/>
    </xf>
    <xf numFmtId="201" fontId="270" fillId="0" borderId="13" xfId="19" applyNumberFormat="1" applyFont="1" applyFill="1" applyBorder="1" applyAlignment="1">
      <alignment horizontal="center" vertical="center"/>
    </xf>
    <xf numFmtId="201" fontId="270" fillId="0" borderId="2" xfId="19" applyNumberFormat="1" applyFont="1" applyFill="1" applyBorder="1" applyAlignment="1">
      <alignment horizontal="center" vertical="center"/>
    </xf>
    <xf numFmtId="4" fontId="270" fillId="0" borderId="15" xfId="19" applyNumberFormat="1" applyFont="1" applyFill="1" applyBorder="1" applyAlignment="1">
      <alignment horizontal="center" vertical="center"/>
    </xf>
    <xf numFmtId="183" fontId="270" fillId="0" borderId="15" xfId="19" applyNumberFormat="1" applyFont="1" applyFill="1" applyBorder="1" applyAlignment="1">
      <alignment horizontal="center" vertical="center"/>
    </xf>
    <xf numFmtId="0" fontId="270" fillId="0" borderId="13" xfId="19" applyNumberFormat="1" applyFont="1" applyFill="1" applyBorder="1" applyAlignment="1">
      <alignment horizontal="center" vertical="center"/>
    </xf>
    <xf numFmtId="0" fontId="270" fillId="0" borderId="2" xfId="19" applyNumberFormat="1" applyFont="1" applyFill="1" applyBorder="1" applyAlignment="1">
      <alignment horizontal="center" vertical="center"/>
    </xf>
    <xf numFmtId="201" fontId="270" fillId="0" borderId="1" xfId="19" applyNumberFormat="1" applyFont="1" applyFill="1" applyBorder="1" applyAlignment="1">
      <alignment horizontal="center" vertical="center" wrapText="1"/>
    </xf>
    <xf numFmtId="203" fontId="283" fillId="27" borderId="5" xfId="41" applyNumberFormat="1" applyFont="1" applyFill="1" applyBorder="1" applyAlignment="1">
      <alignment horizontal="center" vertical="center"/>
    </xf>
    <xf numFmtId="203" fontId="283" fillId="27" borderId="54" xfId="41" applyNumberFormat="1" applyFont="1" applyFill="1" applyBorder="1" applyAlignment="1">
      <alignment horizontal="center" vertical="center"/>
    </xf>
    <xf numFmtId="203" fontId="283" fillId="27" borderId="3" xfId="41" applyNumberFormat="1" applyFont="1" applyFill="1" applyBorder="1" applyAlignment="1">
      <alignment horizontal="center" vertical="center"/>
    </xf>
    <xf numFmtId="203" fontId="277" fillId="7" borderId="0" xfId="35" applyNumberFormat="1" applyFont="1" applyFill="1" applyBorder="1" applyAlignment="1">
      <alignment horizontal="center" vertical="center"/>
    </xf>
    <xf numFmtId="203" fontId="280" fillId="23" borderId="1" xfId="35" applyNumberFormat="1" applyFont="1" applyFill="1" applyBorder="1" applyAlignment="1">
      <alignment horizontal="center" vertical="center"/>
    </xf>
    <xf numFmtId="203" fontId="20" fillId="28" borderId="5" xfId="41" applyNumberFormat="1" applyFont="1" applyFill="1" applyBorder="1" applyAlignment="1">
      <alignment horizontal="center" vertical="center"/>
    </xf>
    <xf numFmtId="203" fontId="273" fillId="28" borderId="54" xfId="41" applyNumberFormat="1" applyFont="1" applyFill="1" applyBorder="1" applyAlignment="1">
      <alignment horizontal="center" vertical="center"/>
    </xf>
    <xf numFmtId="203" fontId="20" fillId="28" borderId="54" xfId="41" applyNumberFormat="1" applyFont="1" applyFill="1" applyBorder="1" applyAlignment="1">
      <alignment horizontal="center" vertical="center"/>
    </xf>
    <xf numFmtId="203" fontId="20" fillId="28" borderId="3" xfId="41" applyNumberFormat="1" applyFont="1" applyFill="1" applyBorder="1" applyAlignment="1">
      <alignment horizontal="center" vertical="center"/>
    </xf>
    <xf numFmtId="203" fontId="273" fillId="28" borderId="3" xfId="41" applyNumberFormat="1" applyFont="1" applyFill="1" applyBorder="1" applyAlignment="1">
      <alignment horizontal="center" vertical="center"/>
    </xf>
    <xf numFmtId="203" fontId="20" fillId="28" borderId="1" xfId="35" applyNumberFormat="1" applyFont="1" applyFill="1" applyBorder="1" applyAlignment="1">
      <alignment horizontal="center" vertical="center"/>
    </xf>
    <xf numFmtId="203" fontId="273" fillId="28" borderId="1" xfId="35" applyNumberFormat="1" applyFont="1" applyFill="1" applyBorder="1" applyAlignment="1">
      <alignment horizontal="center" vertical="center"/>
    </xf>
    <xf numFmtId="203" fontId="20" fillId="28" borderId="5" xfId="35" applyNumberFormat="1" applyFont="1" applyFill="1" applyBorder="1" applyAlignment="1">
      <alignment horizontal="center" vertical="center"/>
    </xf>
    <xf numFmtId="203" fontId="20" fillId="28" borderId="54" xfId="35" applyNumberFormat="1" applyFont="1" applyFill="1" applyBorder="1" applyAlignment="1">
      <alignment horizontal="center" vertical="center"/>
    </xf>
    <xf numFmtId="203" fontId="20" fillId="28" borderId="3" xfId="35" applyNumberFormat="1" applyFont="1" applyFill="1" applyBorder="1" applyAlignment="1">
      <alignment horizontal="center" vertical="center"/>
    </xf>
    <xf numFmtId="203" fontId="273" fillId="28" borderId="54" xfId="35" applyNumberFormat="1" applyFont="1" applyFill="1" applyBorder="1" applyAlignment="1">
      <alignment horizontal="center" vertical="center"/>
    </xf>
    <xf numFmtId="203" fontId="273" fillId="28" borderId="5" xfId="35" applyNumberFormat="1" applyFont="1" applyFill="1" applyBorder="1" applyAlignment="1">
      <alignment horizontal="center" vertical="center" wrapText="1"/>
    </xf>
    <xf numFmtId="203" fontId="273" fillId="28" borderId="54" xfId="35" applyNumberFormat="1" applyFont="1" applyFill="1" applyBorder="1" applyAlignment="1">
      <alignment horizontal="center" vertical="center" wrapText="1"/>
    </xf>
    <xf numFmtId="203" fontId="273" fillId="28" borderId="3" xfId="35" applyNumberFormat="1" applyFont="1" applyFill="1" applyBorder="1" applyAlignment="1">
      <alignment horizontal="center" vertical="center" wrapText="1"/>
    </xf>
    <xf numFmtId="203" fontId="20" fillId="28" borderId="5" xfId="35" applyNumberFormat="1" applyFont="1" applyFill="1" applyBorder="1" applyAlignment="1">
      <alignment horizontal="center" vertical="center" wrapText="1"/>
    </xf>
    <xf numFmtId="203" fontId="284" fillId="28" borderId="46" xfId="35" applyNumberFormat="1" applyFont="1" applyFill="1" applyBorder="1" applyAlignment="1">
      <alignment horizontal="center" vertical="center" wrapText="1"/>
    </xf>
    <xf numFmtId="203" fontId="273" fillId="28" borderId="36" xfId="35" applyNumberFormat="1" applyFont="1" applyFill="1" applyBorder="1" applyAlignment="1">
      <alignment horizontal="center" vertical="center" wrapText="1"/>
    </xf>
    <xf numFmtId="203" fontId="273" fillId="28" borderId="4" xfId="35" applyNumberFormat="1" applyFont="1" applyFill="1" applyBorder="1" applyAlignment="1">
      <alignment horizontal="center" vertical="center" wrapText="1"/>
    </xf>
    <xf numFmtId="203" fontId="273" fillId="28" borderId="60" xfId="35" applyNumberFormat="1" applyFont="1" applyFill="1" applyBorder="1" applyAlignment="1">
      <alignment horizontal="center" vertical="center" wrapText="1"/>
    </xf>
    <xf numFmtId="203" fontId="273" fillId="28" borderId="5" xfId="41" applyNumberFormat="1" applyFont="1" applyFill="1" applyBorder="1" applyAlignment="1">
      <alignment horizontal="center" vertical="center"/>
    </xf>
    <xf numFmtId="203" fontId="282" fillId="7" borderId="0" xfId="41" applyNumberFormat="1" applyFont="1" applyFill="1" applyBorder="1" applyAlignment="1">
      <alignment horizontal="left" vertical="center"/>
    </xf>
    <xf numFmtId="203" fontId="20" fillId="29" borderId="5" xfId="41" applyNumberFormat="1" applyFont="1" applyFill="1" applyBorder="1" applyAlignment="1">
      <alignment horizontal="center" vertical="center"/>
    </xf>
    <xf numFmtId="203" fontId="20" fillId="29" borderId="3" xfId="41" applyNumberFormat="1" applyFont="1" applyFill="1" applyBorder="1" applyAlignment="1">
      <alignment horizontal="center" vertical="center"/>
    </xf>
    <xf numFmtId="203" fontId="20" fillId="28" borderId="1" xfId="41" applyNumberFormat="1" applyFont="1" applyFill="1" applyBorder="1" applyAlignment="1">
      <alignment horizontal="center" vertical="center"/>
    </xf>
    <xf numFmtId="205" fontId="293" fillId="0" borderId="6" xfId="0" applyNumberFormat="1" applyFont="1" applyBorder="1" applyAlignment="1">
      <alignment horizontal="left" vertical="center" wrapText="1"/>
    </xf>
    <xf numFmtId="205" fontId="293" fillId="0" borderId="23" xfId="0" applyNumberFormat="1" applyFont="1" applyBorder="1" applyAlignment="1">
      <alignment horizontal="left" vertical="center" wrapText="1"/>
    </xf>
    <xf numFmtId="205" fontId="293" fillId="0" borderId="25" xfId="0" applyNumberFormat="1" applyFont="1" applyBorder="1" applyAlignment="1">
      <alignment horizontal="left" vertical="center" wrapText="1"/>
    </xf>
    <xf numFmtId="205" fontId="293" fillId="0" borderId="9" xfId="0" applyNumberFormat="1" applyFont="1" applyBorder="1" applyAlignment="1">
      <alignment horizontal="left" vertical="center" wrapText="1"/>
    </xf>
    <xf numFmtId="205" fontId="293" fillId="0" borderId="1" xfId="0" applyNumberFormat="1" applyFont="1" applyBorder="1" applyAlignment="1">
      <alignment horizontal="left" vertical="center" wrapText="1"/>
    </xf>
    <xf numFmtId="205" fontId="293" fillId="0" borderId="32" xfId="0" applyNumberFormat="1" applyFont="1" applyBorder="1" applyAlignment="1">
      <alignment horizontal="left" vertical="center" wrapText="1"/>
    </xf>
    <xf numFmtId="0" fontId="293" fillId="0" borderId="17" xfId="0" applyFont="1" applyBorder="1" applyAlignment="1">
      <alignment horizontal="center" vertical="center"/>
    </xf>
    <xf numFmtId="0" fontId="293" fillId="0" borderId="74" xfId="0" applyFont="1" applyBorder="1" applyAlignment="1">
      <alignment horizontal="center" vertical="center"/>
    </xf>
    <xf numFmtId="0" fontId="293" fillId="0" borderId="6" xfId="0" applyFont="1" applyBorder="1" applyAlignment="1">
      <alignment horizontal="left" vertical="center"/>
    </xf>
    <xf numFmtId="0" fontId="293" fillId="0" borderId="25" xfId="0" applyFont="1" applyBorder="1" applyAlignment="1">
      <alignment horizontal="left" vertical="center"/>
    </xf>
    <xf numFmtId="0" fontId="293" fillId="0" borderId="9" xfId="0" applyFont="1" applyBorder="1" applyAlignment="1">
      <alignment horizontal="left" vertical="center"/>
    </xf>
    <xf numFmtId="0" fontId="293" fillId="0" borderId="32" xfId="0" applyFont="1" applyBorder="1" applyAlignment="1">
      <alignment horizontal="left" vertical="center"/>
    </xf>
    <xf numFmtId="0" fontId="293" fillId="0" borderId="10" xfId="0" applyFont="1" applyBorder="1" applyAlignment="1">
      <alignment horizontal="left" vertical="center"/>
    </xf>
    <xf numFmtId="0" fontId="293" fillId="0" borderId="49" xfId="0" applyFont="1" applyBorder="1" applyAlignment="1">
      <alignment horizontal="left" vertical="center"/>
    </xf>
    <xf numFmtId="0" fontId="265" fillId="0" borderId="27" xfId="0" applyFont="1" applyBorder="1" applyAlignment="1">
      <alignment horizontal="justify" vertical="center"/>
    </xf>
    <xf numFmtId="0" fontId="265" fillId="0" borderId="81" xfId="0" applyFont="1" applyBorder="1" applyAlignment="1">
      <alignment horizontal="justify" vertical="center"/>
    </xf>
    <xf numFmtId="0" fontId="265" fillId="0" borderId="64" xfId="0" applyFont="1" applyBorder="1" applyAlignment="1">
      <alignment horizontal="justify" vertical="center" wrapText="1"/>
    </xf>
    <xf numFmtId="0" fontId="265" fillId="0" borderId="65" xfId="0" applyFont="1" applyBorder="1" applyAlignment="1">
      <alignment horizontal="justify" vertical="center" wrapText="1"/>
    </xf>
    <xf numFmtId="0" fontId="96" fillId="0" borderId="1" xfId="0" applyFont="1" applyBorder="1" applyAlignment="1">
      <alignment horizontal="center" vertical="center"/>
    </xf>
    <xf numFmtId="0" fontId="0" fillId="0" borderId="1" xfId="0" applyBorder="1" applyAlignment="1">
      <alignment horizontal="center" vertical="center"/>
    </xf>
    <xf numFmtId="0" fontId="265" fillId="0" borderId="31" xfId="0" applyFont="1" applyBorder="1" applyAlignment="1">
      <alignment horizontal="justify" vertical="center"/>
    </xf>
    <xf numFmtId="0" fontId="265" fillId="0" borderId="43" xfId="0" applyFont="1" applyBorder="1" applyAlignment="1">
      <alignment horizontal="justify" vertical="center"/>
    </xf>
  </cellXfs>
  <cellStyles count="54">
    <cellStyle name="Comma 2" xfId="23"/>
    <cellStyle name="Comma 2 2" xfId="24"/>
    <cellStyle name="Comma 2 2 2" xfId="25"/>
    <cellStyle name="Comma 2 2 2 2" xfId="26"/>
    <cellStyle name="Comma 2 2 3" xfId="27"/>
    <cellStyle name="Comma 2 3" xfId="28"/>
    <cellStyle name="Comma 2 3 2" xfId="29"/>
    <cellStyle name="Comma 2 4" xfId="30"/>
    <cellStyle name="Normal 2" xfId="19"/>
    <cellStyle name="Normal 2 2 2" xfId="20"/>
    <cellStyle name="Normal 2 8" xfId="31"/>
    <cellStyle name="Normal 3" xfId="32"/>
    <cellStyle name="Normal 4" xfId="33"/>
    <cellStyle name="Normal 5" xfId="34"/>
    <cellStyle name="Normal_Shangri-La Offices Rental Schedule by 8 units--elevator060803_Shangri-La Offices - Rental Guideline &amp; Leasing Policy 060913draft 2" xfId="35"/>
    <cellStyle name="百分比" xfId="17" builtinId="5"/>
    <cellStyle name="百分比 2" xfId="14"/>
    <cellStyle name="百分比 3" xfId="22"/>
    <cellStyle name="常规" xfId="0" builtinId="0"/>
    <cellStyle name="常规 10" xfId="49"/>
    <cellStyle name="常规 11" xfId="18"/>
    <cellStyle name="常规 12" xfId="50"/>
    <cellStyle name="常规 13" xfId="51"/>
    <cellStyle name="常规 14" xfId="53"/>
    <cellStyle name="常规 16" xfId="10"/>
    <cellStyle name="常规 2" xfId="1"/>
    <cellStyle name="常规 2 2" xfId="8"/>
    <cellStyle name="常规 2 2 2 2 3" xfId="15"/>
    <cellStyle name="常规 2 3" xfId="52"/>
    <cellStyle name="常规 3" xfId="2"/>
    <cellStyle name="常规 3 2" xfId="3"/>
    <cellStyle name="常规 3 2 2" xfId="48"/>
    <cellStyle name="常规 3 3" xfId="36"/>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_Stacking Plan 2" xfId="37"/>
    <cellStyle name="常规_Stacking Plan_4 2" xfId="38"/>
    <cellStyle name="常规_Stacking Plan_5" xfId="39"/>
    <cellStyle name="常规_Stacking Plan_5 2" xfId="40"/>
    <cellStyle name="常规_Stacking Plan_8 2" xfId="41"/>
    <cellStyle name="千位分隔 2" xfId="21"/>
    <cellStyle name="千位分隔 2 2" xfId="42"/>
    <cellStyle name="千位分隔 2 2 2" xfId="43"/>
    <cellStyle name="千位分隔 2 3" xfId="44"/>
    <cellStyle name="千位分隔 3" xfId="45"/>
    <cellStyle name="千位分隔 3 2" xfId="46"/>
    <cellStyle name="千位分隔 4" xfId="47"/>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4.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NULL"/><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6</xdr:row>
      <xdr:rowOff>0</xdr:rowOff>
    </xdr:from>
    <xdr:to>
      <xdr:col>11</xdr:col>
      <xdr:colOff>399743</xdr:colOff>
      <xdr:row>15</xdr:row>
      <xdr:rowOff>114093</xdr:rowOff>
    </xdr:to>
    <xdr:pic>
      <xdr:nvPicPr>
        <xdr:cNvPr id="2" name="图片 1"/>
        <xdr:cNvPicPr>
          <a:picLocks noChangeAspect="1"/>
        </xdr:cNvPicPr>
      </xdr:nvPicPr>
      <xdr:blipFill>
        <a:blip xmlns:r="http://schemas.openxmlformats.org/officeDocument/2006/relationships" r:embed="rId1"/>
        <a:stretch>
          <a:fillRect/>
        </a:stretch>
      </xdr:blipFill>
      <xdr:spPr>
        <a:xfrm>
          <a:off x="3400425" y="1028700"/>
          <a:ext cx="2457143" cy="1657143"/>
        </a:xfrm>
        <a:prstGeom prst="rect">
          <a:avLst/>
        </a:prstGeom>
      </xdr:spPr>
    </xdr:pic>
    <xdr:clientData/>
  </xdr:twoCellAnchor>
  <xdr:twoCellAnchor editAs="oneCell">
    <xdr:from>
      <xdr:col>8</xdr:col>
      <xdr:colOff>0</xdr:colOff>
      <xdr:row>18</xdr:row>
      <xdr:rowOff>0</xdr:rowOff>
    </xdr:from>
    <xdr:to>
      <xdr:col>28</xdr:col>
      <xdr:colOff>799571</xdr:colOff>
      <xdr:row>36</xdr:row>
      <xdr:rowOff>132948</xdr:rowOff>
    </xdr:to>
    <xdr:pic>
      <xdr:nvPicPr>
        <xdr:cNvPr id="3" name="图片 2"/>
        <xdr:cNvPicPr>
          <a:picLocks noChangeAspect="1"/>
        </xdr:cNvPicPr>
      </xdr:nvPicPr>
      <xdr:blipFill>
        <a:blip xmlns:r="http://schemas.openxmlformats.org/officeDocument/2006/relationships" r:embed="rId2"/>
        <a:stretch>
          <a:fillRect/>
        </a:stretch>
      </xdr:blipFill>
      <xdr:spPr>
        <a:xfrm>
          <a:off x="3400425" y="3086100"/>
          <a:ext cx="4228571" cy="3219048"/>
        </a:xfrm>
        <a:prstGeom prst="rect">
          <a:avLst/>
        </a:prstGeom>
      </xdr:spPr>
    </xdr:pic>
    <xdr:clientData/>
  </xdr:twoCellAnchor>
  <xdr:twoCellAnchor editAs="oneCell">
    <xdr:from>
      <xdr:col>8</xdr:col>
      <xdr:colOff>0</xdr:colOff>
      <xdr:row>41</xdr:row>
      <xdr:rowOff>0</xdr:rowOff>
    </xdr:from>
    <xdr:to>
      <xdr:col>28</xdr:col>
      <xdr:colOff>18619</xdr:colOff>
      <xdr:row>60</xdr:row>
      <xdr:rowOff>171021</xdr:rowOff>
    </xdr:to>
    <xdr:pic>
      <xdr:nvPicPr>
        <xdr:cNvPr id="4" name="图片 3"/>
        <xdr:cNvPicPr>
          <a:picLocks noChangeAspect="1"/>
        </xdr:cNvPicPr>
      </xdr:nvPicPr>
      <xdr:blipFill>
        <a:blip xmlns:r="http://schemas.openxmlformats.org/officeDocument/2006/relationships" r:embed="rId3"/>
        <a:stretch>
          <a:fillRect/>
        </a:stretch>
      </xdr:blipFill>
      <xdr:spPr>
        <a:xfrm>
          <a:off x="3400425" y="7029450"/>
          <a:ext cx="3447619" cy="34285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570829</xdr:colOff>
      <xdr:row>25</xdr:row>
      <xdr:rowOff>104226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371429" cy="4390476"/>
        </a:xfrm>
        <a:prstGeom prst="rect">
          <a:avLst/>
        </a:prstGeom>
      </xdr:spPr>
    </xdr:pic>
    <xdr:clientData/>
  </xdr:twoCellAnchor>
  <xdr:twoCellAnchor editAs="oneCell">
    <xdr:from>
      <xdr:col>8</xdr:col>
      <xdr:colOff>0</xdr:colOff>
      <xdr:row>0</xdr:row>
      <xdr:rowOff>0</xdr:rowOff>
    </xdr:from>
    <xdr:to>
      <xdr:col>15</xdr:col>
      <xdr:colOff>180353</xdr:colOff>
      <xdr:row>26</xdr:row>
      <xdr:rowOff>132777</xdr:rowOff>
    </xdr:to>
    <xdr:pic>
      <xdr:nvPicPr>
        <xdr:cNvPr id="3" name="图片 2"/>
        <xdr:cNvPicPr>
          <a:picLocks noChangeAspect="1"/>
        </xdr:cNvPicPr>
      </xdr:nvPicPr>
      <xdr:blipFill>
        <a:blip xmlns:r="http://schemas.openxmlformats.org/officeDocument/2006/relationships" r:embed="rId1"/>
        <a:stretch>
          <a:fillRect/>
        </a:stretch>
      </xdr:blipFill>
      <xdr:spPr>
        <a:xfrm>
          <a:off x="5486400" y="0"/>
          <a:ext cx="4980953" cy="4590477"/>
        </a:xfrm>
        <a:prstGeom prst="rect">
          <a:avLst/>
        </a:prstGeom>
      </xdr:spPr>
    </xdr:pic>
    <xdr:clientData/>
  </xdr:twoCellAnchor>
  <xdr:twoCellAnchor editAs="oneCell">
    <xdr:from>
      <xdr:col>0</xdr:col>
      <xdr:colOff>0</xdr:colOff>
      <xdr:row>0</xdr:row>
      <xdr:rowOff>0</xdr:rowOff>
    </xdr:from>
    <xdr:to>
      <xdr:col>11</xdr:col>
      <xdr:colOff>389533</xdr:colOff>
      <xdr:row>26</xdr:row>
      <xdr:rowOff>37538</xdr:rowOff>
    </xdr:to>
    <xdr:pic>
      <xdr:nvPicPr>
        <xdr:cNvPr id="4" name="图片 3"/>
        <xdr:cNvPicPr>
          <a:picLocks noChangeAspect="1"/>
        </xdr:cNvPicPr>
      </xdr:nvPicPr>
      <xdr:blipFill>
        <a:blip xmlns:r="http://schemas.openxmlformats.org/officeDocument/2006/relationships" r:embed="rId2"/>
        <a:stretch>
          <a:fillRect/>
        </a:stretch>
      </xdr:blipFill>
      <xdr:spPr>
        <a:xfrm>
          <a:off x="0" y="0"/>
          <a:ext cx="7933333" cy="4495238"/>
        </a:xfrm>
        <a:prstGeom prst="rect">
          <a:avLst/>
        </a:prstGeom>
      </xdr:spPr>
    </xdr:pic>
    <xdr:clientData/>
  </xdr:twoCellAnchor>
  <xdr:twoCellAnchor editAs="oneCell">
    <xdr:from>
      <xdr:col>0</xdr:col>
      <xdr:colOff>0</xdr:colOff>
      <xdr:row>27</xdr:row>
      <xdr:rowOff>0</xdr:rowOff>
    </xdr:from>
    <xdr:to>
      <xdr:col>11</xdr:col>
      <xdr:colOff>256200</xdr:colOff>
      <xdr:row>51</xdr:row>
      <xdr:rowOff>161390</xdr:rowOff>
    </xdr:to>
    <xdr:pic>
      <xdr:nvPicPr>
        <xdr:cNvPr id="5" name="图片 4"/>
        <xdr:cNvPicPr>
          <a:picLocks noChangeAspect="1"/>
        </xdr:cNvPicPr>
      </xdr:nvPicPr>
      <xdr:blipFill>
        <a:blip xmlns:r="http://schemas.openxmlformats.org/officeDocument/2006/relationships" r:embed="rId3"/>
        <a:stretch>
          <a:fillRect/>
        </a:stretch>
      </xdr:blipFill>
      <xdr:spPr>
        <a:xfrm>
          <a:off x="0" y="4629150"/>
          <a:ext cx="7800000" cy="4276190"/>
        </a:xfrm>
        <a:prstGeom prst="rect">
          <a:avLst/>
        </a:prstGeom>
      </xdr:spPr>
    </xdr:pic>
    <xdr:clientData/>
  </xdr:twoCellAnchor>
  <xdr:twoCellAnchor editAs="oneCell">
    <xdr:from>
      <xdr:col>0</xdr:col>
      <xdr:colOff>0</xdr:colOff>
      <xdr:row>53</xdr:row>
      <xdr:rowOff>0</xdr:rowOff>
    </xdr:from>
    <xdr:to>
      <xdr:col>11</xdr:col>
      <xdr:colOff>132390</xdr:colOff>
      <xdr:row>71</xdr:row>
      <xdr:rowOff>85329</xdr:rowOff>
    </xdr:to>
    <xdr:pic>
      <xdr:nvPicPr>
        <xdr:cNvPr id="6" name="图片 5"/>
        <xdr:cNvPicPr>
          <a:picLocks noChangeAspect="1"/>
        </xdr:cNvPicPr>
      </xdr:nvPicPr>
      <xdr:blipFill>
        <a:blip xmlns:r="http://schemas.openxmlformats.org/officeDocument/2006/relationships" r:embed="rId4"/>
        <a:stretch>
          <a:fillRect/>
        </a:stretch>
      </xdr:blipFill>
      <xdr:spPr>
        <a:xfrm>
          <a:off x="0" y="9086850"/>
          <a:ext cx="7676190" cy="31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402;&#26723;/2023&#24180;/A/&#25253;&#21578;/2023-1-0914-&#22806;&#25991;&#22823;&#21414;/F01DYGJ1/&#26368;&#32456;/&#27979;&#31639;&#34920;-&#22806;&#25991;&#22823;&#214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元)"/>
      <sheetName val="假设开发法"/>
      <sheetName val="收益法 (元)"/>
      <sheetName val="收益法-酒店模型"/>
      <sheetName val="基准地价（汇总）"/>
      <sheetName val="典型户型修正"/>
      <sheetName val="比较法-办公"/>
      <sheetName val="收益法（汇总）"/>
      <sheetName val="比较法-住宅"/>
      <sheetName val="比较法-商业"/>
      <sheetName val="比较法-工业"/>
      <sheetName val="比较法-车位"/>
      <sheetName val="比较法-仓储"/>
      <sheetName val="土地比较法-工业"/>
      <sheetName val="收益法-地下"/>
      <sheetName val="修正"/>
      <sheetName val="容积率修正"/>
      <sheetName val="成本法（废）"/>
      <sheetName val="区片价"/>
      <sheetName val="因素修正幅度"/>
      <sheetName val="区片价（范围）"/>
      <sheetName val="地价-分区"/>
      <sheetName val="地价"/>
      <sheetName val="存贷款利率"/>
      <sheetName val="案例"/>
      <sheetName val="成本法"/>
      <sheetName val="土地比较法-住宅、综合"/>
      <sheetName val="土地案例"/>
      <sheetName val="基准地价修正"/>
      <sheetName val="收益法-地上"/>
      <sheetName val="比较法-办公（大宗）"/>
      <sheetName val="2021"/>
      <sheetName val="租约汇总"/>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收益法-地上</v>
          </cell>
        </row>
        <row r="20">
          <cell r="A20" t="str">
            <v>食堂</v>
          </cell>
          <cell r="B20" t="str">
            <v>收益法-地下</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商业</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商业</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row r="5">
          <cell r="B5" t="str">
            <v>装修</v>
          </cell>
          <cell r="C5" t="str">
            <v>普通装修</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v>4</v>
          </cell>
          <cell r="D17">
            <v>8</v>
          </cell>
          <cell r="E17">
            <v>9</v>
          </cell>
        </row>
      </sheetData>
      <sheetData sheetId="24">
        <row r="62">
          <cell r="A62" t="str">
            <v>交易情况</v>
          </cell>
          <cell r="C62" t="str">
            <v>正常</v>
          </cell>
          <cell r="D62" t="str">
            <v>报价</v>
          </cell>
        </row>
        <row r="64">
          <cell r="B64" t="str">
            <v>用途</v>
          </cell>
          <cell r="C64" t="str">
            <v>商业</v>
          </cell>
          <cell r="D64" t="str">
            <v>商办综合</v>
          </cell>
          <cell r="E64" t="str">
            <v>酒店</v>
          </cell>
          <cell r="F64" t="str">
            <v>办公</v>
          </cell>
        </row>
        <row r="87">
          <cell r="B87" t="str">
            <v>毗邻道路的类型与等级</v>
          </cell>
          <cell r="C87" t="str">
            <v>高速公路</v>
          </cell>
          <cell r="D87" t="str">
            <v>城市快速路</v>
          </cell>
          <cell r="E87" t="str">
            <v>城市主干道</v>
          </cell>
          <cell r="F87" t="str">
            <v>城市次干道</v>
          </cell>
        </row>
        <row r="89">
          <cell r="B89" t="str">
            <v>楼层</v>
          </cell>
          <cell r="C89" t="str">
            <v>高区</v>
          </cell>
          <cell r="D89" t="str">
            <v>中区</v>
          </cell>
          <cell r="E89" t="str">
            <v>低区</v>
          </cell>
        </row>
        <row r="91">
          <cell r="B91" t="str">
            <v>朝向</v>
          </cell>
        </row>
        <row r="101">
          <cell r="B101" t="str">
            <v>建筑类型</v>
          </cell>
          <cell r="C101" t="str">
            <v>标准写字楼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row>
        <row r="115">
          <cell r="B115" t="str">
            <v>物业管理</v>
          </cell>
          <cell r="C115" t="str">
            <v>专业物业</v>
          </cell>
          <cell r="D115" t="str">
            <v>普通物业</v>
          </cell>
        </row>
        <row r="117">
          <cell r="B117" t="str">
            <v>市政基础设施</v>
          </cell>
          <cell r="C117" t="str">
            <v>七通</v>
          </cell>
          <cell r="D117" t="str">
            <v>六通</v>
          </cell>
          <cell r="E117" t="str">
            <v>五通</v>
          </cell>
          <cell r="F117" t="str">
            <v>四通</v>
          </cell>
          <cell r="G117" t="str">
            <v>三通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25"/>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2"/>
      <sheetData sheetId="33">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4"/>
      <sheetData sheetId="35"/>
      <sheetData sheetId="36"/>
      <sheetData sheetId="37"/>
      <sheetData sheetId="38"/>
      <sheetData sheetId="39"/>
      <sheetData sheetId="40"/>
      <sheetData sheetId="41"/>
      <sheetData sheetId="42"/>
      <sheetData sheetId="43"/>
      <sheetData sheetId="44">
        <row r="72">
          <cell r="A72" t="str">
            <v>交易情况</v>
          </cell>
          <cell r="C72" t="str">
            <v>正常</v>
          </cell>
        </row>
        <row r="74">
          <cell r="B74" t="str">
            <v>用途</v>
          </cell>
          <cell r="C74" t="str">
            <v>B1商业用地</v>
          </cell>
          <cell r="D74" t="str">
            <v>B4综合性商业金融服务业用地</v>
          </cell>
          <cell r="E74" t="str">
            <v>F3其他类多功能用地</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cell r="C122" t="str">
            <v>七通</v>
          </cell>
          <cell r="D122" t="str">
            <v>六通</v>
          </cell>
          <cell r="E122" t="str">
            <v>五通</v>
          </cell>
          <cell r="F122" t="str">
            <v>四通</v>
          </cell>
          <cell r="G122" t="str">
            <v>三通</v>
          </cell>
        </row>
        <row r="124">
          <cell r="B124" t="str">
            <v>工程地质条件</v>
          </cell>
        </row>
      </sheetData>
      <sheetData sheetId="45"/>
      <sheetData sheetId="46"/>
      <sheetData sheetId="47"/>
      <sheetData sheetId="48"/>
      <sheetData sheetId="49"/>
      <sheetData sheetId="50"/>
      <sheetData sheetId="5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北京市朝阳区东四环北路2号房地产市场价值预评估</v>
      </c>
    </row>
    <row r="3" spans="1:2" s="1203" customFormat="1">
      <c r="A3" s="1201" t="s">
        <v>523</v>
      </c>
      <c r="B3" s="1202">
        <f>'预评函-封皮'!B40</f>
        <v>0</v>
      </c>
    </row>
    <row r="4" spans="1:2" s="1203" customFormat="1">
      <c r="A4" s="1201" t="s">
        <v>524</v>
      </c>
      <c r="B4" s="1202" t="str">
        <f ca="1">'预评函-封皮'!B46</f>
        <v>吴薇（注册号：1419970001)、郑燚（注册号：1120070131)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受贵公司委托，我公司对北京市朝阳区东四环北路2号房地产市场价值进行了预评估。</v>
      </c>
    </row>
    <row r="7" spans="1:2" s="1203" customFormat="1">
      <c r="A7" s="1201" t="s">
        <v>566</v>
      </c>
      <c r="B7" s="1202" t="str">
        <f>'预评函-1'!A7</f>
        <v>估价对象为北京市朝阳区东四环北路2号房地产，为北京新资物业管理有限公司所有。根据《国有土地使用证》[]，估价对象（分摊）出让国有建设用地使用权面积为0平方米，建筑面积为48720.73平方米。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东四环北路2号房地产,属北京新资物业管理有限公司开发建设的，该项目尚在开发建设中。根据《国有土地使用证》[]，估价对象（分摊）出让国有建设用地使用权面积为0平方米，规划建筑面积为48720.73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朝阳区东四环北路2号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2023年12月27日</v>
      </c>
    </row>
    <row r="13" spans="1:2" s="1203" customFormat="1">
      <c r="A13" s="1201" t="s">
        <v>529</v>
      </c>
      <c r="B13" s="1202" t="str">
        <f>'预评函-1'!A18</f>
        <v>本次估价的“房地产价值”是指在正常市场情况下，在价值时点2023年12月27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f ca="1">'预评函-2'!D5</f>
        <v>196852</v>
      </c>
    </row>
    <row r="21" spans="1:2" s="1203" customFormat="1">
      <c r="A21" s="1201" t="s">
        <v>537</v>
      </c>
      <c r="B21" s="1202">
        <f ca="1">'预评函-2'!D7</f>
        <v>40404</v>
      </c>
    </row>
    <row r="22" spans="1:2" s="1203" customFormat="1">
      <c r="A22" s="1201" t="s">
        <v>538</v>
      </c>
      <c r="B22" s="1202" t="str">
        <f ca="1">'预评函-2'!D6</f>
        <v>壹拾玖亿陆仟捌佰伍拾贰万元整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196852</v>
      </c>
    </row>
    <row r="31" spans="1:2" s="1203" customFormat="1">
      <c r="A31" s="1201" t="s">
        <v>576</v>
      </c>
      <c r="B31" s="1202">
        <f ca="1">'预评函-2'!D15</f>
        <v>40404</v>
      </c>
    </row>
    <row r="32" spans="1:2" s="1203" customFormat="1">
      <c r="A32" s="1201" t="s">
        <v>543</v>
      </c>
      <c r="B32" s="1202" t="str">
        <f ca="1">'预评函-2'!D14</f>
        <v>壹拾玖亿陆仟捌佰伍拾贰万元整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188390</v>
      </c>
    </row>
    <row r="39" spans="1:2" s="1203" customFormat="1">
      <c r="A39" s="1201" t="s">
        <v>545</v>
      </c>
      <c r="B39" s="1202">
        <f ca="1">'预评函-2'!D21</f>
        <v>38667</v>
      </c>
    </row>
    <row r="40" spans="1:2" s="1203" customFormat="1">
      <c r="A40" s="1201" t="s">
        <v>546</v>
      </c>
      <c r="B40" s="1202" t="str">
        <f ca="1">'预评函-2'!D20</f>
        <v>壹拾捌亿捌仟叁佰玖拾万元整</v>
      </c>
    </row>
    <row r="41" spans="1:2" s="1203" customFormat="1">
      <c r="A41" s="1201" t="s">
        <v>592</v>
      </c>
      <c r="B41" s="1202" t="str">
        <f>'预评函-3'!A4</f>
        <v>北京市朝阳区东四环北路2号房地产</v>
      </c>
    </row>
    <row r="42" spans="1:2" s="1203" customFormat="1">
      <c r="A42" s="1201" t="s">
        <v>590</v>
      </c>
      <c r="B42" s="1202" t="str">
        <f>'预评函-3'!B2</f>
        <v>建筑面积</v>
      </c>
    </row>
    <row r="43" spans="1:2" s="1203" customFormat="1">
      <c r="A43" s="1201" t="s">
        <v>591</v>
      </c>
      <c r="B43" s="1202">
        <f>'预评函-3'!B4</f>
        <v>48720.729999999974</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吴薇</v>
      </c>
    </row>
    <row r="71" spans="1:2">
      <c r="A71" s="1201" t="s">
        <v>563</v>
      </c>
      <c r="B71" s="1202">
        <f ca="1">'预评函-4'!B4</f>
        <v>1419970001</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7" sqref="G27"/>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3335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3321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3322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3323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3324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3325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3326</v>
      </c>
    </row>
    <row r="8" spans="1:23">
      <c r="A8" s="1546" t="s">
        <v>1026</v>
      </c>
      <c r="B8" s="1546" t="s">
        <v>1027</v>
      </c>
      <c r="C8" s="1547" t="s">
        <v>319</v>
      </c>
      <c r="F8" s="1548" t="s">
        <v>1028</v>
      </c>
      <c r="H8" s="1548" t="s">
        <v>2561</v>
      </c>
      <c r="I8" s="1548" t="s">
        <v>3327</v>
      </c>
    </row>
    <row r="9" spans="1:23">
      <c r="A9" s="1546" t="s">
        <v>1029</v>
      </c>
      <c r="B9" s="1546" t="s">
        <v>1030</v>
      </c>
      <c r="C9" s="1547" t="s">
        <v>320</v>
      </c>
      <c r="F9" s="1548" t="s">
        <v>1031</v>
      </c>
      <c r="H9" s="1548"/>
      <c r="I9" s="1551" t="s">
        <v>3328</v>
      </c>
    </row>
    <row r="10" spans="1:23">
      <c r="A10" s="1546" t="s">
        <v>1032</v>
      </c>
      <c r="B10" s="1546" t="s">
        <v>1033</v>
      </c>
      <c r="C10" s="1547" t="s">
        <v>321</v>
      </c>
      <c r="F10" s="1548" t="s">
        <v>2562</v>
      </c>
      <c r="I10" s="1551" t="s">
        <v>3329</v>
      </c>
    </row>
    <row r="11" spans="1:23">
      <c r="A11" s="1546" t="s">
        <v>1034</v>
      </c>
      <c r="B11" s="1546" t="s">
        <v>1035</v>
      </c>
      <c r="C11" s="1547" t="s">
        <v>322</v>
      </c>
      <c r="F11" s="1548" t="s">
        <v>13</v>
      </c>
      <c r="I11" s="1551" t="s">
        <v>3330</v>
      </c>
    </row>
    <row r="12" spans="1:23">
      <c r="A12" s="1546" t="s">
        <v>1036</v>
      </c>
      <c r="B12" s="1546" t="s">
        <v>1037</v>
      </c>
      <c r="C12" s="1547" t="s">
        <v>323</v>
      </c>
      <c r="I12" s="1551" t="s">
        <v>3331</v>
      </c>
    </row>
    <row r="13" spans="1:23">
      <c r="A13" s="1546" t="s">
        <v>1038</v>
      </c>
      <c r="B13" s="1546" t="s">
        <v>1039</v>
      </c>
      <c r="C13" s="1547" t="s">
        <v>324</v>
      </c>
      <c r="I13" s="1551" t="s">
        <v>3332</v>
      </c>
    </row>
    <row r="14" spans="1:23">
      <c r="A14" s="1546" t="s">
        <v>1040</v>
      </c>
      <c r="B14" s="1546" t="s">
        <v>1041</v>
      </c>
      <c r="C14" s="1548" t="s">
        <v>13</v>
      </c>
      <c r="I14" s="1551" t="s">
        <v>3333</v>
      </c>
    </row>
    <row r="15" spans="1:23">
      <c r="A15" s="1546" t="s">
        <v>1042</v>
      </c>
      <c r="B15" s="1546" t="s">
        <v>1043</v>
      </c>
      <c r="C15" s="1547"/>
      <c r="I15" s="1551" t="s">
        <v>3334</v>
      </c>
    </row>
    <row r="16" spans="1:23">
      <c r="A16" s="1546" t="s">
        <v>1044</v>
      </c>
      <c r="B16" s="1546" t="s">
        <v>312</v>
      </c>
      <c r="C16" s="1547"/>
    </row>
    <row r="17" spans="1:3">
      <c r="A17" s="1546" t="s">
        <v>1045</v>
      </c>
      <c r="B17" s="1546" t="s">
        <v>2273</v>
      </c>
      <c r="C17" s="1547"/>
    </row>
    <row r="18" spans="1:3">
      <c r="A18" s="1546" t="s">
        <v>1046</v>
      </c>
      <c r="B18" s="1546" t="s">
        <v>2417</v>
      </c>
      <c r="C18" s="1547"/>
    </row>
    <row r="19" spans="1:3">
      <c r="A19" s="1546" t="s">
        <v>1047</v>
      </c>
      <c r="B19" s="1546" t="s">
        <v>3419</v>
      </c>
      <c r="C19" s="1547"/>
    </row>
    <row r="20" spans="1:3">
      <c r="A20" s="1546" t="s">
        <v>1048</v>
      </c>
      <c r="B20" s="1546" t="s">
        <v>3421</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东四环北路2号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73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733"/>
      <c r="B54" s="1554" t="s">
        <v>385</v>
      </c>
      <c r="C54" s="1551" t="s">
        <v>583</v>
      </c>
    </row>
    <row r="55" spans="1:4">
      <c r="A55" s="3733"/>
      <c r="B55" s="1554" t="s">
        <v>386</v>
      </c>
      <c r="C55" s="1551" t="s">
        <v>584</v>
      </c>
    </row>
    <row r="56" spans="1:4">
      <c r="A56" s="3733"/>
      <c r="B56" s="1554" t="s">
        <v>387</v>
      </c>
      <c r="C56" s="1551" t="s">
        <v>588</v>
      </c>
    </row>
    <row r="57" spans="1:4">
      <c r="A57" s="373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993"/>
    <col min="8" max="8" width="5.5" style="2993" customWidth="1"/>
    <col min="9" max="13" width="9.5" style="3035" customWidth="1"/>
    <col min="14" max="18" width="9.5" style="2993" customWidth="1"/>
    <col min="19" max="16384" width="15.25" style="2993"/>
  </cols>
  <sheetData>
    <row r="1" spans="1:18">
      <c r="A1" s="2990" t="s">
        <v>2484</v>
      </c>
      <c r="B1" s="2991"/>
      <c r="C1" s="2991"/>
      <c r="D1" s="2991"/>
      <c r="E1" s="2991"/>
      <c r="F1" s="2992"/>
      <c r="I1" s="3414" t="s">
        <v>2577</v>
      </c>
      <c r="J1" s="3203"/>
      <c r="K1" s="3203"/>
      <c r="L1" s="3203"/>
      <c r="M1" s="3203"/>
      <c r="N1" s="3415"/>
      <c r="O1" s="3415"/>
      <c r="P1" s="3415"/>
      <c r="Q1" s="3415"/>
      <c r="R1" s="3415"/>
    </row>
    <row r="2" spans="1:18">
      <c r="A2" s="2994"/>
      <c r="B2" s="2995"/>
      <c r="C2" s="2995"/>
      <c r="D2" s="2995"/>
      <c r="E2" s="2995"/>
      <c r="F2" s="2996"/>
      <c r="I2" s="3734" t="s">
        <v>2564</v>
      </c>
      <c r="J2" s="3734"/>
      <c r="K2" s="3734"/>
      <c r="L2" s="3734"/>
      <c r="M2" s="3734"/>
      <c r="N2" s="3734"/>
      <c r="O2" s="3734"/>
      <c r="P2" s="3734"/>
      <c r="Q2" s="3734"/>
      <c r="R2" s="3734"/>
    </row>
    <row r="3" spans="1:18">
      <c r="A3" s="2997" t="s">
        <v>2485</v>
      </c>
      <c r="B3" s="2998">
        <f>项目基本情况!D3</f>
        <v>45287</v>
      </c>
      <c r="C3" s="3000"/>
      <c r="D3" s="3000"/>
      <c r="E3" s="3000"/>
      <c r="F3" s="2996"/>
      <c r="I3" s="3416"/>
      <c r="J3" s="3416" t="s">
        <v>2568</v>
      </c>
      <c r="K3" s="3416" t="s">
        <v>2569</v>
      </c>
      <c r="L3" s="3416" t="s">
        <v>2570</v>
      </c>
      <c r="M3" s="3416" t="s">
        <v>2571</v>
      </c>
      <c r="N3" s="3417" t="s">
        <v>2572</v>
      </c>
      <c r="O3" s="3417" t="s">
        <v>2573</v>
      </c>
      <c r="P3" s="3417" t="s">
        <v>2574</v>
      </c>
      <c r="Q3" s="3417" t="s">
        <v>2575</v>
      </c>
      <c r="R3" s="3417" t="s">
        <v>2576</v>
      </c>
    </row>
    <row r="4" spans="1:18">
      <c r="A4" s="2997" t="s">
        <v>2486</v>
      </c>
      <c r="B4" s="3000" t="s">
        <v>2487</v>
      </c>
      <c r="C4" s="3000" t="s">
        <v>2488</v>
      </c>
      <c r="D4" s="3000" t="s">
        <v>2489</v>
      </c>
      <c r="E4" s="3000" t="s">
        <v>2490</v>
      </c>
      <c r="F4" s="2996"/>
      <c r="I4" s="3416" t="s">
        <v>2565</v>
      </c>
      <c r="J4" s="3416">
        <v>80</v>
      </c>
      <c r="K4" s="3416">
        <v>70</v>
      </c>
      <c r="L4" s="3416">
        <v>20</v>
      </c>
      <c r="M4" s="3416">
        <v>30</v>
      </c>
      <c r="N4" s="3000">
        <v>45</v>
      </c>
      <c r="O4" s="3000">
        <v>60</v>
      </c>
      <c r="P4" s="3000">
        <v>50</v>
      </c>
      <c r="Q4" s="3000">
        <v>20</v>
      </c>
      <c r="R4" s="3000">
        <v>375</v>
      </c>
    </row>
    <row r="5" spans="1:18">
      <c r="A5" s="3001">
        <v>40</v>
      </c>
      <c r="B5" s="2998">
        <v>46375</v>
      </c>
      <c r="C5" s="3000">
        <f>ROUNDDOWN(MIN((B5-B3)/365,A5),2)</f>
        <v>2.98</v>
      </c>
      <c r="D5" s="3002">
        <f>IF(ISERROR(ROUND(POWER(1+E5,A5-C5)*(POWER(1+E5,C5)-1)/(POWER(1+E5,A5)-1),3)),0,ROUND(POWER(1+E5,A5-C5)*(POWER(1+E5,C5)-1)/(POWER(1+E5,A5)-1),4))</f>
        <v>0.13930000000000001</v>
      </c>
      <c r="E5" s="3003">
        <v>0.04</v>
      </c>
      <c r="F5" s="2996"/>
      <c r="I5" s="3416" t="s">
        <v>2566</v>
      </c>
      <c r="J5" s="3416">
        <v>70</v>
      </c>
      <c r="K5" s="3416">
        <v>60</v>
      </c>
      <c r="L5" s="3416">
        <v>15</v>
      </c>
      <c r="M5" s="3416">
        <v>25</v>
      </c>
      <c r="N5" s="3000">
        <v>40</v>
      </c>
      <c r="O5" s="3000">
        <v>50</v>
      </c>
      <c r="P5" s="3000">
        <v>40</v>
      </c>
      <c r="Q5" s="3000">
        <v>15</v>
      </c>
      <c r="R5" s="3000">
        <v>315</v>
      </c>
    </row>
    <row r="6" spans="1:18">
      <c r="A6" s="3001">
        <v>50</v>
      </c>
      <c r="B6" s="2998">
        <v>50028</v>
      </c>
      <c r="C6" s="3000">
        <f>ROUNDDOWN(MIN((B6-B3)/365,A6),2)</f>
        <v>12.98</v>
      </c>
      <c r="D6" s="3002">
        <f>IF(ISERROR(ROUND(POWER(1+E6,A6-C6)*(POWER(1+E6,C6)-1)/(POWER(1+E6,A6)-1),3)),0,ROUND(POWER(1+E6,A6-C6)*(POWER(1+E6,C6)-1)/(POWER(1+E6,A6)-1),4))</f>
        <v>0.46429999999999999</v>
      </c>
      <c r="E6" s="3003">
        <v>0.04</v>
      </c>
      <c r="F6" s="2996"/>
      <c r="I6" s="3416" t="s">
        <v>2567</v>
      </c>
      <c r="J6" s="3416">
        <v>60</v>
      </c>
      <c r="K6" s="3416">
        <v>50</v>
      </c>
      <c r="L6" s="3416">
        <v>10</v>
      </c>
      <c r="M6" s="3416">
        <v>20</v>
      </c>
      <c r="N6" s="3000">
        <v>35</v>
      </c>
      <c r="O6" s="3000">
        <v>40</v>
      </c>
      <c r="P6" s="3000">
        <v>30</v>
      </c>
      <c r="Q6" s="3000">
        <v>10</v>
      </c>
      <c r="R6" s="3000">
        <v>255</v>
      </c>
    </row>
    <row r="7" spans="1:18">
      <c r="A7" s="3001">
        <v>70</v>
      </c>
      <c r="B7" s="2998">
        <v>57333</v>
      </c>
      <c r="C7" s="3000">
        <f>ROUNDDOWN(MIN((B7-B3)/365,A7),2)</f>
        <v>33</v>
      </c>
      <c r="D7" s="3002">
        <f>IF(ISERROR(ROUND(POWER(1+E7,A7-C7)*(POWER(1+E7,C7)-1)/(POWER(1+E7,A7)-1),3)),0,ROUND(POWER(1+E7,A7-C7)*(POWER(1+E7,C7)-1)/(POWER(1+E7,A7)-1),4))</f>
        <v>0.77569999999999995</v>
      </c>
      <c r="E7" s="3003">
        <v>0.04</v>
      </c>
      <c r="F7" s="2996"/>
    </row>
    <row r="8" spans="1:18">
      <c r="A8" s="2994"/>
      <c r="B8" s="2995"/>
      <c r="C8" s="2995"/>
      <c r="D8" s="2995"/>
      <c r="E8" s="2995"/>
      <c r="F8" s="2996"/>
    </row>
    <row r="9" spans="1:18">
      <c r="A9" s="2997" t="s">
        <v>2491</v>
      </c>
      <c r="B9" s="3000"/>
      <c r="C9" s="3000"/>
      <c r="D9" s="3000"/>
      <c r="E9" s="3000"/>
      <c r="F9" s="3004"/>
    </row>
    <row r="10" spans="1:18">
      <c r="A10" s="2997" t="s">
        <v>2492</v>
      </c>
      <c r="B10" s="3000"/>
      <c r="C10" s="3000"/>
      <c r="D10" s="3000" t="s">
        <v>2490</v>
      </c>
      <c r="E10" s="3000"/>
      <c r="F10" s="3004" t="s">
        <v>2489</v>
      </c>
    </row>
    <row r="11" spans="1:18">
      <c r="A11" s="2997" t="s">
        <v>2493</v>
      </c>
      <c r="B11" s="3005">
        <v>70</v>
      </c>
      <c r="C11" s="3000" t="s">
        <v>2494</v>
      </c>
      <c r="D11" s="3006">
        <v>4.4999999999999998E-2</v>
      </c>
      <c r="E11" s="3000" t="s">
        <v>2495</v>
      </c>
      <c r="F11" s="3007">
        <f>ROUND(1-(1/(POWER(1+D11,B11))),4)</f>
        <v>0.95409999999999995</v>
      </c>
    </row>
    <row r="12" spans="1:18">
      <c r="A12" s="2997" t="s">
        <v>2496</v>
      </c>
      <c r="B12" s="3005">
        <v>40</v>
      </c>
      <c r="C12" s="3000" t="s">
        <v>2497</v>
      </c>
      <c r="D12" s="3006">
        <v>4.4999999999999998E-2</v>
      </c>
      <c r="E12" s="3000" t="s">
        <v>2498</v>
      </c>
      <c r="F12" s="3007">
        <f>ROUND(1-(1/(POWER(1+D12,B12))),4)</f>
        <v>0.82809999999999995</v>
      </c>
    </row>
    <row r="13" spans="1:18">
      <c r="A13" s="2997" t="s">
        <v>2499</v>
      </c>
      <c r="B13" s="3000"/>
      <c r="C13" s="3000"/>
      <c r="D13" s="2995"/>
      <c r="E13" s="2995"/>
      <c r="F13" s="2996"/>
    </row>
    <row r="14" spans="1:18">
      <c r="A14" s="2997" t="s">
        <v>2500</v>
      </c>
      <c r="B14" s="3005">
        <v>5000</v>
      </c>
      <c r="C14" s="2999"/>
      <c r="D14" s="2995"/>
      <c r="E14" s="2995"/>
      <c r="F14" s="2996"/>
    </row>
    <row r="15" spans="1:18">
      <c r="A15" s="2997" t="s">
        <v>2501</v>
      </c>
      <c r="B15" s="3000">
        <f>ROUND(B14*F12/F11,2)</f>
        <v>4339.6899999999996</v>
      </c>
      <c r="C15" s="3000">
        <f>ROUND(F12/F11,4)</f>
        <v>0.8679</v>
      </c>
      <c r="D15" s="2995"/>
      <c r="E15" s="2995"/>
      <c r="F15" s="2996"/>
    </row>
    <row r="16" spans="1:18">
      <c r="A16" s="2997" t="s">
        <v>2502</v>
      </c>
      <c r="B16" s="3000"/>
      <c r="C16" s="3000"/>
      <c r="D16" s="2995"/>
      <c r="E16" s="2995"/>
      <c r="F16" s="2996"/>
    </row>
    <row r="17" spans="1:13">
      <c r="A17" s="2997" t="s">
        <v>2501</v>
      </c>
      <c r="B17" s="3006">
        <v>4810</v>
      </c>
      <c r="C17" s="2999"/>
      <c r="D17" s="2995"/>
      <c r="E17" s="2995"/>
      <c r="F17" s="2996"/>
    </row>
    <row r="18" spans="1:13" ht="14.25" thickBot="1">
      <c r="A18" s="3008" t="s">
        <v>2500</v>
      </c>
      <c r="B18" s="3009">
        <f>ROUND(B17*F11/F12,2)</f>
        <v>5541.87</v>
      </c>
      <c r="C18" s="3009">
        <f>ROUND(F11/F12,4)</f>
        <v>1.1521999999999999</v>
      </c>
      <c r="D18" s="3010"/>
      <c r="E18" s="3010"/>
      <c r="F18" s="3011"/>
    </row>
    <row r="19" spans="1:13" ht="14.25" thickBot="1"/>
    <row r="20" spans="1:13" s="3046" customFormat="1" ht="14.25" thickTop="1">
      <c r="A20" s="3043" t="s">
        <v>2503</v>
      </c>
      <c r="B20" s="3044"/>
      <c r="C20" s="3044"/>
      <c r="D20" s="3044"/>
      <c r="E20" s="3044"/>
      <c r="F20" s="3044"/>
      <c r="G20" s="3045"/>
      <c r="I20" s="3047" t="s">
        <v>2548</v>
      </c>
      <c r="J20" s="3047" t="s">
        <v>2553</v>
      </c>
      <c r="K20" s="3047"/>
      <c r="L20" s="3047"/>
      <c r="M20" s="3047"/>
    </row>
    <row r="21" spans="1:13">
      <c r="A21" s="3012"/>
      <c r="B21" s="3013" t="s">
        <v>2504</v>
      </c>
      <c r="C21" s="3013" t="s">
        <v>2505</v>
      </c>
      <c r="D21" s="3013" t="s">
        <v>2506</v>
      </c>
      <c r="E21" s="3013" t="s">
        <v>2507</v>
      </c>
      <c r="F21" s="3013" t="s">
        <v>2508</v>
      </c>
      <c r="G21" s="3014" t="s">
        <v>2509</v>
      </c>
      <c r="I21" s="3035">
        <v>5</v>
      </c>
      <c r="J21" s="3035">
        <v>54.2</v>
      </c>
    </row>
    <row r="22" spans="1:13">
      <c r="A22" s="3012" t="s">
        <v>2510</v>
      </c>
      <c r="B22" s="3015">
        <v>70</v>
      </c>
      <c r="C22" s="3015">
        <v>30</v>
      </c>
      <c r="D22" s="3016">
        <v>0.04</v>
      </c>
      <c r="E22" s="3013">
        <f>ROUND(POWER(1+D22,B22-C22)*(POWER(1+D22,C22)-1)/(POWER(1+D22,B22)-1),3)</f>
        <v>0.73899999999999999</v>
      </c>
      <c r="F22" s="3016">
        <v>0.7</v>
      </c>
      <c r="G22" s="3014">
        <f>ROUND(100*(1-(1-E22)*F22),1)</f>
        <v>81.7</v>
      </c>
      <c r="I22" s="3035">
        <v>10</v>
      </c>
      <c r="J22" s="3035">
        <v>65.400000000000006</v>
      </c>
      <c r="K22" s="3035">
        <f>J22-J21</f>
        <v>11.200000000000003</v>
      </c>
    </row>
    <row r="23" spans="1:13">
      <c r="A23" s="3012" t="s">
        <v>2511</v>
      </c>
      <c r="B23" s="3015">
        <v>70</v>
      </c>
      <c r="C23" s="3015">
        <v>40</v>
      </c>
      <c r="D23" s="3016">
        <v>0.04</v>
      </c>
      <c r="E23" s="3013">
        <f t="shared" ref="E23:E25" si="0">ROUND(POWER(1+D23,B23-C23)*(POWER(1+D23,C23)-1)/(POWER(1+D23,B23)-1),3)</f>
        <v>0.84599999999999997</v>
      </c>
      <c r="F23" s="3016">
        <f>F22</f>
        <v>0.7</v>
      </c>
      <c r="G23" s="3014">
        <f t="shared" ref="G23:G25" si="1">ROUND(100*(1-(1-E23)*F23),1)</f>
        <v>89.2</v>
      </c>
      <c r="I23" s="3035">
        <v>15</v>
      </c>
      <c r="J23" s="3035">
        <v>74.099999999999994</v>
      </c>
      <c r="K23" s="3035">
        <f t="shared" ref="K23:K30" si="2">J23-J22</f>
        <v>8.6999999999999886</v>
      </c>
      <c r="L23" s="3035" t="s">
        <v>2551</v>
      </c>
      <c r="M23" s="3035" t="s">
        <v>2552</v>
      </c>
    </row>
    <row r="24" spans="1:13">
      <c r="A24" s="3012" t="s">
        <v>2512</v>
      </c>
      <c r="B24" s="3015">
        <v>70</v>
      </c>
      <c r="C24" s="3015">
        <v>50</v>
      </c>
      <c r="D24" s="3016">
        <v>0.04</v>
      </c>
      <c r="E24" s="3013">
        <f t="shared" si="0"/>
        <v>0.91800000000000004</v>
      </c>
      <c r="F24" s="3016">
        <f>F23</f>
        <v>0.7</v>
      </c>
      <c r="G24" s="3014">
        <f t="shared" si="1"/>
        <v>94.3</v>
      </c>
      <c r="I24" s="3035">
        <v>20</v>
      </c>
      <c r="J24" s="3035">
        <v>81</v>
      </c>
      <c r="K24" s="3035">
        <f t="shared" si="2"/>
        <v>6.9000000000000057</v>
      </c>
      <c r="L24" s="3035" t="s">
        <v>2550</v>
      </c>
      <c r="M24" s="3035">
        <v>10</v>
      </c>
    </row>
    <row r="25" spans="1:13">
      <c r="A25" s="3012" t="s">
        <v>2513</v>
      </c>
      <c r="B25" s="3015">
        <v>70</v>
      </c>
      <c r="C25" s="3015">
        <v>60</v>
      </c>
      <c r="D25" s="3016">
        <v>0.04</v>
      </c>
      <c r="E25" s="3013">
        <f t="shared" si="0"/>
        <v>0.96699999999999997</v>
      </c>
      <c r="F25" s="3016">
        <f>F24</f>
        <v>0.7</v>
      </c>
      <c r="G25" s="3014">
        <f t="shared" si="1"/>
        <v>97.7</v>
      </c>
      <c r="I25" s="3035">
        <v>25</v>
      </c>
      <c r="J25" s="3035">
        <v>86.3</v>
      </c>
      <c r="K25" s="3035">
        <f t="shared" si="2"/>
        <v>5.2999999999999972</v>
      </c>
      <c r="L25" s="3035" t="s">
        <v>2554</v>
      </c>
      <c r="M25" s="3035">
        <v>8</v>
      </c>
    </row>
    <row r="26" spans="1:13">
      <c r="A26" s="3017"/>
      <c r="B26" s="3018"/>
      <c r="C26" s="3018"/>
      <c r="D26" s="3018"/>
      <c r="E26" s="3018"/>
      <c r="F26" s="3018"/>
      <c r="G26" s="3019"/>
      <c r="I26" s="3035">
        <v>30</v>
      </c>
      <c r="J26" s="3035">
        <v>90.5</v>
      </c>
      <c r="K26" s="3035">
        <f t="shared" si="2"/>
        <v>4.2000000000000028</v>
      </c>
      <c r="L26" s="3035" t="s">
        <v>2555</v>
      </c>
      <c r="M26" s="3035">
        <v>5</v>
      </c>
    </row>
    <row r="27" spans="1:13">
      <c r="A27" s="3017" t="s">
        <v>2514</v>
      </c>
      <c r="B27" s="3018"/>
      <c r="C27" s="3018"/>
      <c r="D27" s="3018"/>
      <c r="E27" s="3018"/>
      <c r="F27" s="3018"/>
      <c r="G27" s="3019"/>
      <c r="I27" s="3035">
        <v>35</v>
      </c>
      <c r="J27" s="3035">
        <v>93.8</v>
      </c>
      <c r="K27" s="3035">
        <f t="shared" si="2"/>
        <v>3.2999999999999972</v>
      </c>
      <c r="L27" s="3035" t="s">
        <v>2556</v>
      </c>
      <c r="M27" s="3035">
        <v>3</v>
      </c>
    </row>
    <row r="28" spans="1:13">
      <c r="A28" s="3017" t="s">
        <v>2515</v>
      </c>
      <c r="B28" s="3018"/>
      <c r="C28" s="3018"/>
      <c r="D28" s="3018"/>
      <c r="E28" s="3018"/>
      <c r="F28" s="3018"/>
      <c r="G28" s="3019"/>
      <c r="I28" s="3035">
        <v>40</v>
      </c>
      <c r="J28" s="3035">
        <v>96.4</v>
      </c>
      <c r="K28" s="3035">
        <f t="shared" si="2"/>
        <v>2.6000000000000085</v>
      </c>
      <c r="L28" s="3035" t="s">
        <v>2557</v>
      </c>
      <c r="M28" s="3035">
        <v>2</v>
      </c>
    </row>
    <row r="29" spans="1:13">
      <c r="A29" s="3017" t="s">
        <v>2516</v>
      </c>
      <c r="B29" s="3018"/>
      <c r="C29" s="3018"/>
      <c r="D29" s="3018"/>
      <c r="E29" s="3018"/>
      <c r="F29" s="3018"/>
      <c r="G29" s="3019"/>
      <c r="I29" s="3035">
        <v>45</v>
      </c>
      <c r="J29" s="3035">
        <v>98.4</v>
      </c>
      <c r="K29" s="3035">
        <f t="shared" si="2"/>
        <v>2</v>
      </c>
    </row>
    <row r="30" spans="1:13">
      <c r="A30" s="3017" t="s">
        <v>2517</v>
      </c>
      <c r="B30" s="3018"/>
      <c r="C30" s="3018"/>
      <c r="D30" s="3018"/>
      <c r="E30" s="3018"/>
      <c r="F30" s="3018"/>
      <c r="G30" s="3019"/>
      <c r="I30" s="3035">
        <v>50</v>
      </c>
      <c r="J30" s="3035">
        <v>100</v>
      </c>
      <c r="K30" s="3035">
        <f t="shared" si="2"/>
        <v>1.5999999999999943</v>
      </c>
    </row>
    <row r="31" spans="1:13">
      <c r="A31" s="3017" t="s">
        <v>2518</v>
      </c>
      <c r="B31" s="3018"/>
      <c r="C31" s="3018"/>
      <c r="D31" s="3018"/>
      <c r="E31" s="3018"/>
      <c r="F31" s="3018"/>
      <c r="G31" s="3019"/>
      <c r="I31" s="3035" t="s">
        <v>2549</v>
      </c>
    </row>
    <row r="32" spans="1:13">
      <c r="A32" s="3017" t="s">
        <v>2519</v>
      </c>
      <c r="B32" s="3018"/>
      <c r="C32" s="3018"/>
      <c r="D32" s="3018"/>
      <c r="E32" s="3018"/>
      <c r="F32" s="3018"/>
      <c r="G32" s="3019"/>
    </row>
    <row r="33" spans="1:13">
      <c r="A33" s="3017" t="s">
        <v>2520</v>
      </c>
      <c r="B33" s="3018"/>
      <c r="C33" s="3018"/>
      <c r="D33" s="3018"/>
      <c r="E33" s="3018"/>
      <c r="F33" s="3018"/>
      <c r="G33" s="3019"/>
      <c r="I33" s="3035" t="s">
        <v>2548</v>
      </c>
      <c r="J33" s="3035" t="s">
        <v>2558</v>
      </c>
    </row>
    <row r="34" spans="1:13">
      <c r="A34" s="3017" t="s">
        <v>2521</v>
      </c>
      <c r="B34" s="3018"/>
      <c r="C34" s="3018"/>
      <c r="D34" s="3018"/>
      <c r="E34" s="3018"/>
      <c r="F34" s="3018"/>
      <c r="G34" s="3019"/>
      <c r="I34" s="3035">
        <v>5</v>
      </c>
      <c r="J34" s="3035">
        <v>55.1</v>
      </c>
    </row>
    <row r="35" spans="1:13">
      <c r="A35" s="3017" t="s">
        <v>2522</v>
      </c>
      <c r="B35" s="3018"/>
      <c r="C35" s="3018"/>
      <c r="D35" s="3018"/>
      <c r="E35" s="3018"/>
      <c r="F35" s="3018"/>
      <c r="G35" s="3019"/>
      <c r="I35" s="3035">
        <v>10</v>
      </c>
      <c r="J35" s="3035">
        <v>67</v>
      </c>
      <c r="K35" s="3035">
        <f>J35-J34</f>
        <v>11.899999999999999</v>
      </c>
    </row>
    <row r="36" spans="1:13">
      <c r="A36" s="3017" t="s">
        <v>2523</v>
      </c>
      <c r="B36" s="3018"/>
      <c r="C36" s="3018"/>
      <c r="D36" s="3018"/>
      <c r="E36" s="3018"/>
      <c r="F36" s="3018"/>
      <c r="G36" s="3019"/>
      <c r="I36" s="3035">
        <v>15</v>
      </c>
      <c r="J36" s="3035">
        <v>76.3</v>
      </c>
      <c r="K36" s="3035">
        <f t="shared" ref="K36:K41" si="3">J36-J35</f>
        <v>9.2999999999999972</v>
      </c>
      <c r="L36" s="3035" t="s">
        <v>2551</v>
      </c>
      <c r="M36" s="3035" t="s">
        <v>2552</v>
      </c>
    </row>
    <row r="37" spans="1:13">
      <c r="A37" s="3017" t="s">
        <v>2524</v>
      </c>
      <c r="B37" s="3018"/>
      <c r="C37" s="3018"/>
      <c r="D37" s="3018"/>
      <c r="E37" s="3018"/>
      <c r="F37" s="3018"/>
      <c r="G37" s="3019"/>
      <c r="I37" s="3035">
        <v>20</v>
      </c>
      <c r="J37" s="3035">
        <v>83.6</v>
      </c>
      <c r="K37" s="3035">
        <f t="shared" si="3"/>
        <v>7.2999999999999972</v>
      </c>
      <c r="L37" s="3035" t="s">
        <v>2550</v>
      </c>
      <c r="M37" s="3035">
        <v>10</v>
      </c>
    </row>
    <row r="38" spans="1:13">
      <c r="A38" s="3017" t="s">
        <v>2525</v>
      </c>
      <c r="B38" s="3018"/>
      <c r="C38" s="3018"/>
      <c r="D38" s="3018"/>
      <c r="E38" s="3018"/>
      <c r="F38" s="3018"/>
      <c r="G38" s="3019"/>
      <c r="I38" s="3035">
        <v>25</v>
      </c>
      <c r="J38" s="3035">
        <v>89.3</v>
      </c>
      <c r="K38" s="3035">
        <f t="shared" si="3"/>
        <v>5.7000000000000028</v>
      </c>
      <c r="L38" s="3035" t="s">
        <v>2554</v>
      </c>
      <c r="M38" s="3035">
        <v>8</v>
      </c>
    </row>
    <row r="39" spans="1:13">
      <c r="A39" s="3017"/>
      <c r="B39" s="3018"/>
      <c r="C39" s="3018"/>
      <c r="D39" s="3018"/>
      <c r="E39" s="3018"/>
      <c r="F39" s="3018"/>
      <c r="G39" s="3019"/>
      <c r="I39" s="3035">
        <v>30</v>
      </c>
      <c r="J39" s="3035">
        <v>93.8</v>
      </c>
      <c r="K39" s="3035">
        <f t="shared" si="3"/>
        <v>4.5</v>
      </c>
      <c r="L39" s="3035" t="s">
        <v>2555</v>
      </c>
      <c r="M39" s="3035">
        <v>6</v>
      </c>
    </row>
    <row r="40" spans="1:13">
      <c r="A40" s="3020" t="s">
        <v>2526</v>
      </c>
      <c r="B40" s="3021"/>
      <c r="C40" s="3021"/>
      <c r="D40" s="3021"/>
      <c r="E40" s="3021"/>
      <c r="F40" s="3021"/>
      <c r="G40" s="3022"/>
      <c r="I40" s="3035">
        <v>35</v>
      </c>
      <c r="J40" s="3035">
        <v>97.2</v>
      </c>
      <c r="K40" s="3035">
        <f t="shared" si="3"/>
        <v>3.4000000000000057</v>
      </c>
      <c r="L40" s="3035" t="s">
        <v>2556</v>
      </c>
      <c r="M40" s="3035">
        <v>3</v>
      </c>
    </row>
    <row r="41" spans="1:13">
      <c r="A41" s="3023" t="s">
        <v>2527</v>
      </c>
      <c r="B41" s="3024" t="s">
        <v>2528</v>
      </c>
      <c r="C41" s="3025" t="s">
        <v>2529</v>
      </c>
      <c r="D41" s="3025" t="s">
        <v>2530</v>
      </c>
      <c r="E41" s="3026"/>
      <c r="F41" s="3027"/>
      <c r="G41" s="3028"/>
      <c r="I41" s="3035">
        <v>40</v>
      </c>
      <c r="J41" s="3035">
        <v>100</v>
      </c>
      <c r="K41" s="3035">
        <f t="shared" si="3"/>
        <v>2.7999999999999972</v>
      </c>
    </row>
    <row r="42" spans="1:13">
      <c r="A42" s="3023" t="s">
        <v>2531</v>
      </c>
      <c r="B42" s="3024" t="s">
        <v>2532</v>
      </c>
      <c r="C42" s="3025" t="s">
        <v>2533</v>
      </c>
      <c r="D42" s="3029" t="s">
        <v>2534</v>
      </c>
      <c r="E42" s="3021" t="s">
        <v>2535</v>
      </c>
      <c r="F42" s="3021"/>
      <c r="G42" s="3022"/>
    </row>
    <row r="43" spans="1:13">
      <c r="A43" s="3023" t="s">
        <v>2536</v>
      </c>
      <c r="B43" s="3024" t="s">
        <v>2537</v>
      </c>
      <c r="C43" s="3025" t="s">
        <v>2538</v>
      </c>
      <c r="D43" s="3025" t="s">
        <v>2539</v>
      </c>
      <c r="E43" s="3026" t="s">
        <v>2540</v>
      </c>
      <c r="F43" s="3027"/>
      <c r="G43" s="3028"/>
      <c r="I43" s="3035" t="s">
        <v>2548</v>
      </c>
      <c r="J43" s="3035" t="s">
        <v>2559</v>
      </c>
    </row>
    <row r="44" spans="1:13">
      <c r="A44" s="3023" t="s">
        <v>2541</v>
      </c>
      <c r="B44" s="3024" t="s">
        <v>2542</v>
      </c>
      <c r="C44" s="3025" t="s">
        <v>2543</v>
      </c>
      <c r="D44" s="3029">
        <v>0.5</v>
      </c>
      <c r="E44" s="3026" t="s">
        <v>2544</v>
      </c>
      <c r="F44" s="3027"/>
      <c r="G44" s="3028"/>
      <c r="I44" s="3035">
        <v>30</v>
      </c>
      <c r="J44" s="3035">
        <v>81.7</v>
      </c>
    </row>
    <row r="45" spans="1:13" ht="14.25" thickBot="1">
      <c r="A45" s="3030" t="s">
        <v>2545</v>
      </c>
      <c r="B45" s="3031" t="s">
        <v>2532</v>
      </c>
      <c r="C45" s="3032" t="s">
        <v>2532</v>
      </c>
      <c r="D45" s="3032" t="s">
        <v>2546</v>
      </c>
      <c r="E45" s="3033" t="s">
        <v>2547</v>
      </c>
      <c r="F45" s="3033"/>
      <c r="G45" s="3034"/>
      <c r="I45" s="3035">
        <v>40</v>
      </c>
      <c r="J45" s="3035">
        <v>89.2</v>
      </c>
      <c r="K45" s="3035">
        <f>J45-J44</f>
        <v>7.5</v>
      </c>
    </row>
    <row r="46" spans="1:13">
      <c r="I46" s="3035">
        <v>50</v>
      </c>
      <c r="J46" s="3035">
        <v>94.3</v>
      </c>
      <c r="K46" s="3035">
        <f t="shared" ref="K46:K47" si="4">J46-J45</f>
        <v>5.0999999999999943</v>
      </c>
    </row>
    <row r="47" spans="1:13">
      <c r="I47" s="3035">
        <v>60</v>
      </c>
      <c r="J47" s="3035">
        <v>97.7</v>
      </c>
      <c r="K47" s="303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J22" sqref="J22"/>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05" customWidth="1"/>
    <col min="12" max="13" width="10" style="2606"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2152</v>
      </c>
      <c r="B1" s="3743" t="str">
        <f>IF(B10="北京市","北京市",C10)&amp;F10&amp;IF(结果表!G1="在建","出让国有建设用地使用权及在建建筑物",IF(结果表!G1="土地","出让国有建设用地使用权",))&amp;B9&amp;"预评估"</f>
        <v>北京市朝阳区东四环北路2号房地产市场价值预评估</v>
      </c>
      <c r="C1" s="3744"/>
      <c r="D1" s="3744"/>
      <c r="E1" s="3744"/>
      <c r="F1" s="3744"/>
      <c r="G1" s="3744"/>
      <c r="H1" s="3744"/>
      <c r="I1" s="3745"/>
      <c r="J1" s="2468"/>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北京市朝阳区东四环北路2号房地产市场价值</v>
      </c>
      <c r="T1" s="1745"/>
      <c r="U1" s="1745"/>
      <c r="V1" s="1745"/>
      <c r="W1" s="1745"/>
      <c r="X1" s="1745"/>
      <c r="Y1" s="1745"/>
      <c r="Z1" s="1745"/>
      <c r="AA1" s="1745"/>
      <c r="AB1" s="1745"/>
    </row>
    <row r="2" spans="1:30">
      <c r="A2" s="2367" t="s">
        <v>2153</v>
      </c>
      <c r="B2" s="2371"/>
      <c r="C2" s="2372"/>
      <c r="D2" s="2647"/>
      <c r="E2" s="2639"/>
      <c r="F2" s="2639"/>
      <c r="G2" s="2640"/>
      <c r="H2" s="2640"/>
      <c r="I2" s="2640"/>
      <c r="J2" s="2468"/>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北京市朝阳区东四环北路2号房地产</v>
      </c>
      <c r="T2" s="1745"/>
      <c r="U2" s="1745"/>
      <c r="V2" s="1745"/>
      <c r="W2" s="1745"/>
      <c r="X2" s="1745"/>
      <c r="Y2" s="1745"/>
      <c r="Z2" s="1745"/>
      <c r="AA2" s="1745"/>
      <c r="AB2" s="1745"/>
    </row>
    <row r="3" spans="1:30">
      <c r="A3" s="302" t="s">
        <v>2154</v>
      </c>
      <c r="B3" s="2373">
        <v>45274</v>
      </c>
      <c r="C3" s="2374" t="s">
        <v>2155</v>
      </c>
      <c r="D3" s="2373">
        <v>45287</v>
      </c>
      <c r="E3" s="2640"/>
      <c r="F3" s="2640"/>
      <c r="G3" s="2640"/>
      <c r="H3" s="2640"/>
      <c r="I3" s="2640"/>
      <c r="J3" s="2468"/>
      <c r="K3" s="2368"/>
      <c r="L3" s="2369"/>
      <c r="M3" s="2369"/>
      <c r="N3" s="2370"/>
      <c r="O3" s="1576"/>
      <c r="P3" s="2370"/>
      <c r="Q3" s="2370"/>
      <c r="R3" s="2370"/>
      <c r="S3" s="1682"/>
      <c r="T3" s="1745"/>
      <c r="U3" s="1745"/>
      <c r="V3" s="1745"/>
      <c r="W3" s="1745"/>
      <c r="X3" s="1745"/>
      <c r="Y3" s="1745"/>
      <c r="Z3" s="1745"/>
      <c r="AA3" s="1745"/>
      <c r="AB3" s="1745"/>
    </row>
    <row r="4" spans="1:30" ht="13.5" thickBot="1">
      <c r="A4" s="1090" t="s">
        <v>2156</v>
      </c>
      <c r="B4" s="2375" t="s">
        <v>4488</v>
      </c>
      <c r="C4" s="2376">
        <f ca="1">SUMIF(注册房地产估价师,B4,估价师及机构信息!B3:B24)</f>
        <v>1419970001</v>
      </c>
      <c r="D4" s="2375" t="s">
        <v>3364</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8"/>
      <c r="K4" s="2378" t="str">
        <f ca="1">CONCATENATE(B4,"（注册号：",C4,")、",D4,"（注册号：",E4,")")</f>
        <v>吴薇（注册号：1419970001)、郑燚（注册号：1120070131)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2157</v>
      </c>
      <c r="B5" s="2380"/>
      <c r="C5" s="2381"/>
      <c r="D5" s="2382"/>
      <c r="E5" s="2641"/>
      <c r="F5" s="2641"/>
      <c r="G5" s="2641"/>
      <c r="H5" s="2641"/>
      <c r="I5" s="2641"/>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2158</v>
      </c>
      <c r="B6" s="2384"/>
      <c r="C6" s="2385"/>
      <c r="D6" s="2386"/>
      <c r="E6" s="2639"/>
      <c r="F6" s="2641"/>
      <c r="G6" s="2641"/>
      <c r="H6" s="2641"/>
      <c r="I6" s="2641"/>
      <c r="J6" s="2438"/>
      <c r="K6" s="2592" t="str">
        <f>IF(COUNTIF(B6,"*上海银行*"),"上海银行","")</f>
        <v/>
      </c>
      <c r="L6" s="2590"/>
      <c r="M6" s="2590"/>
      <c r="N6" s="2438"/>
      <c r="O6" s="2449"/>
      <c r="P6" s="2438"/>
      <c r="Q6" s="2438"/>
      <c r="R6" s="2438"/>
    </row>
    <row r="7" spans="1:30">
      <c r="A7" s="2383" t="s">
        <v>2159</v>
      </c>
      <c r="B7" s="2387"/>
      <c r="C7" s="2385"/>
      <c r="D7" s="2386"/>
      <c r="E7" s="2639"/>
      <c r="F7" s="2641"/>
      <c r="G7" s="2641"/>
      <c r="H7" s="2641"/>
      <c r="I7" s="2641"/>
      <c r="J7" s="2438"/>
      <c r="K7" s="2593"/>
      <c r="L7" s="2590"/>
      <c r="M7" s="2590"/>
      <c r="N7" s="2438"/>
      <c r="O7" s="2449"/>
      <c r="P7" s="2438"/>
      <c r="Q7" s="2438"/>
      <c r="R7" s="2438"/>
    </row>
    <row r="8" spans="1:30">
      <c r="A8" s="2388" t="s">
        <v>2160</v>
      </c>
      <c r="B8" s="2389" t="s">
        <v>3363</v>
      </c>
      <c r="C8" s="2390"/>
      <c r="D8" s="3746" t="s">
        <v>2161</v>
      </c>
      <c r="E8" s="2391" t="s">
        <v>3366</v>
      </c>
      <c r="F8" s="2392"/>
      <c r="G8" s="2640"/>
      <c r="H8" s="2640"/>
      <c r="I8" s="2640"/>
      <c r="J8" s="2438"/>
      <c r="K8" s="2591"/>
      <c r="L8" s="2590"/>
      <c r="M8" s="2590"/>
      <c r="N8" s="2438"/>
      <c r="O8" s="2449"/>
      <c r="P8" s="2438"/>
      <c r="Q8" s="2438"/>
      <c r="R8" s="2438"/>
    </row>
    <row r="9" spans="1:30" ht="13.5" thickBot="1">
      <c r="A9" s="2393" t="s">
        <v>2162</v>
      </c>
      <c r="B9" s="2394" t="s">
        <v>3365</v>
      </c>
      <c r="C9" s="2395"/>
      <c r="D9" s="3747"/>
      <c r="E9" s="2394" t="s">
        <v>587</v>
      </c>
      <c r="F9" s="2396"/>
      <c r="G9" s="2642"/>
      <c r="H9" s="2642"/>
      <c r="I9" s="2642"/>
      <c r="J9" s="2438"/>
      <c r="K9" s="2593"/>
      <c r="L9" s="2590"/>
      <c r="M9" s="2590"/>
      <c r="N9" s="2438"/>
      <c r="O9" s="2449"/>
      <c r="P9" s="2438"/>
      <c r="Q9" s="2438"/>
      <c r="R9" s="2438"/>
    </row>
    <row r="10" spans="1:30" ht="13.5" thickTop="1">
      <c r="A10" s="2397" t="s">
        <v>2163</v>
      </c>
      <c r="B10" s="2398" t="s">
        <v>3367</v>
      </c>
      <c r="C10" s="2399"/>
      <c r="D10" s="2382"/>
      <c r="E10" s="2400" t="s">
        <v>2164</v>
      </c>
      <c r="F10" s="2643" t="s">
        <v>3866</v>
      </c>
      <c r="G10" s="2644"/>
      <c r="H10" s="2645"/>
      <c r="I10" s="2646"/>
      <c r="J10" s="2438"/>
      <c r="K10" s="2593"/>
      <c r="L10" s="2590"/>
      <c r="M10" s="2590"/>
      <c r="N10" s="2438"/>
      <c r="O10" s="2449"/>
      <c r="P10" s="2438"/>
      <c r="Q10" s="2438"/>
      <c r="R10" s="2438"/>
    </row>
    <row r="11" spans="1:30" ht="24">
      <c r="A11" s="2401" t="s">
        <v>2165</v>
      </c>
      <c r="B11" s="2402" t="s">
        <v>3368</v>
      </c>
      <c r="C11" s="3437" t="s">
        <v>3869</v>
      </c>
      <c r="D11" s="2403"/>
      <c r="E11" s="2370"/>
      <c r="F11" s="2370"/>
      <c r="G11" s="2370"/>
      <c r="H11" s="2370"/>
      <c r="I11" s="2370"/>
      <c r="J11" s="3038"/>
      <c r="K11" s="3037"/>
      <c r="L11" s="2590"/>
      <c r="M11" s="2590"/>
      <c r="N11" s="2438"/>
      <c r="O11" s="2449"/>
      <c r="P11" s="2438"/>
      <c r="Q11" s="2438"/>
      <c r="R11" s="2438"/>
    </row>
    <row r="12" spans="1:30">
      <c r="A12" s="2404" t="s">
        <v>2166</v>
      </c>
      <c r="B12" s="323" t="s">
        <v>2167</v>
      </c>
      <c r="C12" s="2405" t="s">
        <v>2168</v>
      </c>
      <c r="D12" s="2405" t="s">
        <v>2169</v>
      </c>
      <c r="E12" s="2405" t="s">
        <v>2170</v>
      </c>
      <c r="F12" s="2405" t="s">
        <v>2171</v>
      </c>
      <c r="G12" s="2405" t="s">
        <v>2172</v>
      </c>
      <c r="H12" s="2405" t="s">
        <v>2173</v>
      </c>
      <c r="I12" s="3036" t="s">
        <v>2560</v>
      </c>
      <c r="J12" s="3039"/>
      <c r="K12" s="2590"/>
      <c r="L12" s="2590"/>
      <c r="M12" s="2438"/>
      <c r="N12" s="2449"/>
      <c r="O12" s="2438"/>
      <c r="P12" s="2438"/>
      <c r="Q12" s="2438"/>
      <c r="AD12" s="1745"/>
    </row>
    <row r="13" spans="1:30">
      <c r="A13" s="3400" t="s">
        <v>3316</v>
      </c>
      <c r="B13" s="2406" t="s">
        <v>2174</v>
      </c>
      <c r="C13" s="856">
        <v>63145</v>
      </c>
      <c r="D13" s="856">
        <v>52187</v>
      </c>
      <c r="E13" s="856">
        <v>55840</v>
      </c>
      <c r="F13" s="856">
        <f>E13</f>
        <v>55840</v>
      </c>
      <c r="G13" s="856"/>
      <c r="H13" s="856"/>
      <c r="I13" s="856"/>
      <c r="J13" s="3039"/>
      <c r="K13" s="2590"/>
      <c r="L13" s="2590"/>
      <c r="M13" s="2438"/>
      <c r="N13" s="2449"/>
      <c r="O13" s="2438"/>
      <c r="P13" s="2438"/>
      <c r="Q13" s="2438"/>
      <c r="AD13" s="1745"/>
    </row>
    <row r="14" spans="1:30">
      <c r="A14" s="1081"/>
      <c r="B14" s="2406" t="s">
        <v>2175</v>
      </c>
      <c r="C14" s="2407">
        <v>70</v>
      </c>
      <c r="D14" s="2407">
        <v>40</v>
      </c>
      <c r="E14" s="2407">
        <v>50</v>
      </c>
      <c r="F14" s="2407">
        <v>50</v>
      </c>
      <c r="G14" s="2407"/>
      <c r="H14" s="2407"/>
      <c r="I14" s="2407"/>
      <c r="J14" s="3040"/>
      <c r="K14" s="2590"/>
      <c r="L14" s="2590"/>
      <c r="M14" s="2438"/>
      <c r="N14" s="2449"/>
      <c r="O14" s="2438"/>
      <c r="P14" s="2438"/>
      <c r="Q14" s="2438"/>
      <c r="AD14" s="1745"/>
    </row>
    <row r="15" spans="1:30">
      <c r="A15" s="320"/>
      <c r="B15" s="2408" t="s">
        <v>2176</v>
      </c>
      <c r="C15" s="2409">
        <f>IF(A13="出让",IF(C13="","",ROUNDDOWN(MIN((C13-$D$3)/365,C14),2)),C14)</f>
        <v>48.92</v>
      </c>
      <c r="D15" s="2409">
        <f>IF(A13="出让",IF(D13="","",ROUNDDOWN(MIN((D13-$D$3)/365,D14),2)),D14)</f>
        <v>18.899999999999999</v>
      </c>
      <c r="E15" s="2409">
        <f>IF(A13="出让",IF(E13="","",ROUNDDOWN(MIN((E13-$D$3)/365,E14),2)),E14)</f>
        <v>28.91</v>
      </c>
      <c r="F15" s="2409">
        <f>IF(A13="出让",IF(F13="","",ROUNDDOWN(MIN((F13-$D$3)/365,F14),2)),F14)</f>
        <v>28.91</v>
      </c>
      <c r="G15" s="2409" t="str">
        <f>IF(A13="出让",IF(G13="","",ROUNDDOWN(MIN((G13-$D$3)/365,G14),2)),G14)</f>
        <v/>
      </c>
      <c r="H15" s="2409" t="str">
        <f>IF(A13="出让",IF(H13="","",ROUNDDOWN(MIN((H13-$D$3)/365,H14),2)),H14)</f>
        <v/>
      </c>
      <c r="I15" s="2409" t="str">
        <f>IF(A13="出让",IF(I13="","",ROUNDDOWN(MIN((I13-$D$3)/365,I14),2)),I14)</f>
        <v/>
      </c>
      <c r="J15" s="3041"/>
      <c r="K15" s="2450"/>
      <c r="L15" s="2450"/>
      <c r="M15" s="2506"/>
      <c r="N15" s="2450"/>
      <c r="O15" s="2506"/>
      <c r="P15" s="2438"/>
      <c r="Q15" s="2438"/>
      <c r="AD15" s="1745"/>
    </row>
    <row r="16" spans="1:30">
      <c r="A16" s="2400" t="s">
        <v>2177</v>
      </c>
      <c r="B16" s="3753"/>
      <c r="C16" s="3754"/>
      <c r="D16" s="3755"/>
      <c r="E16" s="2412" t="s">
        <v>2178</v>
      </c>
      <c r="F16" s="3756"/>
      <c r="G16" s="3757"/>
      <c r="H16" s="3757"/>
      <c r="I16" s="3758"/>
      <c r="J16" s="2438"/>
      <c r="K16" s="2594"/>
      <c r="L16" s="2450"/>
      <c r="M16" s="2450"/>
      <c r="N16" s="2506"/>
      <c r="O16" s="2450"/>
      <c r="P16" s="2506"/>
      <c r="Q16" s="2438"/>
      <c r="R16" s="2438"/>
    </row>
    <row r="17" spans="1:28">
      <c r="A17" s="313" t="s">
        <v>2179</v>
      </c>
      <c r="B17" s="302" t="s">
        <v>2180</v>
      </c>
      <c r="C17" s="8">
        <f>'数据-汇总表'!E3</f>
        <v>48720.729999999974</v>
      </c>
      <c r="D17" s="2322" t="s">
        <v>2181</v>
      </c>
      <c r="E17" s="3759" t="s">
        <v>2182</v>
      </c>
      <c r="F17" s="3760"/>
      <c r="G17" s="3760"/>
      <c r="H17" s="3760"/>
      <c r="I17" s="3761"/>
      <c r="J17" s="2438"/>
      <c r="K17" s="2595"/>
      <c r="L17" s="2450"/>
      <c r="M17" s="2450"/>
      <c r="N17" s="2506"/>
      <c r="O17" s="2450"/>
      <c r="P17" s="2506"/>
      <c r="Q17" s="2438"/>
      <c r="R17" s="2438"/>
      <c r="S17" s="2438"/>
      <c r="T17" s="2438"/>
      <c r="U17" s="2438"/>
      <c r="V17" s="2438"/>
    </row>
    <row r="18" spans="1:28" ht="24.75" thickBot="1">
      <c r="A18" s="2413" t="s">
        <v>2183</v>
      </c>
      <c r="B18" s="1090" t="s">
        <v>2184</v>
      </c>
      <c r="C18" s="2414">
        <f>'数据-汇总表'!D3</f>
        <v>0</v>
      </c>
      <c r="D18" s="1092" t="s">
        <v>2185</v>
      </c>
      <c r="E18" s="3762" t="s">
        <v>2186</v>
      </c>
      <c r="F18" s="3763"/>
      <c r="G18" s="3763"/>
      <c r="H18" s="3763"/>
      <c r="I18" s="3764"/>
      <c r="J18" s="2438"/>
      <c r="K18" s="2595"/>
      <c r="L18" s="2450"/>
      <c r="M18" s="2450"/>
      <c r="N18" s="2506"/>
      <c r="O18" s="2450"/>
      <c r="P18" s="2506"/>
      <c r="Q18" s="2438"/>
      <c r="R18" s="2438"/>
      <c r="S18" s="2438"/>
      <c r="T18" s="2438"/>
      <c r="U18" s="2438"/>
      <c r="V18" s="2438"/>
    </row>
    <row r="19" spans="1:28" ht="37.5" thickTop="1" thickBot="1">
      <c r="A19" s="327" t="s">
        <v>1055</v>
      </c>
      <c r="B19" s="307" t="s">
        <v>2187</v>
      </c>
      <c r="C19" s="1563"/>
      <c r="D19" s="1564" t="s">
        <v>2188</v>
      </c>
      <c r="E19" s="1565"/>
      <c r="F19" s="1566" t="str">
        <f>IF(AND(C19="是",E19="否"),"是否提供他项权证或相关说明","")</f>
        <v/>
      </c>
      <c r="G19" s="1567"/>
      <c r="H19" s="2641"/>
      <c r="I19" s="2641"/>
      <c r="J19" s="2438"/>
      <c r="K19" s="2593"/>
      <c r="L19" s="2590"/>
      <c r="M19" s="2590"/>
      <c r="N19" s="2506"/>
      <c r="O19" s="2450"/>
      <c r="P19" s="2506"/>
      <c r="Q19" s="2438"/>
      <c r="R19" s="2438"/>
      <c r="S19" s="2438"/>
      <c r="T19" s="2438"/>
      <c r="U19" s="2438"/>
      <c r="V19" s="2438"/>
    </row>
    <row r="20" spans="1:28">
      <c r="A20" s="2609" t="s">
        <v>2189</v>
      </c>
      <c r="B20" s="3749" t="s">
        <v>2190</v>
      </c>
      <c r="C20" s="3750"/>
      <c r="D20" s="3751" t="s">
        <v>2191</v>
      </c>
      <c r="E20" s="3752"/>
      <c r="F20" s="2624" t="s">
        <v>1056</v>
      </c>
      <c r="G20" s="2641"/>
      <c r="H20" s="2641"/>
      <c r="I20" s="2641"/>
      <c r="J20" s="2438"/>
      <c r="K20" s="3748" t="s">
        <v>2192</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09"/>
      <c r="B21" s="2610" t="s">
        <v>2193</v>
      </c>
      <c r="C21" s="2611" t="s">
        <v>1057</v>
      </c>
      <c r="D21" s="1568" t="s">
        <v>2194</v>
      </c>
      <c r="E21" s="2612" t="s">
        <v>1057</v>
      </c>
      <c r="F21" s="2625"/>
      <c r="G21" s="2641"/>
      <c r="H21" s="2641"/>
      <c r="I21" s="2641"/>
      <c r="J21" s="2438"/>
      <c r="K21" s="374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24.75" thickBot="1">
      <c r="A22" s="2609"/>
      <c r="B22" s="2613" t="s">
        <v>2195</v>
      </c>
      <c r="C22" s="2611" t="s">
        <v>1058</v>
      </c>
      <c r="D22" s="2640"/>
      <c r="E22" s="2640"/>
      <c r="F22" s="2640"/>
      <c r="G22" s="2641"/>
      <c r="H22" s="2641"/>
      <c r="I22" s="2641"/>
      <c r="J22" s="2438"/>
      <c r="K22" s="374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14" t="s">
        <v>2196</v>
      </c>
      <c r="B23" s="2499" t="s">
        <v>2197</v>
      </c>
      <c r="C23" s="2615"/>
      <c r="D23" s="2616" t="s">
        <v>2197</v>
      </c>
      <c r="E23" s="2617"/>
      <c r="F23" s="2640"/>
      <c r="G23" s="2641"/>
      <c r="H23" s="2641"/>
      <c r="I23" s="2641"/>
      <c r="J23" s="2438"/>
      <c r="K23" s="2596"/>
      <c r="L23" s="2472"/>
      <c r="M23" s="2590"/>
      <c r="N23" s="2506"/>
      <c r="O23" s="2450"/>
      <c r="P23" s="2506"/>
      <c r="Q23" s="2438"/>
      <c r="R23" s="2438"/>
      <c r="S23" s="2438"/>
      <c r="T23" s="2438"/>
      <c r="U23" s="2438"/>
      <c r="V23" s="2438"/>
    </row>
    <row r="24" spans="1:28">
      <c r="A24" s="2614"/>
      <c r="B24" s="2499" t="s">
        <v>1059</v>
      </c>
      <c r="C24" s="2618"/>
      <c r="D24" s="2614" t="s">
        <v>1059</v>
      </c>
      <c r="E24" s="2619"/>
      <c r="F24" s="2640"/>
      <c r="G24" s="2641"/>
      <c r="H24" s="2641"/>
      <c r="I24" s="2641"/>
      <c r="J24" s="2438"/>
      <c r="K24" s="2596"/>
      <c r="L24" s="2472"/>
      <c r="M24" s="2590"/>
      <c r="N24" s="2506"/>
      <c r="O24" s="2450"/>
      <c r="P24" s="2506"/>
      <c r="Q24" s="2438"/>
      <c r="R24" s="2438"/>
      <c r="S24" s="2438"/>
      <c r="T24" s="2438"/>
      <c r="U24" s="2438"/>
      <c r="V24" s="2438"/>
    </row>
    <row r="25" spans="1:28">
      <c r="A25" s="2614"/>
      <c r="B25" s="2499" t="s">
        <v>1060</v>
      </c>
      <c r="C25" s="2618"/>
      <c r="D25" s="2614" t="s">
        <v>1060</v>
      </c>
      <c r="E25" s="2619"/>
      <c r="F25" s="2640"/>
      <c r="G25" s="2641"/>
      <c r="H25" s="2641"/>
      <c r="I25" s="2641"/>
      <c r="J25" s="2438"/>
      <c r="K25" s="2593"/>
      <c r="L25" s="2590"/>
      <c r="M25" s="2590"/>
      <c r="N25" s="2506"/>
      <c r="O25" s="2450"/>
      <c r="P25" s="2506"/>
      <c r="Q25" s="2438"/>
      <c r="R25" s="2438"/>
      <c r="S25" s="2438"/>
      <c r="T25" s="2438"/>
      <c r="U25" s="2438"/>
      <c r="V25" s="2438"/>
    </row>
    <row r="26" spans="1:28" ht="13.5" thickBot="1">
      <c r="A26" s="2620"/>
      <c r="B26" s="2621" t="s">
        <v>1061</v>
      </c>
      <c r="C26" s="2622"/>
      <c r="D26" s="2620" t="s">
        <v>1061</v>
      </c>
      <c r="E26" s="2623"/>
      <c r="F26" s="2642"/>
      <c r="G26" s="2642"/>
      <c r="H26" s="2642"/>
      <c r="I26" s="2642"/>
      <c r="J26" s="2438"/>
      <c r="K26" s="2593"/>
      <c r="L26" s="2590"/>
      <c r="M26" s="2590"/>
      <c r="N26" s="2506"/>
      <c r="O26" s="2450"/>
      <c r="P26" s="2506"/>
      <c r="Q26" s="2438"/>
      <c r="R26" s="2438"/>
      <c r="S26" s="2438"/>
      <c r="T26" s="2438"/>
      <c r="U26" s="2438"/>
      <c r="V26" s="2438"/>
    </row>
    <row r="27" spans="1:28" ht="13.5" thickTop="1">
      <c r="A27" s="3736" t="s">
        <v>2198</v>
      </c>
      <c r="B27" s="320" t="s">
        <v>2199</v>
      </c>
      <c r="C27" s="2415"/>
      <c r="D27" s="2416"/>
      <c r="E27" s="2641"/>
      <c r="F27" s="2641"/>
      <c r="G27" s="2641"/>
      <c r="H27" s="2641"/>
      <c r="I27" s="2641"/>
      <c r="J27" s="2438"/>
      <c r="K27" s="2594"/>
      <c r="L27" s="2450"/>
      <c r="M27" s="2450"/>
      <c r="N27" s="2506"/>
      <c r="O27" s="2450"/>
      <c r="P27" s="2506"/>
      <c r="Q27" s="2438"/>
      <c r="R27" s="2438"/>
      <c r="S27" s="2438"/>
      <c r="T27" s="2438"/>
      <c r="U27" s="2438"/>
      <c r="V27" s="2438"/>
    </row>
    <row r="28" spans="1:28">
      <c r="A28" s="3736"/>
      <c r="B28" s="302" t="s">
        <v>2200</v>
      </c>
      <c r="C28" s="2417"/>
      <c r="D28" s="2418"/>
      <c r="E28" s="2641"/>
      <c r="F28" s="2641"/>
      <c r="G28" s="2641"/>
      <c r="H28" s="2641"/>
      <c r="I28" s="2641"/>
      <c r="J28" s="2438"/>
      <c r="K28" s="2593"/>
      <c r="L28" s="2590"/>
      <c r="M28" s="2590"/>
      <c r="N28" s="2438"/>
      <c r="O28" s="2449"/>
      <c r="P28" s="2438"/>
      <c r="Q28" s="2438"/>
      <c r="R28" s="2438"/>
      <c r="S28" s="2438"/>
      <c r="T28" s="2438"/>
      <c r="U28" s="2438"/>
      <c r="V28" s="2438"/>
    </row>
    <row r="29" spans="1:28">
      <c r="A29" s="3736"/>
      <c r="B29" s="302" t="s">
        <v>2201</v>
      </c>
      <c r="C29" s="2419"/>
      <c r="D29" s="2420"/>
      <c r="E29" s="2641"/>
      <c r="F29" s="2641"/>
      <c r="G29" s="2641"/>
      <c r="H29" s="2641"/>
      <c r="I29" s="2641"/>
      <c r="J29" s="2438"/>
      <c r="K29" s="2593"/>
      <c r="L29" s="2590"/>
      <c r="M29" s="2590"/>
      <c r="N29" s="2438"/>
      <c r="O29" s="2449"/>
      <c r="P29" s="2438"/>
      <c r="Q29" s="2438"/>
      <c r="R29" s="2438"/>
      <c r="S29" s="2438"/>
      <c r="T29" s="2438"/>
      <c r="U29" s="2438"/>
      <c r="V29" s="2438"/>
    </row>
    <row r="30" spans="1:28">
      <c r="A30" s="3737"/>
      <c r="B30" s="302" t="s">
        <v>2202</v>
      </c>
      <c r="C30" s="3738"/>
      <c r="D30" s="3739"/>
      <c r="E30" s="2641"/>
      <c r="F30" s="2641"/>
      <c r="G30" s="2641"/>
      <c r="H30" s="2641"/>
      <c r="I30" s="2641"/>
      <c r="J30" s="2438"/>
      <c r="K30" s="2593"/>
      <c r="L30" s="2590"/>
      <c r="M30" s="2590"/>
      <c r="N30" s="2438"/>
      <c r="O30" s="2449"/>
      <c r="P30" s="2438"/>
      <c r="Q30" s="2438"/>
      <c r="R30" s="2438"/>
      <c r="S30" s="2438"/>
      <c r="T30" s="2438"/>
      <c r="U30" s="2438"/>
      <c r="V30" s="2438"/>
    </row>
    <row r="31" spans="1:28">
      <c r="A31" s="3740" t="s">
        <v>2203</v>
      </c>
      <c r="B31" s="2421"/>
      <c r="C31" s="2323" t="str">
        <f>IF(B31="现房","成新及维护状况正常否",IF(B31="在建","工程状态是否正常",IF(B31="土地","是否闲置","-")))</f>
        <v>-</v>
      </c>
      <c r="D31" s="1373"/>
      <c r="E31" s="2422"/>
      <c r="F31" s="2641"/>
      <c r="G31" s="2641"/>
      <c r="H31" s="2641"/>
      <c r="I31" s="2641"/>
      <c r="J31" s="2438"/>
      <c r="K31" s="2592"/>
      <c r="L31" s="2590"/>
      <c r="M31" s="2590"/>
      <c r="N31" s="2438"/>
      <c r="O31" s="2449"/>
      <c r="P31" s="2438"/>
      <c r="Q31" s="2438"/>
      <c r="R31" s="2438"/>
      <c r="S31" s="2438"/>
      <c r="T31" s="2438"/>
      <c r="U31" s="2438"/>
      <c r="V31" s="2438"/>
    </row>
    <row r="32" spans="1:28">
      <c r="A32" s="3741"/>
      <c r="B32" s="2421"/>
      <c r="C32" s="2323" t="str">
        <f>IF(B32="现房","成新及维护状况是否正常",IF(B32="在建","工程状态是否正常",IF(B32="土地","是否闲置","-")))</f>
        <v>-</v>
      </c>
      <c r="D32" s="1373"/>
      <c r="E32" s="2422"/>
      <c r="F32" s="2641"/>
      <c r="G32" s="2641"/>
      <c r="H32" s="2641"/>
      <c r="I32" s="2641"/>
      <c r="J32" s="2438"/>
      <c r="K32" s="2593"/>
      <c r="L32" s="2590"/>
      <c r="M32" s="2590"/>
      <c r="N32" s="2438"/>
      <c r="O32" s="2449"/>
      <c r="P32" s="2438"/>
      <c r="Q32" s="2438"/>
      <c r="R32" s="2438"/>
      <c r="S32" s="2438"/>
      <c r="T32" s="2438"/>
      <c r="U32" s="2438"/>
      <c r="V32" s="2438"/>
    </row>
    <row r="33" spans="1:30">
      <c r="A33" s="3741"/>
      <c r="B33" s="2424"/>
      <c r="C33" s="1590" t="str">
        <f>IF(B33="现房","成新及维护状况是否正常",IF(B33="在建","工程状态是否正常",IF(B33="土地","是否闲置","-")))</f>
        <v>-</v>
      </c>
      <c r="D33" s="1365"/>
      <c r="E33" s="2425"/>
      <c r="F33" s="2641"/>
      <c r="G33" s="2641"/>
      <c r="H33" s="2641"/>
      <c r="I33" s="2641"/>
      <c r="J33" s="2438"/>
      <c r="K33" s="2593"/>
      <c r="L33" s="2590"/>
      <c r="M33" s="2590"/>
      <c r="N33" s="2438"/>
      <c r="O33" s="2449"/>
      <c r="P33" s="2438"/>
      <c r="Q33" s="2438"/>
      <c r="R33" s="2438"/>
      <c r="S33" s="2438"/>
      <c r="T33" s="2438"/>
      <c r="U33" s="2438"/>
      <c r="V33" s="2438"/>
    </row>
    <row r="34" spans="1:30">
      <c r="A34" s="302" t="s">
        <v>2204</v>
      </c>
      <c r="B34" s="2026"/>
      <c r="C34" s="2026"/>
      <c r="D34" s="2026"/>
      <c r="E34" s="2026"/>
      <c r="F34" s="2026"/>
      <c r="G34" s="2026"/>
      <c r="H34" s="2026"/>
      <c r="I34" s="2641"/>
      <c r="J34" s="2438"/>
      <c r="K34" s="2426">
        <f>COUNTIF(B34:H34,"——")</f>
        <v>0</v>
      </c>
      <c r="L34" s="323" t="s">
        <v>2205</v>
      </c>
      <c r="M34" s="323" t="s">
        <v>2206</v>
      </c>
      <c r="N34" s="323" t="s">
        <v>2207</v>
      </c>
      <c r="O34" s="323" t="s">
        <v>2208</v>
      </c>
      <c r="P34" s="323" t="s">
        <v>2209</v>
      </c>
      <c r="Q34" s="323" t="s">
        <v>2210</v>
      </c>
      <c r="R34" s="323" t="s">
        <v>2211</v>
      </c>
      <c r="S34" s="3735" t="s">
        <v>2212</v>
      </c>
      <c r="T34" s="2427" t="str">
        <f>NUMBERSTRING(7-K34,1)&amp;"通"</f>
        <v>七通</v>
      </c>
      <c r="U34" s="2438"/>
      <c r="V34" s="2438"/>
    </row>
    <row r="35" spans="1:30">
      <c r="A35" s="2428"/>
      <c r="B35" s="3742" t="s">
        <v>2213</v>
      </c>
      <c r="C35" s="3742"/>
      <c r="D35" s="3742"/>
      <c r="E35" s="3742"/>
      <c r="F35" s="664">
        <f>C10</f>
        <v>0</v>
      </c>
      <c r="G35" s="2641"/>
      <c r="H35" s="2641"/>
      <c r="I35" s="2641"/>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735"/>
      <c r="T35" s="329" t="str">
        <f>IF(T34="一通",L35,IF(T34="二通",M35,IF(T34="三通",N35,IF(T34="四通",O35,IF(T34="五通",P35,IF(T34="六通",Q35,R35))))))</f>
        <v>、、、、、、</v>
      </c>
      <c r="U35" s="2438"/>
      <c r="V35" s="2438"/>
    </row>
    <row r="36" spans="1:30">
      <c r="A36" s="2429"/>
      <c r="B36" s="664" t="s">
        <v>2169</v>
      </c>
      <c r="C36" s="664" t="s">
        <v>2170</v>
      </c>
      <c r="D36" s="664" t="s">
        <v>2168</v>
      </c>
      <c r="E36" s="664" t="s">
        <v>2173</v>
      </c>
      <c r="F36" s="3042" t="s">
        <v>2563</v>
      </c>
      <c r="G36" s="2641"/>
      <c r="H36" s="2641"/>
      <c r="I36" s="2641"/>
      <c r="J36" s="2438"/>
      <c r="K36" s="2593"/>
      <c r="L36" s="2590"/>
      <c r="M36" s="2590"/>
      <c r="N36" s="2438"/>
      <c r="O36" s="2449"/>
      <c r="P36" s="2438"/>
      <c r="Q36" s="2438"/>
      <c r="R36" s="2438"/>
      <c r="S36" s="2438"/>
      <c r="T36" s="2438"/>
      <c r="U36" s="2438"/>
      <c r="V36" s="2438"/>
    </row>
    <row r="37" spans="1:30">
      <c r="A37" s="2607" t="s">
        <v>2214</v>
      </c>
      <c r="B37" s="2430" t="s">
        <v>296</v>
      </c>
      <c r="C37" s="2430" t="s">
        <v>296</v>
      </c>
      <c r="D37" s="2430" t="s">
        <v>296</v>
      </c>
      <c r="E37" s="2430" t="s">
        <v>296</v>
      </c>
      <c r="F37" s="2430" t="s">
        <v>296</v>
      </c>
      <c r="G37" s="2641"/>
      <c r="H37" s="2641"/>
      <c r="I37" s="2641"/>
      <c r="J37" s="2438"/>
      <c r="K37" s="2593"/>
      <c r="L37" s="2590"/>
      <c r="M37" s="2590"/>
      <c r="N37" s="2438"/>
      <c r="O37" s="2449"/>
      <c r="P37" s="2438"/>
      <c r="Q37" s="2438"/>
      <c r="R37" s="2438"/>
      <c r="S37" s="2438"/>
      <c r="T37" s="2438"/>
      <c r="U37" s="2438"/>
      <c r="V37" s="2438"/>
    </row>
    <row r="38" spans="1:30" ht="13.5" thickBot="1">
      <c r="A38" s="2608" t="s">
        <v>2215</v>
      </c>
      <c r="B38" s="2431" t="s">
        <v>2910</v>
      </c>
      <c r="C38" s="2431" t="s">
        <v>260</v>
      </c>
      <c r="D38" s="2431" t="s">
        <v>260</v>
      </c>
      <c r="E38" s="2431" t="s">
        <v>260</v>
      </c>
      <c r="F38" s="2431" t="s">
        <v>260</v>
      </c>
      <c r="G38" s="2642"/>
      <c r="H38" s="2642"/>
      <c r="I38" s="2642"/>
      <c r="J38" s="2438"/>
      <c r="K38" s="2593"/>
      <c r="L38" s="2590"/>
      <c r="M38" s="2590"/>
      <c r="N38" s="2438"/>
      <c r="O38" s="2449"/>
      <c r="P38" s="2438"/>
      <c r="Q38" s="2438"/>
      <c r="R38" s="2438"/>
      <c r="S38" s="2438"/>
      <c r="T38" s="2438"/>
      <c r="U38" s="2438"/>
      <c r="V38" s="2438"/>
    </row>
    <row r="39" spans="1:30" s="2434" customFormat="1" ht="14.25" thickTop="1" thickBot="1">
      <c r="A39" s="2432" t="s">
        <v>2216</v>
      </c>
      <c r="B39" s="2433"/>
      <c r="C39" s="2433"/>
      <c r="D39" s="2433"/>
      <c r="E39" s="2433"/>
      <c r="F39" s="2433"/>
      <c r="G39" s="2433"/>
      <c r="H39" s="2433"/>
      <c r="I39" s="2433"/>
      <c r="J39" s="2599"/>
      <c r="K39" s="2600"/>
      <c r="L39" s="2599"/>
      <c r="M39" s="2599"/>
      <c r="N39" s="2599"/>
      <c r="O39" s="2601"/>
      <c r="P39" s="2599"/>
      <c r="Q39" s="2599"/>
      <c r="R39" s="2599"/>
      <c r="S39" s="2599"/>
      <c r="T39" s="2599"/>
      <c r="U39" s="2599"/>
      <c r="V39" s="2599"/>
      <c r="W39" s="2602"/>
      <c r="X39" s="2602"/>
      <c r="Y39" s="2602"/>
      <c r="Z39" s="2602"/>
      <c r="AA39" s="2602"/>
      <c r="AB39" s="2602"/>
      <c r="AC39" s="2602"/>
      <c r="AD39" s="2602"/>
    </row>
    <row r="40" spans="1:30">
      <c r="A40" s="2370"/>
      <c r="B40" s="2370"/>
      <c r="C40" s="2370"/>
      <c r="D40" s="2370"/>
      <c r="E40" s="2370"/>
      <c r="F40" s="2370"/>
      <c r="G40" s="2370"/>
      <c r="H40" s="2370"/>
      <c r="I40" s="1578"/>
      <c r="J40" s="2506"/>
      <c r="K40" s="2592"/>
      <c r="L40" s="2450"/>
      <c r="M40" s="2450"/>
      <c r="N40" s="2506"/>
      <c r="O40" s="2450"/>
      <c r="P40" s="2438"/>
      <c r="Q40" s="2438"/>
      <c r="R40" s="2438"/>
      <c r="S40" s="2438"/>
      <c r="T40" s="2438"/>
      <c r="U40" s="2438"/>
      <c r="V40" s="2438"/>
    </row>
    <row r="41" spans="1:30">
      <c r="A41" s="2435" t="s">
        <v>2217</v>
      </c>
      <c r="B41" s="1757"/>
      <c r="C41" s="1373"/>
      <c r="D41" s="2370"/>
      <c r="E41" s="2370"/>
      <c r="F41" s="2370"/>
      <c r="G41" s="2370"/>
      <c r="H41" s="2370"/>
      <c r="I41" s="1576"/>
      <c r="J41" s="2438"/>
      <c r="K41" s="2593"/>
      <c r="L41" s="2590"/>
      <c r="M41" s="2590"/>
      <c r="N41" s="2438"/>
      <c r="O41" s="2449"/>
      <c r="P41" s="2438"/>
      <c r="Q41" s="2438"/>
      <c r="R41" s="2438"/>
      <c r="S41" s="2438"/>
      <c r="T41" s="2438"/>
      <c r="U41" s="2438"/>
      <c r="V41" s="2438"/>
    </row>
    <row r="42" spans="1:30" ht="25.5">
      <c r="A42" s="323" t="s">
        <v>2218</v>
      </c>
      <c r="B42" s="8" t="s">
        <v>2219</v>
      </c>
      <c r="C42" s="8" t="s">
        <v>2220</v>
      </c>
      <c r="D42" s="8" t="s">
        <v>2221</v>
      </c>
      <c r="E42" s="8" t="s">
        <v>2222</v>
      </c>
      <c r="F42" s="8" t="s">
        <v>2223</v>
      </c>
      <c r="G42" s="8" t="s">
        <v>2224</v>
      </c>
      <c r="H42" s="8" t="s">
        <v>2225</v>
      </c>
      <c r="I42" s="8" t="s">
        <v>2226</v>
      </c>
      <c r="J42" s="2603" t="s">
        <v>2227</v>
      </c>
      <c r="K42" s="2604" t="s">
        <v>2228</v>
      </c>
      <c r="L42" s="2604" t="s">
        <v>2229</v>
      </c>
      <c r="M42" s="2604" t="s">
        <v>2230</v>
      </c>
      <c r="N42" s="2597" t="s">
        <v>2231</v>
      </c>
      <c r="O42" s="2597" t="s">
        <v>2232</v>
      </c>
      <c r="P42" s="2597" t="s">
        <v>2233</v>
      </c>
      <c r="Q42" s="2598" t="s">
        <v>2234</v>
      </c>
      <c r="R42" s="2598" t="s">
        <v>2235</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48720.729999999974</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48720.729999999974</v>
      </c>
      <c r="H5" s="13">
        <f t="shared" ref="H5:AT5" si="0">SUM(H13:H656)</f>
        <v>48720.729999999974</v>
      </c>
      <c r="I5" s="13">
        <f t="shared" si="0"/>
        <v>42571.529999999977</v>
      </c>
      <c r="J5" s="13">
        <f t="shared" si="0"/>
        <v>0</v>
      </c>
      <c r="K5" s="13">
        <f t="shared" si="0"/>
        <v>6149.2</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48720.729999999974</v>
      </c>
      <c r="BA5" s="15">
        <f t="shared" si="1"/>
        <v>48720.729999999974</v>
      </c>
      <c r="BB5" s="15">
        <f t="shared" si="1"/>
        <v>42571.529999999977</v>
      </c>
      <c r="BC5" s="15">
        <f t="shared" si="1"/>
        <v>6149.2</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3370</v>
      </c>
      <c r="J9" s="809"/>
      <c r="K9" s="1603" t="s">
        <v>3399</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3317</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3371</v>
      </c>
      <c r="J11" s="1615"/>
      <c r="K11" s="1614" t="s">
        <v>3317</v>
      </c>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车库</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酒店</v>
      </c>
      <c r="BC12" s="1624" t="str">
        <f>K11</f>
        <v>车库</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3369</v>
      </c>
      <c r="D13" s="1625" t="s">
        <v>3401</v>
      </c>
      <c r="E13" s="13">
        <f>IF($C$3="是",ROUND($A$3*G13/$B$3,2),ROUND($A$3*(G13-AT13)/$B$3,2))</f>
        <v>0</v>
      </c>
      <c r="F13" s="29"/>
      <c r="G13" s="30">
        <f>H13+AC13+AT13</f>
        <v>3628.54</v>
      </c>
      <c r="H13" s="17">
        <f>SUMIF(I$12:AB$12,"总值",I13:AB13)</f>
        <v>3628.54</v>
      </c>
      <c r="I13" s="1626">
        <v>3628.54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1-101</v>
      </c>
      <c r="AY13" s="1349">
        <f>ROUND($AY$6*AZ13/$AZ$5,2)</f>
        <v>0</v>
      </c>
      <c r="AZ13" s="13">
        <f>BA13+BL13</f>
        <v>3628.54</v>
      </c>
      <c r="BA13" s="13">
        <f>SUM(BB13:BK13)</f>
        <v>3628.54</v>
      </c>
      <c r="BB13" s="13">
        <f>IF($D13="是",I13-J13,0)</f>
        <v>3628.54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t="s">
        <v>3372</v>
      </c>
      <c r="D14" s="1625" t="s">
        <v>3401</v>
      </c>
      <c r="E14" s="13">
        <f>IF($C$3="是",ROUND($A$3*G14/$B$3,2),ROUND($A$3*(G14-AT14)/$B$3,2))</f>
        <v>0</v>
      </c>
      <c r="F14" s="29"/>
      <c r="G14" s="30">
        <f>H14+AC14+AT14</f>
        <v>2815.96</v>
      </c>
      <c r="H14" s="17">
        <f>SUMIF(I$12:AB$12,"总值",I14:AB14)</f>
        <v>2815.96</v>
      </c>
      <c r="I14" s="1626">
        <v>2815.96</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2-201</v>
      </c>
      <c r="AY14" s="1349">
        <f>ROUND($AY$6*AZ14/$AZ$5,2)</f>
        <v>0</v>
      </c>
      <c r="AZ14" s="13">
        <f>BA14+BL14</f>
        <v>2815.96</v>
      </c>
      <c r="BA14" s="13">
        <f>SUM(BB14:BK14)</f>
        <v>2815.96</v>
      </c>
      <c r="BB14" s="13">
        <f>IF($D14="是",I14-J14,0)</f>
        <v>2815.96</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t="s">
        <v>3373</v>
      </c>
      <c r="D15" s="1625" t="s">
        <v>3401</v>
      </c>
      <c r="E15" s="13">
        <f>IF($C$3="是",ROUND($A$3*G15/$B$3,2),ROUND($A$3*(G15-AT15)/$B$3,2))</f>
        <v>0</v>
      </c>
      <c r="F15" s="29"/>
      <c r="G15" s="30">
        <f>H15+AC15+AT15</f>
        <v>3900.01</v>
      </c>
      <c r="H15" s="17">
        <f>SUMIF(I$12:AB$12,"总值",I15:AB15)</f>
        <v>3900.01</v>
      </c>
      <c r="I15" s="1626">
        <v>3900.01</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3-301</v>
      </c>
      <c r="AY15" s="1349">
        <f>ROUND($AY$6*AZ15/$AZ$5,2)</f>
        <v>0</v>
      </c>
      <c r="AZ15" s="13">
        <f>BA15+BL15</f>
        <v>3900.01</v>
      </c>
      <c r="BA15" s="13">
        <f>SUM(BB15:BK15)</f>
        <v>3900.01</v>
      </c>
      <c r="BB15" s="13">
        <f>IF($D15="是",I15-J15,0)</f>
        <v>3900.01</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t="s">
        <v>3374</v>
      </c>
      <c r="D16" s="1625" t="s">
        <v>3401</v>
      </c>
      <c r="E16" s="13">
        <f>IF($C$3="是",ROUND($A$3*G16/$B$3,2),ROUND($A$3*(G16-AT16)/$B$3,2))</f>
        <v>0</v>
      </c>
      <c r="F16" s="29"/>
      <c r="G16" s="30">
        <f>H16+AC16+AT16</f>
        <v>3102.76</v>
      </c>
      <c r="H16" s="17">
        <f>SUMIF(I$12:AB$12,"总值",I16:AB16)</f>
        <v>3102.76</v>
      </c>
      <c r="I16" s="1626">
        <v>3102.76</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t="str">
        <f t="shared" si="6"/>
        <v>4-501</v>
      </c>
      <c r="AY16" s="1349">
        <f>ROUND($AY$6*AZ16/$AZ$5,2)</f>
        <v>0</v>
      </c>
      <c r="AZ16" s="13">
        <f>BA16+BL16</f>
        <v>3102.76</v>
      </c>
      <c r="BA16" s="13">
        <f>SUM(BB16:BK16)</f>
        <v>3102.76</v>
      </c>
      <c r="BB16" s="13">
        <f>IF($D16="是",I16-J16,0)</f>
        <v>3102.76</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t="s">
        <v>3375</v>
      </c>
      <c r="D17" s="1625" t="s">
        <v>3401</v>
      </c>
      <c r="E17" s="13">
        <f>IF($C$3="是",ROUND($A$3*G17/$B$3,2),ROUND($A$3*(G17-AT17)/$B$3,2))</f>
        <v>0</v>
      </c>
      <c r="F17" s="29"/>
      <c r="G17" s="30">
        <f>H17+AC17+AT17</f>
        <v>1250.78</v>
      </c>
      <c r="H17" s="17">
        <f>SUMIF(I$12:AB$12,"总值",I17:AB17)</f>
        <v>1250.78</v>
      </c>
      <c r="I17" s="1626">
        <v>1250.78</v>
      </c>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t="str">
        <f t="shared" si="6"/>
        <v>5-610</v>
      </c>
      <c r="AY17" s="1349">
        <f>ROUND($AY$6*AZ17/$AZ$5,2)</f>
        <v>0</v>
      </c>
      <c r="AZ17" s="13">
        <f>BA17+BL17</f>
        <v>1250.78</v>
      </c>
      <c r="BA17" s="13">
        <f>SUM(BB17:BK17)</f>
        <v>1250.78</v>
      </c>
      <c r="BB17" s="13">
        <f>IF($D17="是",I17-J17,0)</f>
        <v>1250.78</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t="s">
        <v>3376</v>
      </c>
      <c r="D18" s="1625" t="s">
        <v>3401</v>
      </c>
      <c r="E18" s="32">
        <f t="shared" ref="E18:E112" si="7">IF($C$3="是",ROUND($A$3*G18/$B$3,2),ROUND($A$3*(G18-AT18)/$B$3,2))</f>
        <v>0</v>
      </c>
      <c r="F18" s="33"/>
      <c r="G18" s="34">
        <f t="shared" ref="G18:G109" si="8">H18+AC18+AT18</f>
        <v>1250.78</v>
      </c>
      <c r="H18" s="35">
        <f t="shared" ref="H18:H109" si="9">SUMIF(I$12:AB$12,"总值",I18:AB18)</f>
        <v>1250.78</v>
      </c>
      <c r="I18" s="36">
        <v>1250.78</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t="str">
        <f t="shared" ref="AX18:AX112" si="13">C18</f>
        <v>6-710</v>
      </c>
      <c r="AY18" s="39">
        <f t="shared" ref="AY18:AY109" si="14">ROUND($AY$6*AZ18/$AZ$5,2)</f>
        <v>0</v>
      </c>
      <c r="AZ18" s="32">
        <f t="shared" ref="AZ18:AZ109" si="15">BA18+BL18</f>
        <v>1250.78</v>
      </c>
      <c r="BA18" s="32">
        <f t="shared" ref="BA18:BA109" si="16">SUM(BB18:BK18)</f>
        <v>1250.78</v>
      </c>
      <c r="BB18" s="32">
        <f t="shared" ref="BB18:BB109" si="17">IF($D18="是",I18-J18,0)</f>
        <v>1250.78</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t="s">
        <v>3377</v>
      </c>
      <c r="D19" s="1625" t="s">
        <v>3401</v>
      </c>
      <c r="E19" s="32">
        <f t="shared" si="7"/>
        <v>0</v>
      </c>
      <c r="F19" s="33"/>
      <c r="G19" s="34">
        <f t="shared" si="8"/>
        <v>1250.78</v>
      </c>
      <c r="H19" s="35">
        <f t="shared" si="9"/>
        <v>1250.78</v>
      </c>
      <c r="I19" s="36">
        <v>1250.78</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t="str">
        <f t="shared" si="13"/>
        <v>7-810</v>
      </c>
      <c r="AY19" s="39">
        <f t="shared" si="14"/>
        <v>0</v>
      </c>
      <c r="AZ19" s="32">
        <f t="shared" si="15"/>
        <v>1250.78</v>
      </c>
      <c r="BA19" s="32">
        <f t="shared" si="16"/>
        <v>1250.78</v>
      </c>
      <c r="BB19" s="32">
        <f t="shared" si="17"/>
        <v>1250.78</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t="s">
        <v>3378</v>
      </c>
      <c r="D20" s="1625" t="s">
        <v>3401</v>
      </c>
      <c r="E20" s="32">
        <f t="shared" si="7"/>
        <v>0</v>
      </c>
      <c r="F20" s="33"/>
      <c r="G20" s="34">
        <f t="shared" si="8"/>
        <v>1250.78</v>
      </c>
      <c r="H20" s="35">
        <f t="shared" si="9"/>
        <v>1250.78</v>
      </c>
      <c r="I20" s="36">
        <v>1250.78</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t="str">
        <f t="shared" si="13"/>
        <v>8-910</v>
      </c>
      <c r="AY20" s="39">
        <f t="shared" si="14"/>
        <v>0</v>
      </c>
      <c r="AZ20" s="32">
        <f t="shared" si="15"/>
        <v>1250.78</v>
      </c>
      <c r="BA20" s="32">
        <f t="shared" si="16"/>
        <v>1250.78</v>
      </c>
      <c r="BB20" s="32">
        <f t="shared" si="17"/>
        <v>1250.78</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t="s">
        <v>3379</v>
      </c>
      <c r="D21" s="1625" t="s">
        <v>3401</v>
      </c>
      <c r="E21" s="32">
        <f t="shared" si="7"/>
        <v>0</v>
      </c>
      <c r="F21" s="33"/>
      <c r="G21" s="34">
        <f t="shared" si="8"/>
        <v>1250.78</v>
      </c>
      <c r="H21" s="35">
        <f t="shared" si="9"/>
        <v>1250.78</v>
      </c>
      <c r="I21" s="36">
        <v>1250.78</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t="str">
        <f t="shared" si="13"/>
        <v>9-1010</v>
      </c>
      <c r="AY21" s="39">
        <f t="shared" si="14"/>
        <v>0</v>
      </c>
      <c r="AZ21" s="32">
        <f t="shared" si="15"/>
        <v>1250.78</v>
      </c>
      <c r="BA21" s="32">
        <f t="shared" si="16"/>
        <v>1250.78</v>
      </c>
      <c r="BB21" s="32">
        <f t="shared" si="17"/>
        <v>1250.78</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t="s">
        <v>3380</v>
      </c>
      <c r="D22" s="1625" t="s">
        <v>3401</v>
      </c>
      <c r="E22" s="32">
        <f t="shared" si="7"/>
        <v>0</v>
      </c>
      <c r="F22" s="33"/>
      <c r="G22" s="34">
        <f t="shared" si="8"/>
        <v>1250.78</v>
      </c>
      <c r="H22" s="35">
        <f t="shared" si="9"/>
        <v>1250.78</v>
      </c>
      <c r="I22" s="36">
        <v>1250.78</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t="str">
        <f t="shared" si="13"/>
        <v>10-1110</v>
      </c>
      <c r="AY22" s="39">
        <f t="shared" si="14"/>
        <v>0</v>
      </c>
      <c r="AZ22" s="32">
        <f t="shared" si="15"/>
        <v>1250.78</v>
      </c>
      <c r="BA22" s="32">
        <f t="shared" si="16"/>
        <v>1250.78</v>
      </c>
      <c r="BB22" s="32">
        <f t="shared" si="17"/>
        <v>1250.78</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t="s">
        <v>3381</v>
      </c>
      <c r="D23" s="1625" t="s">
        <v>3401</v>
      </c>
      <c r="E23" s="32">
        <f t="shared" si="7"/>
        <v>0</v>
      </c>
      <c r="F23" s="33"/>
      <c r="G23" s="34">
        <f t="shared" si="8"/>
        <v>1250.78</v>
      </c>
      <c r="H23" s="35">
        <f t="shared" si="9"/>
        <v>1250.78</v>
      </c>
      <c r="I23" s="36">
        <v>1250.78</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t="str">
        <f t="shared" si="13"/>
        <v>11-1210</v>
      </c>
      <c r="AY23" s="39">
        <f t="shared" si="14"/>
        <v>0</v>
      </c>
      <c r="AZ23" s="32">
        <f t="shared" si="15"/>
        <v>1250.78</v>
      </c>
      <c r="BA23" s="32">
        <f t="shared" si="16"/>
        <v>1250.78</v>
      </c>
      <c r="BB23" s="32">
        <f t="shared" si="17"/>
        <v>1250.78</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t="s">
        <v>3382</v>
      </c>
      <c r="D24" s="1625" t="s">
        <v>3401</v>
      </c>
      <c r="E24" s="32">
        <f t="shared" si="7"/>
        <v>0</v>
      </c>
      <c r="F24" s="33"/>
      <c r="G24" s="34">
        <f t="shared" si="8"/>
        <v>1250.78</v>
      </c>
      <c r="H24" s="35">
        <f t="shared" si="9"/>
        <v>1250.78</v>
      </c>
      <c r="I24" s="36">
        <v>1250.78</v>
      </c>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t="str">
        <f t="shared" si="13"/>
        <v>12-1510</v>
      </c>
      <c r="AY24" s="39">
        <f t="shared" si="14"/>
        <v>0</v>
      </c>
      <c r="AZ24" s="32">
        <f t="shared" si="15"/>
        <v>1250.78</v>
      </c>
      <c r="BA24" s="32">
        <f t="shared" si="16"/>
        <v>1250.78</v>
      </c>
      <c r="BB24" s="32">
        <f t="shared" si="17"/>
        <v>1250.78</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t="s">
        <v>3383</v>
      </c>
      <c r="D25" s="1625" t="s">
        <v>3401</v>
      </c>
      <c r="E25" s="32">
        <f t="shared" si="7"/>
        <v>0</v>
      </c>
      <c r="F25" s="33"/>
      <c r="G25" s="34">
        <f t="shared" si="8"/>
        <v>1250.78</v>
      </c>
      <c r="H25" s="35">
        <f t="shared" si="9"/>
        <v>1250.78</v>
      </c>
      <c r="I25" s="36">
        <v>1250.78</v>
      </c>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t="str">
        <f t="shared" si="13"/>
        <v>13-1610</v>
      </c>
      <c r="AY25" s="39">
        <f t="shared" si="14"/>
        <v>0</v>
      </c>
      <c r="AZ25" s="32">
        <f t="shared" si="15"/>
        <v>1250.78</v>
      </c>
      <c r="BA25" s="32">
        <f t="shared" si="16"/>
        <v>1250.78</v>
      </c>
      <c r="BB25" s="32">
        <f t="shared" si="17"/>
        <v>1250.78</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t="s">
        <v>3384</v>
      </c>
      <c r="D26" s="1625" t="s">
        <v>3401</v>
      </c>
      <c r="E26" s="32">
        <f t="shared" si="7"/>
        <v>0</v>
      </c>
      <c r="F26" s="33"/>
      <c r="G26" s="34">
        <f t="shared" si="8"/>
        <v>1250.78</v>
      </c>
      <c r="H26" s="35">
        <f t="shared" si="9"/>
        <v>1250.78</v>
      </c>
      <c r="I26" s="36">
        <v>1250.78</v>
      </c>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t="str">
        <f t="shared" si="13"/>
        <v>14-1710</v>
      </c>
      <c r="AY26" s="39">
        <f t="shared" si="14"/>
        <v>0</v>
      </c>
      <c r="AZ26" s="32">
        <f t="shared" si="15"/>
        <v>1250.78</v>
      </c>
      <c r="BA26" s="32">
        <f t="shared" si="16"/>
        <v>1250.78</v>
      </c>
      <c r="BB26" s="32">
        <f t="shared" si="17"/>
        <v>1250.78</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t="s">
        <v>3385</v>
      </c>
      <c r="D27" s="1625" t="s">
        <v>3401</v>
      </c>
      <c r="E27" s="32">
        <f t="shared" si="7"/>
        <v>0</v>
      </c>
      <c r="F27" s="33"/>
      <c r="G27" s="34">
        <f t="shared" si="8"/>
        <v>1250.78</v>
      </c>
      <c r="H27" s="35">
        <f t="shared" si="9"/>
        <v>1250.78</v>
      </c>
      <c r="I27" s="36">
        <v>1250.78</v>
      </c>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t="str">
        <f t="shared" si="13"/>
        <v>15-1810</v>
      </c>
      <c r="AY27" s="39">
        <f t="shared" si="14"/>
        <v>0</v>
      </c>
      <c r="AZ27" s="32">
        <f t="shared" si="15"/>
        <v>1250.78</v>
      </c>
      <c r="BA27" s="32">
        <f t="shared" si="16"/>
        <v>1250.78</v>
      </c>
      <c r="BB27" s="32">
        <f t="shared" si="17"/>
        <v>1250.78</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t="s">
        <v>3386</v>
      </c>
      <c r="D28" s="1625" t="s">
        <v>3401</v>
      </c>
      <c r="E28" s="32">
        <f t="shared" si="7"/>
        <v>0</v>
      </c>
      <c r="F28" s="33"/>
      <c r="G28" s="34">
        <f t="shared" si="8"/>
        <v>1250.78</v>
      </c>
      <c r="H28" s="35">
        <f t="shared" si="9"/>
        <v>1250.78</v>
      </c>
      <c r="I28" s="36">
        <v>1250.78</v>
      </c>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t="str">
        <f t="shared" si="13"/>
        <v>16-1910</v>
      </c>
      <c r="AY28" s="39">
        <f t="shared" si="14"/>
        <v>0</v>
      </c>
      <c r="AZ28" s="32">
        <f t="shared" si="15"/>
        <v>1250.78</v>
      </c>
      <c r="BA28" s="32">
        <f t="shared" si="16"/>
        <v>1250.78</v>
      </c>
      <c r="BB28" s="32">
        <f t="shared" si="17"/>
        <v>1250.78</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t="s">
        <v>3387</v>
      </c>
      <c r="D29" s="1625" t="s">
        <v>3401</v>
      </c>
      <c r="E29" s="32">
        <f t="shared" si="7"/>
        <v>0</v>
      </c>
      <c r="F29" s="33"/>
      <c r="G29" s="34">
        <f t="shared" si="8"/>
        <v>1250.78</v>
      </c>
      <c r="H29" s="35">
        <f t="shared" si="9"/>
        <v>1250.78</v>
      </c>
      <c r="I29" s="36">
        <v>1250.78</v>
      </c>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t="str">
        <f t="shared" si="13"/>
        <v>17-2010</v>
      </c>
      <c r="AY29" s="39">
        <f t="shared" si="14"/>
        <v>0</v>
      </c>
      <c r="AZ29" s="32">
        <f t="shared" si="15"/>
        <v>1250.78</v>
      </c>
      <c r="BA29" s="32">
        <f t="shared" si="16"/>
        <v>1250.78</v>
      </c>
      <c r="BB29" s="32">
        <f t="shared" si="17"/>
        <v>1250.78</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t="s">
        <v>3388</v>
      </c>
      <c r="D30" s="1625" t="s">
        <v>3401</v>
      </c>
      <c r="E30" s="32">
        <f t="shared" si="7"/>
        <v>0</v>
      </c>
      <c r="F30" s="33"/>
      <c r="G30" s="34">
        <f t="shared" si="8"/>
        <v>1250.78</v>
      </c>
      <c r="H30" s="35">
        <f t="shared" si="9"/>
        <v>1250.78</v>
      </c>
      <c r="I30" s="36">
        <v>1250.78</v>
      </c>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t="str">
        <f t="shared" si="13"/>
        <v>18-2110</v>
      </c>
      <c r="AY30" s="39">
        <f t="shared" si="14"/>
        <v>0</v>
      </c>
      <c r="AZ30" s="32">
        <f t="shared" si="15"/>
        <v>1250.78</v>
      </c>
      <c r="BA30" s="32">
        <f t="shared" si="16"/>
        <v>1250.78</v>
      </c>
      <c r="BB30" s="32">
        <f t="shared" si="17"/>
        <v>1250.78</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t="s">
        <v>3389</v>
      </c>
      <c r="D31" s="1625" t="s">
        <v>3401</v>
      </c>
      <c r="E31" s="32">
        <f t="shared" si="7"/>
        <v>0</v>
      </c>
      <c r="F31" s="33"/>
      <c r="G31" s="34">
        <f t="shared" si="8"/>
        <v>1250.78</v>
      </c>
      <c r="H31" s="35">
        <f t="shared" si="9"/>
        <v>1250.78</v>
      </c>
      <c r="I31" s="36">
        <v>1250.78</v>
      </c>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t="str">
        <f t="shared" si="13"/>
        <v>19-2210</v>
      </c>
      <c r="AY31" s="39">
        <f t="shared" si="14"/>
        <v>0</v>
      </c>
      <c r="AZ31" s="32">
        <f t="shared" si="15"/>
        <v>1250.78</v>
      </c>
      <c r="BA31" s="32">
        <f t="shared" si="16"/>
        <v>1250.78</v>
      </c>
      <c r="BB31" s="32">
        <f t="shared" si="17"/>
        <v>1250.78</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t="s">
        <v>3390</v>
      </c>
      <c r="D32" s="1625" t="s">
        <v>3401</v>
      </c>
      <c r="E32" s="32">
        <f t="shared" si="7"/>
        <v>0</v>
      </c>
      <c r="F32" s="33"/>
      <c r="G32" s="34">
        <f t="shared" si="8"/>
        <v>1250.78</v>
      </c>
      <c r="H32" s="35">
        <f t="shared" si="9"/>
        <v>1250.78</v>
      </c>
      <c r="I32" s="36">
        <v>1250.78</v>
      </c>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t="str">
        <f t="shared" si="13"/>
        <v>20-2310</v>
      </c>
      <c r="AY32" s="39">
        <f t="shared" si="14"/>
        <v>0</v>
      </c>
      <c r="AZ32" s="32">
        <f t="shared" si="15"/>
        <v>1250.78</v>
      </c>
      <c r="BA32" s="32">
        <f t="shared" si="16"/>
        <v>1250.78</v>
      </c>
      <c r="BB32" s="32">
        <f t="shared" si="17"/>
        <v>1250.78</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t="s">
        <v>3391</v>
      </c>
      <c r="D33" s="1625" t="s">
        <v>3401</v>
      </c>
      <c r="E33" s="32">
        <f t="shared" si="7"/>
        <v>0</v>
      </c>
      <c r="F33" s="33"/>
      <c r="G33" s="34">
        <f t="shared" si="8"/>
        <v>1250.78</v>
      </c>
      <c r="H33" s="35">
        <f t="shared" si="9"/>
        <v>1250.78</v>
      </c>
      <c r="I33" s="36">
        <v>1250.78</v>
      </c>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t="str">
        <f t="shared" si="13"/>
        <v>21-2510</v>
      </c>
      <c r="AY33" s="39">
        <f t="shared" si="14"/>
        <v>0</v>
      </c>
      <c r="AZ33" s="32">
        <f t="shared" si="15"/>
        <v>1250.78</v>
      </c>
      <c r="BA33" s="32">
        <f t="shared" si="16"/>
        <v>1250.78</v>
      </c>
      <c r="BB33" s="32">
        <f t="shared" si="17"/>
        <v>1250.78</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t="s">
        <v>3392</v>
      </c>
      <c r="D34" s="1625" t="s">
        <v>3401</v>
      </c>
      <c r="E34" s="32">
        <f t="shared" si="7"/>
        <v>0</v>
      </c>
      <c r="F34" s="33"/>
      <c r="G34" s="34">
        <f t="shared" si="8"/>
        <v>1250.78</v>
      </c>
      <c r="H34" s="35">
        <f t="shared" si="9"/>
        <v>1250.78</v>
      </c>
      <c r="I34" s="36">
        <v>1250.78</v>
      </c>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t="str">
        <f t="shared" si="13"/>
        <v>22-2610</v>
      </c>
      <c r="AY34" s="39">
        <f t="shared" si="14"/>
        <v>0</v>
      </c>
      <c r="AZ34" s="32">
        <f t="shared" si="15"/>
        <v>1250.78</v>
      </c>
      <c r="BA34" s="32">
        <f t="shared" si="16"/>
        <v>1250.78</v>
      </c>
      <c r="BB34" s="32">
        <f t="shared" si="17"/>
        <v>1250.78</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t="s">
        <v>3393</v>
      </c>
      <c r="D35" s="1625" t="s">
        <v>3401</v>
      </c>
      <c r="E35" s="32">
        <f t="shared" si="7"/>
        <v>0</v>
      </c>
      <c r="F35" s="33"/>
      <c r="G35" s="34">
        <f t="shared" si="8"/>
        <v>1250.78</v>
      </c>
      <c r="H35" s="35">
        <f t="shared" si="9"/>
        <v>1250.78</v>
      </c>
      <c r="I35" s="36">
        <v>1250.78</v>
      </c>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t="str">
        <f t="shared" si="13"/>
        <v>23-2710</v>
      </c>
      <c r="AY35" s="39">
        <f t="shared" si="14"/>
        <v>0</v>
      </c>
      <c r="AZ35" s="32">
        <f t="shared" si="15"/>
        <v>1250.78</v>
      </c>
      <c r="BA35" s="32">
        <f t="shared" si="16"/>
        <v>1250.78</v>
      </c>
      <c r="BB35" s="32">
        <f t="shared" si="17"/>
        <v>1250.78</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t="s">
        <v>3394</v>
      </c>
      <c r="D36" s="1625" t="s">
        <v>3401</v>
      </c>
      <c r="E36" s="32">
        <f t="shared" si="7"/>
        <v>0</v>
      </c>
      <c r="F36" s="33"/>
      <c r="G36" s="34">
        <f t="shared" si="8"/>
        <v>1250.78</v>
      </c>
      <c r="H36" s="35">
        <f t="shared" si="9"/>
        <v>1250.78</v>
      </c>
      <c r="I36" s="36">
        <v>1250.78</v>
      </c>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t="str">
        <f t="shared" si="13"/>
        <v>24-2810</v>
      </c>
      <c r="AY36" s="39">
        <f t="shared" si="14"/>
        <v>0</v>
      </c>
      <c r="AZ36" s="32">
        <f t="shared" si="15"/>
        <v>1250.78</v>
      </c>
      <c r="BA36" s="32">
        <f t="shared" si="16"/>
        <v>1250.78</v>
      </c>
      <c r="BB36" s="32">
        <f t="shared" si="17"/>
        <v>1250.78</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t="s">
        <v>3395</v>
      </c>
      <c r="D37" s="1625" t="s">
        <v>3401</v>
      </c>
      <c r="E37" s="32">
        <f t="shared" si="7"/>
        <v>0</v>
      </c>
      <c r="F37" s="33"/>
      <c r="G37" s="34">
        <f t="shared" si="8"/>
        <v>1250.78</v>
      </c>
      <c r="H37" s="35">
        <f t="shared" si="9"/>
        <v>1250.78</v>
      </c>
      <c r="I37" s="36">
        <v>1250.78</v>
      </c>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t="str">
        <f t="shared" si="13"/>
        <v>25-2910</v>
      </c>
      <c r="AY37" s="39">
        <f t="shared" si="14"/>
        <v>0</v>
      </c>
      <c r="AZ37" s="32">
        <f t="shared" si="15"/>
        <v>1250.78</v>
      </c>
      <c r="BA37" s="32">
        <f t="shared" si="16"/>
        <v>1250.78</v>
      </c>
      <c r="BB37" s="32">
        <f t="shared" si="17"/>
        <v>1250.78</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t="s">
        <v>3396</v>
      </c>
      <c r="D38" s="1625" t="s">
        <v>3401</v>
      </c>
      <c r="E38" s="32">
        <f t="shared" si="7"/>
        <v>0</v>
      </c>
      <c r="F38" s="33"/>
      <c r="G38" s="34">
        <f t="shared" si="8"/>
        <v>1250.78</v>
      </c>
      <c r="H38" s="35">
        <f t="shared" si="9"/>
        <v>1250.78</v>
      </c>
      <c r="I38" s="36">
        <v>1250.78</v>
      </c>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t="str">
        <f t="shared" si="13"/>
        <v>26-3010</v>
      </c>
      <c r="AY38" s="39">
        <f t="shared" si="14"/>
        <v>0</v>
      </c>
      <c r="AZ38" s="32">
        <f t="shared" si="15"/>
        <v>1250.78</v>
      </c>
      <c r="BA38" s="32">
        <f t="shared" si="16"/>
        <v>1250.78</v>
      </c>
      <c r="BB38" s="32">
        <f t="shared" si="17"/>
        <v>1250.78</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t="s">
        <v>3397</v>
      </c>
      <c r="D39" s="1625" t="s">
        <v>3401</v>
      </c>
      <c r="E39" s="32">
        <f t="shared" si="7"/>
        <v>0</v>
      </c>
      <c r="F39" s="33"/>
      <c r="G39" s="34">
        <f t="shared" si="8"/>
        <v>1250.78</v>
      </c>
      <c r="H39" s="35">
        <f t="shared" si="9"/>
        <v>1250.78</v>
      </c>
      <c r="I39" s="36">
        <v>1250.78</v>
      </c>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t="str">
        <f t="shared" si="13"/>
        <v>27-3110</v>
      </c>
      <c r="AY39" s="39">
        <f t="shared" si="14"/>
        <v>0</v>
      </c>
      <c r="AZ39" s="32">
        <f t="shared" si="15"/>
        <v>1250.78</v>
      </c>
      <c r="BA39" s="32">
        <f t="shared" si="16"/>
        <v>1250.78</v>
      </c>
      <c r="BB39" s="32">
        <f t="shared" si="17"/>
        <v>1250.78</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t="s">
        <v>3398</v>
      </c>
      <c r="D40" s="1625" t="s">
        <v>3401</v>
      </c>
      <c r="E40" s="32">
        <f t="shared" si="7"/>
        <v>0</v>
      </c>
      <c r="F40" s="33"/>
      <c r="G40" s="34">
        <f t="shared" si="8"/>
        <v>356.32</v>
      </c>
      <c r="H40" s="35">
        <f t="shared" si="9"/>
        <v>356.32</v>
      </c>
      <c r="I40" s="36">
        <v>356.32</v>
      </c>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t="str">
        <f t="shared" si="13"/>
        <v>27层附属</v>
      </c>
      <c r="AY40" s="39">
        <f t="shared" si="14"/>
        <v>0</v>
      </c>
      <c r="AZ40" s="32">
        <f t="shared" si="15"/>
        <v>356.32</v>
      </c>
      <c r="BA40" s="32">
        <f t="shared" si="16"/>
        <v>356.32</v>
      </c>
      <c r="BB40" s="32">
        <f t="shared" si="17"/>
        <v>356.32</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438" t="s">
        <v>3400</v>
      </c>
      <c r="D41" s="1625" t="s">
        <v>3401</v>
      </c>
      <c r="E41" s="32">
        <f t="shared" si="7"/>
        <v>0</v>
      </c>
      <c r="F41" s="33"/>
      <c r="G41" s="34">
        <f t="shared" si="8"/>
        <v>6149.2</v>
      </c>
      <c r="H41" s="35">
        <f t="shared" si="9"/>
        <v>6149.2</v>
      </c>
      <c r="I41" s="36"/>
      <c r="J41" s="36"/>
      <c r="K41" s="36">
        <v>6149.2</v>
      </c>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t="str">
        <f t="shared" si="13"/>
        <v>车库</v>
      </c>
      <c r="AY41" s="39">
        <f t="shared" si="14"/>
        <v>0</v>
      </c>
      <c r="AZ41" s="32">
        <f t="shared" si="15"/>
        <v>6149.2</v>
      </c>
      <c r="BA41" s="32">
        <f t="shared" si="16"/>
        <v>6149.2</v>
      </c>
      <c r="BB41" s="32">
        <f t="shared" si="17"/>
        <v>0</v>
      </c>
      <c r="BC41" s="32">
        <f t="shared" si="18"/>
        <v>6149.2</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26"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774" t="s">
        <v>1131</v>
      </c>
      <c r="B2" s="3774"/>
      <c r="C2" s="3774"/>
      <c r="D2" s="796" t="s">
        <v>1107</v>
      </c>
      <c r="E2" s="1639" t="s">
        <v>1108</v>
      </c>
      <c r="F2" s="2636"/>
      <c r="G2" s="2627"/>
      <c r="H2" s="2628"/>
      <c r="I2" s="2325" t="s">
        <v>1132</v>
      </c>
      <c r="J2" s="2636"/>
      <c r="K2" s="2636"/>
      <c r="L2" s="2636"/>
      <c r="M2" s="2636"/>
      <c r="N2" s="2638"/>
      <c r="O2" s="2636"/>
      <c r="P2" s="2636"/>
    </row>
    <row r="3" spans="1:16" ht="15.75" thickBot="1">
      <c r="A3" s="3775" t="s">
        <v>1105</v>
      </c>
      <c r="B3" s="3775"/>
      <c r="C3" s="3775"/>
      <c r="D3" s="43">
        <f>'数据-基础表'!AY6</f>
        <v>0</v>
      </c>
      <c r="E3" s="43">
        <f>'数据-基础表'!AZ5</f>
        <v>48720.729999999974</v>
      </c>
      <c r="F3" s="2636"/>
      <c r="G3" s="1145"/>
      <c r="H3" s="1026" t="s">
        <v>1106</v>
      </c>
      <c r="I3" s="855" t="e">
        <f>ROUND('数据-基础表'!B3/'数据-基础表'!A3,2)</f>
        <v>#DIV/0!</v>
      </c>
      <c r="J3" s="2636"/>
      <c r="K3" s="2636"/>
      <c r="L3" s="2636"/>
      <c r="M3" s="2636"/>
      <c r="N3" s="2638"/>
      <c r="O3" s="2636"/>
      <c r="P3" s="2636"/>
    </row>
    <row r="4" spans="1:16" ht="15">
      <c r="A4" s="3776"/>
      <c r="B4" s="3777"/>
      <c r="C4" s="3778"/>
      <c r="D4" s="1641" t="s">
        <v>1107</v>
      </c>
      <c r="E4" s="1642" t="s">
        <v>1108</v>
      </c>
      <c r="F4" s="2636"/>
      <c r="G4" s="2629" t="s">
        <v>1133</v>
      </c>
      <c r="H4" s="1026" t="s">
        <v>1113</v>
      </c>
      <c r="I4" s="855" t="e">
        <f>ROUND(SUMIF('数据-基础表'!I9:AS9,"地上",'数据-基础表'!I5:AS5)/'数据-基础表'!A3,2)</f>
        <v>#DIV/0!</v>
      </c>
      <c r="J4" s="2636"/>
      <c r="K4" s="2636"/>
      <c r="L4" s="2636"/>
      <c r="M4" s="2636"/>
      <c r="N4" s="2638"/>
      <c r="O4" s="2636"/>
      <c r="P4" s="2636"/>
    </row>
    <row r="5" spans="1:16">
      <c r="A5" s="44" t="s">
        <v>1109</v>
      </c>
      <c r="B5" s="3779" t="s">
        <v>1110</v>
      </c>
      <c r="C5" s="3779"/>
      <c r="D5" s="45">
        <f>ROUND($D$3*E5/$E$3,2)</f>
        <v>0</v>
      </c>
      <c r="E5" s="46">
        <f>SUMIF('数据-基础表'!$11:$11,"住宅",'数据-基础表'!$5:$5)</f>
        <v>0</v>
      </c>
      <c r="F5" s="2636"/>
      <c r="G5" s="1145"/>
      <c r="H5" s="1026" t="s">
        <v>1106</v>
      </c>
      <c r="I5" s="855" t="e">
        <f>ROUND(E31/D31,2)</f>
        <v>#DIV/0!</v>
      </c>
      <c r="J5" s="2636"/>
      <c r="K5" s="2636"/>
      <c r="L5" s="2636"/>
      <c r="M5" s="2636"/>
      <c r="N5" s="2636"/>
      <c r="O5" s="2636"/>
      <c r="P5" s="2636"/>
    </row>
    <row r="6" spans="1:16" ht="15" thickBot="1">
      <c r="A6" s="1644"/>
      <c r="B6" s="3779" t="s">
        <v>1111</v>
      </c>
      <c r="C6" s="3779"/>
      <c r="D6" s="45">
        <f>ROUND($D$3*E6/$E$3,2)</f>
        <v>0</v>
      </c>
      <c r="E6" s="46">
        <f>E3-E5</f>
        <v>48720.729999999974</v>
      </c>
      <c r="F6" s="2636"/>
      <c r="G6" s="2630" t="s">
        <v>1112</v>
      </c>
      <c r="H6" s="1146" t="s">
        <v>1113</v>
      </c>
      <c r="I6" s="2631" t="e">
        <f>ROUND(F31/D31,2)</f>
        <v>#DIV/0!</v>
      </c>
      <c r="J6" s="2636"/>
      <c r="K6" s="2636"/>
      <c r="L6" s="2636"/>
      <c r="M6" s="2636"/>
      <c r="N6" s="2636"/>
      <c r="O6" s="2636"/>
      <c r="P6" s="2636"/>
    </row>
    <row r="7" spans="1:16" ht="15.75" thickBot="1">
      <c r="A7" s="3771"/>
      <c r="B7" s="3772"/>
      <c r="C7" s="3773"/>
      <c r="D7" s="1641" t="s">
        <v>1107</v>
      </c>
      <c r="E7" s="1645" t="s">
        <v>1114</v>
      </c>
      <c r="F7" s="2636"/>
      <c r="G7" s="2632" t="s">
        <v>1115</v>
      </c>
      <c r="H7" s="2633"/>
      <c r="I7" s="2634"/>
      <c r="J7" s="2636"/>
      <c r="K7" s="2636"/>
      <c r="L7" s="2636"/>
      <c r="M7" s="2636"/>
      <c r="N7" s="2636"/>
      <c r="O7" s="2636"/>
      <c r="P7" s="2636"/>
    </row>
    <row r="8" spans="1:16">
      <c r="A8" s="44" t="s">
        <v>1116</v>
      </c>
      <c r="B8" s="47" t="s">
        <v>1117</v>
      </c>
      <c r="C8" s="45" t="s">
        <v>1118</v>
      </c>
      <c r="D8" s="45">
        <f t="shared" ref="D8:D15" si="0">ROUND($D$3*E8/$E$3,2)</f>
        <v>0</v>
      </c>
      <c r="E8" s="48">
        <f>SUMIF('数据-基础表'!BB10:BK10,"地上",'数据-基础表'!BB5:BK5)</f>
        <v>42571.529999999977</v>
      </c>
      <c r="F8" s="2636"/>
      <c r="G8" s="2637"/>
      <c r="H8" s="2637"/>
      <c r="I8" s="2636"/>
      <c r="J8" s="2636"/>
      <c r="K8" s="2636"/>
      <c r="L8" s="2636"/>
      <c r="M8" s="2636"/>
      <c r="N8" s="2636"/>
      <c r="O8" s="2636"/>
      <c r="P8" s="2636"/>
    </row>
    <row r="9" spans="1:16">
      <c r="A9" s="1646"/>
      <c r="B9" s="1647"/>
      <c r="C9" s="45" t="s">
        <v>1119</v>
      </c>
      <c r="D9" s="45">
        <f t="shared" si="0"/>
        <v>0</v>
      </c>
      <c r="E9" s="49">
        <v>0</v>
      </c>
      <c r="F9" s="2636"/>
      <c r="G9" s="2637"/>
      <c r="H9" s="2637"/>
      <c r="I9" s="2636"/>
      <c r="J9" s="2636"/>
      <c r="K9" s="2636"/>
      <c r="L9" s="2636"/>
      <c r="M9" s="2636"/>
      <c r="N9" s="2636"/>
      <c r="O9" s="2636"/>
      <c r="P9" s="2636"/>
    </row>
    <row r="10" spans="1:16">
      <c r="A10" s="1646"/>
      <c r="B10" s="1647"/>
      <c r="C10" s="45" t="s">
        <v>1128</v>
      </c>
      <c r="D10" s="45">
        <f t="shared" si="0"/>
        <v>0</v>
      </c>
      <c r="E10" s="48">
        <f>SUMPRODUCT(('数据-基础表'!BB10:BK10="地下")*('数据-基础表'!BB11:BK11="商业")*('数据-基础表'!BB5:BK5))</f>
        <v>0</v>
      </c>
      <c r="F10" s="2636"/>
      <c r="G10" s="2637"/>
      <c r="H10" s="2637"/>
      <c r="I10" s="2636"/>
      <c r="J10" s="2636"/>
      <c r="K10" s="2636"/>
      <c r="L10" s="2636"/>
      <c r="M10" s="2636"/>
      <c r="N10" s="2636"/>
      <c r="O10" s="2636"/>
      <c r="P10" s="2636"/>
    </row>
    <row r="11" spans="1:16">
      <c r="A11" s="1646"/>
      <c r="B11" s="1647"/>
      <c r="C11" s="45" t="s">
        <v>1120</v>
      </c>
      <c r="D11" s="45">
        <f t="shared" si="0"/>
        <v>0</v>
      </c>
      <c r="E11" s="48">
        <f>SUMPRODUCT(('数据-基础表'!BB10:BK10="地下")*('数据-基础表'!BB11:BK11="办公")*('数据-基础表'!BB5:BK5))+'数据-基础表'!BP5</f>
        <v>0</v>
      </c>
      <c r="F11" s="2636"/>
      <c r="G11" s="2637"/>
      <c r="H11" s="2637"/>
      <c r="I11" s="2636"/>
      <c r="J11" s="2636"/>
      <c r="K11" s="2636"/>
      <c r="L11" s="2636"/>
      <c r="M11" s="2636"/>
      <c r="N11" s="2636"/>
      <c r="O11" s="2636"/>
      <c r="P11" s="2636"/>
    </row>
    <row r="12" spans="1:16">
      <c r="A12" s="1646"/>
      <c r="B12" s="1647"/>
      <c r="C12" s="45" t="s">
        <v>1121</v>
      </c>
      <c r="D12" s="45">
        <f t="shared" si="0"/>
        <v>0</v>
      </c>
      <c r="E12" s="48">
        <f>SUMPRODUCT(('数据-基础表'!BB10:BK10="地下")*('数据-基础表'!BB11:BK11="仓储")*('数据-基础表'!BB5:BK5))</f>
        <v>0</v>
      </c>
      <c r="F12" s="2636"/>
      <c r="G12" s="2637"/>
      <c r="H12" s="2637"/>
      <c r="I12" s="2636"/>
      <c r="J12" s="2636"/>
      <c r="K12" s="2636"/>
      <c r="L12" s="2636"/>
      <c r="M12" s="2636"/>
      <c r="N12" s="2636"/>
      <c r="O12" s="2636"/>
      <c r="P12" s="2636"/>
    </row>
    <row r="13" spans="1:16">
      <c r="A13" s="1646"/>
      <c r="B13" s="1647"/>
      <c r="C13" s="45" t="s">
        <v>1122</v>
      </c>
      <c r="D13" s="45">
        <f t="shared" si="0"/>
        <v>0</v>
      </c>
      <c r="E13" s="48">
        <f>SUMPRODUCT(('数据-基础表'!BB10:BK10="地下")*('数据-基础表'!BB11:BK11="车库")*('数据-基础表'!BB5:BK5))</f>
        <v>6149.2</v>
      </c>
      <c r="F13" s="2636"/>
      <c r="G13" s="2637"/>
      <c r="H13" s="2637"/>
      <c r="I13" s="2636"/>
      <c r="J13" s="2636"/>
      <c r="K13" s="2636"/>
      <c r="L13" s="2636"/>
      <c r="M13" s="2636"/>
      <c r="N13" s="2636"/>
      <c r="O13" s="2636"/>
      <c r="P13" s="2636"/>
    </row>
    <row r="14" spans="1:16">
      <c r="A14" s="1646"/>
      <c r="B14" s="1647"/>
      <c r="C14" s="45" t="s">
        <v>1134</v>
      </c>
      <c r="D14" s="45">
        <f t="shared" si="0"/>
        <v>0</v>
      </c>
      <c r="E14" s="48">
        <f>SUMPRODUCT(('数据-基础表'!BB10:BK10="地下")*('数据-基础表'!BB11:BK11="车库—商业")*('数据-基础表'!BB5:BK5))</f>
        <v>0</v>
      </c>
      <c r="F14" s="2636"/>
      <c r="G14" s="2637"/>
      <c r="H14" s="2637"/>
      <c r="I14" s="2636"/>
      <c r="J14" s="2636"/>
      <c r="K14" s="2636"/>
      <c r="L14" s="2636"/>
      <c r="M14" s="2636"/>
      <c r="N14" s="2636"/>
      <c r="O14" s="2636"/>
      <c r="P14" s="2636"/>
    </row>
    <row r="15" spans="1:16" ht="15" thickBot="1">
      <c r="A15" s="1646"/>
      <c r="B15" s="1647"/>
      <c r="C15" s="45" t="s">
        <v>1129</v>
      </c>
      <c r="D15" s="45">
        <f t="shared" si="0"/>
        <v>0</v>
      </c>
      <c r="E15" s="48">
        <f>SUMPRODUCT(('数据-基础表'!BB10:BK10="地下")*('数据-基础表'!BB11:BK11="车库—办公")*('数据-基础表'!BB5:BK5))</f>
        <v>0</v>
      </c>
      <c r="F15" s="2636"/>
      <c r="G15" s="2637"/>
      <c r="H15" s="2637"/>
      <c r="I15" s="2636"/>
      <c r="J15" s="2636"/>
      <c r="K15" s="2636"/>
      <c r="L15" s="2636"/>
      <c r="M15" s="2636"/>
      <c r="N15" s="2636"/>
      <c r="O15" s="2636"/>
      <c r="P15" s="2636"/>
    </row>
    <row r="16" spans="1:16" ht="15.75" thickBot="1">
      <c r="A16" s="1644"/>
      <c r="B16" s="1647"/>
      <c r="C16" s="47" t="s">
        <v>1123</v>
      </c>
      <c r="D16" s="47">
        <f>SUM(D8:D15)</f>
        <v>0</v>
      </c>
      <c r="E16" s="50">
        <f>SUM(E8:E15)</f>
        <v>48720.729999999974</v>
      </c>
      <c r="F16" s="2636"/>
      <c r="G16" s="2637"/>
      <c r="H16" s="1648" t="s">
        <v>1135</v>
      </c>
      <c r="I16" s="1649"/>
      <c r="J16" s="1139"/>
      <c r="K16" s="3768" t="s">
        <v>1135</v>
      </c>
      <c r="L16" s="3769"/>
      <c r="M16" s="3769"/>
      <c r="N16" s="3769"/>
      <c r="O16" s="3769"/>
      <c r="P16" s="3770"/>
    </row>
    <row r="17" spans="1:19" ht="15">
      <c r="A17" s="1650" t="s">
        <v>1136</v>
      </c>
      <c r="B17" s="1651" t="s">
        <v>1137</v>
      </c>
      <c r="C17" s="1652" t="s">
        <v>1138</v>
      </c>
      <c r="D17" s="1653" t="s">
        <v>1126</v>
      </c>
      <c r="E17" s="1654" t="s">
        <v>1127</v>
      </c>
      <c r="F17" s="1655"/>
      <c r="G17" s="1656"/>
      <c r="H17" s="1657" t="s">
        <v>1139</v>
      </c>
      <c r="I17" s="1658" t="s">
        <v>1124</v>
      </c>
      <c r="J17" s="1139"/>
      <c r="K17" s="3765" t="s">
        <v>1140</v>
      </c>
      <c r="L17" s="3766"/>
      <c r="M17" s="3767"/>
      <c r="N17" s="3765" t="s">
        <v>1141</v>
      </c>
      <c r="O17" s="3766"/>
      <c r="P17" s="3767"/>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394" t="s">
        <v>3402</v>
      </c>
      <c r="D19" s="45">
        <f>ROUND($D$3*E19/$E$3,2)</f>
        <v>0</v>
      </c>
      <c r="E19" s="53">
        <f t="shared" ref="E19:E26" si="1">SUM(F19:G19)</f>
        <v>42571.529999999977</v>
      </c>
      <c r="F19" s="2772">
        <f>'数据-基础表'!I5</f>
        <v>42571.529999999977</v>
      </c>
      <c r="G19" s="2773"/>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42571.529999999977</v>
      </c>
    </row>
    <row r="20" spans="1:19">
      <c r="A20" s="1670"/>
      <c r="B20" s="47" t="s">
        <v>1153</v>
      </c>
      <c r="C20" s="3394" t="s">
        <v>3403</v>
      </c>
      <c r="D20" s="45">
        <f t="shared" ref="D20:D26" si="6">ROUND($D$3*E20/$E$3,2)</f>
        <v>0</v>
      </c>
      <c r="E20" s="53">
        <f t="shared" si="1"/>
        <v>6149.2</v>
      </c>
      <c r="F20" s="2772"/>
      <c r="G20" s="2773">
        <f>'数据-基础表'!K5</f>
        <v>6149.2</v>
      </c>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6149.2</v>
      </c>
    </row>
    <row r="21" spans="1:19">
      <c r="A21" s="1670"/>
      <c r="B21" s="47" t="s">
        <v>1153</v>
      </c>
      <c r="C21" s="3394"/>
      <c r="D21" s="45">
        <f t="shared" si="6"/>
        <v>0</v>
      </c>
      <c r="E21" s="53">
        <f t="shared" si="1"/>
        <v>0</v>
      </c>
      <c r="F21" s="2772"/>
      <c r="G21" s="2773"/>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395"/>
      <c r="D22" s="45">
        <f t="shared" si="6"/>
        <v>0</v>
      </c>
      <c r="E22" s="53">
        <f t="shared" si="1"/>
        <v>0</v>
      </c>
      <c r="F22" s="2774"/>
      <c r="G22" s="2775"/>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395"/>
      <c r="D23" s="45">
        <f>ROUND($D$3*E23/$E$3,2)</f>
        <v>0</v>
      </c>
      <c r="E23" s="53">
        <f>SUM(F23:G23)</f>
        <v>0</v>
      </c>
      <c r="F23" s="2774"/>
      <c r="G23" s="2775"/>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395"/>
      <c r="D24" s="45">
        <f>ROUND($D$3*E24/$E$3,2)</f>
        <v>0</v>
      </c>
      <c r="E24" s="53">
        <f>SUM(F24:G24)</f>
        <v>0</v>
      </c>
      <c r="F24" s="2774"/>
      <c r="G24" s="2775"/>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395"/>
      <c r="D25" s="45">
        <f t="shared" si="6"/>
        <v>0</v>
      </c>
      <c r="E25" s="53">
        <f t="shared" si="1"/>
        <v>0</v>
      </c>
      <c r="F25" s="2774"/>
      <c r="G25" s="2775"/>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74"/>
      <c r="G26" s="2775"/>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48720.729999999974</v>
      </c>
      <c r="F27" s="1140">
        <f>IF(SUM(F19:F26)=E8,SUM(F19:F26),"地上面积有误")</f>
        <v>42571.529999999977</v>
      </c>
      <c r="G27" s="1142">
        <f>SUM(G19:G26)</f>
        <v>6149.2</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48720.729999999974</v>
      </c>
    </row>
    <row r="28" spans="1:19">
      <c r="A28" s="1670"/>
      <c r="B28" s="47" t="s">
        <v>1155</v>
      </c>
      <c r="C28" s="1038" t="s">
        <v>1156</v>
      </c>
      <c r="D28" s="45">
        <f>ROUND($D$3*E28/$E$3,2)</f>
        <v>0</v>
      </c>
      <c r="E28" s="53">
        <f>SUM(F28:G28)</f>
        <v>0</v>
      </c>
      <c r="F28" s="56">
        <f>'数据-基础表'!BQ5+'数据-基础表'!BS5</f>
        <v>0</v>
      </c>
      <c r="G28" s="57">
        <f>'数据-基础表'!BR5+'数据-基础表'!BT5</f>
        <v>0</v>
      </c>
      <c r="H28" s="2636"/>
      <c r="I28" s="2636"/>
      <c r="J28" s="2636"/>
      <c r="K28" s="2636"/>
      <c r="L28" s="2636"/>
      <c r="M28" s="2636"/>
      <c r="N28" s="2636"/>
      <c r="O28" s="2636"/>
      <c r="P28" s="2636"/>
    </row>
    <row r="29" spans="1:19">
      <c r="A29" s="1670"/>
      <c r="B29" s="47" t="s">
        <v>1155</v>
      </c>
      <c r="C29" s="1674" t="s">
        <v>1157</v>
      </c>
      <c r="D29" s="45">
        <f>ROUND($D$3*E29/$E$3,2)</f>
        <v>0</v>
      </c>
      <c r="E29" s="53">
        <f>SUM(F29:G29)</f>
        <v>0</v>
      </c>
      <c r="F29" s="58">
        <f>'数据-基础表'!BM5+'数据-基础表'!BO5</f>
        <v>0</v>
      </c>
      <c r="G29" s="59">
        <f>'数据-基础表'!BN5+'数据-基础表'!BP5</f>
        <v>0</v>
      </c>
      <c r="H29" s="2636"/>
      <c r="I29" s="2636"/>
      <c r="J29" s="2636"/>
      <c r="K29" s="2636"/>
      <c r="L29" s="2636"/>
      <c r="M29" s="2636"/>
      <c r="N29" s="2636"/>
      <c r="O29" s="2636"/>
      <c r="P29" s="2636"/>
    </row>
    <row r="30" spans="1:19" ht="15">
      <c r="A30" s="1670"/>
      <c r="B30" s="47"/>
      <c r="C30" s="1675" t="s">
        <v>1154</v>
      </c>
      <c r="D30" s="1140">
        <f>SUM(D28:D29)</f>
        <v>0</v>
      </c>
      <c r="E30" s="1140">
        <f>SUM(E28:E29)</f>
        <v>0</v>
      </c>
      <c r="F30" s="1140">
        <f>SUM(F28:F29)</f>
        <v>0</v>
      </c>
      <c r="G30" s="1142">
        <f>SUM(G28:G29)</f>
        <v>0</v>
      </c>
      <c r="H30" s="2636"/>
      <c r="I30" s="2636"/>
      <c r="J30" s="2636"/>
      <c r="K30" s="2636"/>
      <c r="L30" s="2636"/>
      <c r="M30" s="2636"/>
      <c r="N30" s="2636"/>
      <c r="O30" s="2636"/>
      <c r="P30" s="2636"/>
    </row>
    <row r="31" spans="1:19" ht="15.75" thickBot="1">
      <c r="A31" s="1676"/>
      <c r="B31" s="1677"/>
      <c r="C31" s="835" t="s">
        <v>1158</v>
      </c>
      <c r="D31" s="676">
        <f>D27+D30</f>
        <v>0</v>
      </c>
      <c r="E31" s="676">
        <f>E27+E30</f>
        <v>48720.729999999974</v>
      </c>
      <c r="F31" s="677">
        <f>F27+F30</f>
        <v>42571.529999999977</v>
      </c>
      <c r="G31" s="678">
        <f>G27+G30</f>
        <v>6149.2</v>
      </c>
      <c r="H31" s="2636"/>
      <c r="I31" s="2636"/>
      <c r="J31" s="2636"/>
      <c r="K31" s="2636"/>
      <c r="L31" s="2636"/>
      <c r="M31" s="2636"/>
      <c r="N31" s="2636"/>
      <c r="O31" s="2636"/>
      <c r="P31" s="2636"/>
    </row>
    <row r="32" spans="1:19">
      <c r="A32" s="1643"/>
      <c r="B32" s="1643" t="s">
        <v>1159</v>
      </c>
      <c r="C32" s="1643"/>
      <c r="D32" s="1643"/>
      <c r="E32" s="1053">
        <f>SUMIF(C19:C26,"*住宅*",E19:E26)</f>
        <v>0</v>
      </c>
      <c r="F32" s="1643"/>
      <c r="G32" s="1643"/>
      <c r="H32" s="2636"/>
      <c r="I32" s="2636"/>
      <c r="J32" s="2636"/>
      <c r="K32" s="2636"/>
      <c r="L32" s="2636"/>
      <c r="M32" s="2636"/>
      <c r="N32" s="2636"/>
      <c r="O32" s="2636"/>
      <c r="P32" s="2636"/>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AM7" sqref="AM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9.2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48"/>
      <c r="AO1" s="2648"/>
      <c r="AP1" s="2648"/>
      <c r="AQ1" s="2648"/>
      <c r="AR1" s="2648"/>
    </row>
    <row r="2" spans="1:67" s="1559" customFormat="1" ht="15.75" thickBot="1">
      <c r="A2" s="1683" t="s">
        <v>1161</v>
      </c>
      <c r="B2" s="1045">
        <f>项目基本情况!D3</f>
        <v>45287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50"/>
      <c r="AO2" s="2650"/>
      <c r="AP2" s="2650"/>
      <c r="AQ2" s="2650"/>
      <c r="AR2" s="2650"/>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50"/>
      <c r="AO3" s="2650"/>
      <c r="AP3" s="2650"/>
      <c r="AQ3" s="2650"/>
      <c r="AR3" s="2650"/>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35"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50"/>
      <c r="AO4" s="2650"/>
      <c r="AP4" s="2650"/>
      <c r="AQ4" s="2650"/>
      <c r="AR4" s="2650"/>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3404</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酒店</v>
      </c>
      <c r="B6" s="1713" t="str">
        <f>IF(A6=0,"","经营性")</f>
        <v>经营性</v>
      </c>
      <c r="C6" s="1714" t="s">
        <v>673</v>
      </c>
      <c r="D6" s="858">
        <f>SUMIF(项目基本情况!C$12:I$12,C6,项目基本情况!C$14:I$14)</f>
        <v>40</v>
      </c>
      <c r="E6" s="857">
        <f>IF(B6="","",SUMIF(项目基本情况!C$12:I$12,C6,项目基本情况!C$13:I$13))</f>
        <v>52187</v>
      </c>
      <c r="F6" s="64">
        <f>SUMIF(项目基本情况!C$12:I$12,C6,项目基本情况!C$15:I$15)</f>
        <v>18.899999999999999</v>
      </c>
      <c r="G6" s="65">
        <f>IF(ISERROR(ROUND(POWER(1+H6,D6-F6)*(POWER(1+H6,F6)-1)/(POWER(1+H6,D6)-1),3)),0,ROUND(POWER(1+H6,D6-F6)*(POWER(1+H6,F6)-1)/(POWER(1+H6,D6)-1),3))</f>
        <v>0.70199999999999996</v>
      </c>
      <c r="H6" s="732">
        <v>0.05</v>
      </c>
      <c r="I6" s="732">
        <v>5.5E-2</v>
      </c>
      <c r="J6" s="66">
        <v>7.0000000000000007E-2</v>
      </c>
      <c r="K6" s="1030">
        <f>SUMIF('数据-汇总表'!C$19:C$33,A6,'数据-汇总表'!E$19:E$33)</f>
        <v>42571.529999999977</v>
      </c>
      <c r="L6" s="733">
        <v>6000</v>
      </c>
      <c r="M6" s="67">
        <f t="shared" ref="M6:M14" si="0">ROUND(K6*L6/10000,0)</f>
        <v>25543</v>
      </c>
      <c r="N6" s="731">
        <f>N23</f>
        <v>0.85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05">
        <v>9</v>
      </c>
      <c r="V6" s="70">
        <v>2.5000000000000001E-2</v>
      </c>
      <c r="W6" s="70">
        <v>0.12</v>
      </c>
      <c r="X6" s="1040"/>
      <c r="Y6" s="71">
        <f>N6</f>
        <v>0.85</v>
      </c>
      <c r="Z6" s="72"/>
      <c r="AA6" s="66"/>
      <c r="AB6" s="66"/>
      <c r="AC6" s="1040"/>
      <c r="AD6" s="73"/>
      <c r="AE6" s="1041">
        <f ca="1">IF(AN6="",0,SUMIF(INDIRECT("'"&amp;AN6&amp;"'"&amp;"!E:E"),$AE$5,INDIRECT("'"&amp;AN6&amp;"'"&amp;"!F:F")))</f>
        <v>18.899999999999999</v>
      </c>
      <c r="AF6" s="1348"/>
      <c r="AG6" s="138">
        <f>IF(AF6="",0,AE6-AF6)</f>
        <v>0</v>
      </c>
      <c r="AH6" s="74">
        <f>'数据-基础表'!I5-'数据-基础表'!I40</f>
        <v>42215.209999999977</v>
      </c>
      <c r="AI6" s="76">
        <v>365</v>
      </c>
      <c r="AJ6" s="77"/>
      <c r="AK6" s="78">
        <v>1.4999999999999999E-2</v>
      </c>
      <c r="AL6" s="79">
        <v>1.5E-3</v>
      </c>
      <c r="AM6" s="80">
        <v>1.4999999999999999E-2</v>
      </c>
      <c r="AN6" s="1715" t="s">
        <v>3418</v>
      </c>
      <c r="AO6" s="52">
        <f ca="1">SUMIF(INDIRECT("'"&amp;AN6&amp;"'"&amp;"!A:A"),"总价",INDIRECT("'"&amp;AN6&amp;"'"&amp;"!B:B"))</f>
        <v>135731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车库</v>
      </c>
      <c r="B7" s="1713" t="str">
        <f t="shared" ref="B7:B13" si="1">IF(A7=0,"","经营性")</f>
        <v>经营性</v>
      </c>
      <c r="C7" s="1714" t="s">
        <v>3317</v>
      </c>
      <c r="D7" s="858">
        <f>SUMIF(项目基本情况!C$12:I$12,C7,项目基本情况!C$14:I$14)</f>
        <v>50</v>
      </c>
      <c r="E7" s="857">
        <f>IF(B7="","",SUMIF(项目基本情况!C$12:I$12,C7,项目基本情况!C$13:I$13))</f>
        <v>55840</v>
      </c>
      <c r="F7" s="64">
        <f>SUMIF(项目基本情况!C$12:I$12,C7,项目基本情况!C$15:I$15)</f>
        <v>28.91</v>
      </c>
      <c r="G7" s="65">
        <f t="shared" ref="G7:G11" si="2">IF(ISERROR(ROUND(POWER(1+H7,D7-F7)*(POWER(1+H7,F7)-1)/(POWER(1+H7,D7)-1),3)),0,ROUND(POWER(1+H7,D7-F7)*(POWER(1+H7,F7)-1)/(POWER(1+H7,D7)-1),3))</f>
        <v>0.80900000000000005</v>
      </c>
      <c r="H7" s="732">
        <v>4.4999999999999998E-2</v>
      </c>
      <c r="I7" s="732">
        <v>0.05</v>
      </c>
      <c r="J7" s="66">
        <f>J6</f>
        <v>7.0000000000000007E-2</v>
      </c>
      <c r="K7" s="1030">
        <f>SUMIF('数据-汇总表'!C$19:C$33,A7,'数据-汇总表'!E$19:E$33)</f>
        <v>6149.2</v>
      </c>
      <c r="L7" s="733">
        <v>5000</v>
      </c>
      <c r="M7" s="67">
        <f t="shared" si="0"/>
        <v>3075</v>
      </c>
      <c r="N7" s="731">
        <f>N6</f>
        <v>0.85</v>
      </c>
      <c r="O7" s="67" t="str">
        <f t="shared" ref="O7:O14" si="3">IF($N$5="成新度","——",ROUND(M7*N7,0))</f>
        <v>——</v>
      </c>
      <c r="P7" s="68" t="str">
        <f t="shared" ref="P7:P14" si="4">IF($N$5="成新度","——",M7-O7)</f>
        <v>——</v>
      </c>
      <c r="Q7" s="734">
        <v>0.05</v>
      </c>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05">
        <v>1000</v>
      </c>
      <c r="V7" s="70">
        <f>V6</f>
        <v>2.5000000000000001E-2</v>
      </c>
      <c r="W7" s="70">
        <v>0.1</v>
      </c>
      <c r="X7" s="1040"/>
      <c r="Y7" s="71">
        <f>Y6</f>
        <v>0.85</v>
      </c>
      <c r="Z7" s="72"/>
      <c r="AA7" s="66"/>
      <c r="AB7" s="66"/>
      <c r="AC7" s="1040"/>
      <c r="AD7" s="73"/>
      <c r="AE7" s="1041">
        <f t="shared" ref="AE7:AE13" ca="1" si="6">IF(AN7="",0,SUMIF(INDIRECT("'"&amp;AN7&amp;"'"&amp;"!E:E"),$AE$5,INDIRECT("'"&amp;AN7&amp;"'"&amp;"!F:F")))</f>
        <v>28.91</v>
      </c>
      <c r="AF7" s="1348"/>
      <c r="AG7" s="138">
        <f t="shared" ref="AG7:AG13" si="7">IF(AF7="",0,AE7-AF7)</f>
        <v>0</v>
      </c>
      <c r="AH7" s="74">
        <v>193</v>
      </c>
      <c r="AI7" s="76">
        <v>12</v>
      </c>
      <c r="AJ7" s="77"/>
      <c r="AK7" s="78">
        <v>5.0000000000000001E-3</v>
      </c>
      <c r="AL7" s="79">
        <v>1E-3</v>
      </c>
      <c r="AM7" s="80">
        <v>5.0000000000000001E-3</v>
      </c>
      <c r="AN7" s="1715" t="s">
        <v>3420</v>
      </c>
      <c r="AO7" s="52">
        <f t="shared" ref="AO7:AO13" ca="1" si="8">SUMIF(INDIRECT("'"&amp;AN7&amp;"'"&amp;"!A:A"),"总价",INDIRECT("'"&amp;AN7&amp;"'"&amp;"!B:B"))</f>
        <v>3187</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06"/>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05"/>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05"/>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05"/>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05"/>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07"/>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48"/>
      <c r="AO14" s="2650"/>
      <c r="AP14" s="2650"/>
      <c r="AQ14" s="2650"/>
      <c r="AR14" s="2650"/>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48"/>
      <c r="AO15" s="2650"/>
      <c r="AP15" s="2650"/>
      <c r="AQ15" s="2650"/>
      <c r="AR15" s="2650"/>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0.71599999999999997</v>
      </c>
      <c r="H16" s="90">
        <f>ROUND(SUMPRODUCT(H6:H13,K6:K13)/SUMPRODUCT((H6:H13&gt;0)*(K6:K13)),3)</f>
        <v>4.9000000000000002E-2</v>
      </c>
      <c r="I16" s="91"/>
      <c r="J16" s="91"/>
      <c r="K16" s="92">
        <f>SUM(K6:K15)</f>
        <v>48720.729999999974</v>
      </c>
      <c r="L16" s="93">
        <f>ROUND(M16*10000/SUM(K6:K14),0)</f>
        <v>5874</v>
      </c>
      <c r="M16" s="93">
        <f>SUM(M6:M14)</f>
        <v>28618</v>
      </c>
      <c r="N16" s="94">
        <f>ROUND(SUMPRODUCT(M6:M14,N6:N14)/M16,3)</f>
        <v>0.85</v>
      </c>
      <c r="O16" s="93">
        <f>SUM(O6:O14)</f>
        <v>0</v>
      </c>
      <c r="P16" s="93">
        <f>SUM(P6:P14)</f>
        <v>0</v>
      </c>
      <c r="Q16" s="95">
        <f>ROUND(SUMPRODUCT(Q6:Q13,K6:K13)/SUMPRODUCT((Q6:Q13&gt;0)*(K6:K13)),2)</f>
        <v>0.14000000000000001</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48"/>
      <c r="AO16" s="2650"/>
      <c r="AP16" s="2650"/>
      <c r="AQ16" s="2650"/>
      <c r="AR16" s="2650"/>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59"/>
      <c r="C17" s="2648"/>
      <c r="D17" s="2652"/>
      <c r="E17" s="2652"/>
      <c r="F17" s="2648"/>
      <c r="G17" s="2648"/>
      <c r="H17" s="2648"/>
      <c r="I17" s="2648"/>
      <c r="J17" s="2648"/>
      <c r="K17" s="2649"/>
      <c r="L17" s="2649"/>
      <c r="M17" s="2648"/>
      <c r="N17" s="2648"/>
      <c r="O17" s="2648"/>
      <c r="P17" s="2648"/>
      <c r="Q17" s="2648"/>
      <c r="R17" s="2648"/>
      <c r="S17" s="2648"/>
      <c r="T17" s="2648"/>
      <c r="U17" s="2648"/>
      <c r="V17" s="2648"/>
      <c r="W17" s="2648"/>
      <c r="X17" s="2648"/>
      <c r="Y17" s="2648"/>
      <c r="Z17" s="2648"/>
      <c r="AA17" s="2648"/>
      <c r="AB17" s="2648"/>
      <c r="AC17" s="2648"/>
      <c r="AD17" s="2648"/>
      <c r="AE17" s="2648"/>
      <c r="AF17" s="2648"/>
      <c r="AG17" s="2648"/>
      <c r="AH17" s="2648"/>
      <c r="AI17" s="2648"/>
      <c r="AJ17" s="2648"/>
      <c r="AK17" s="2648"/>
      <c r="AL17" s="2648"/>
      <c r="AM17" s="2648"/>
      <c r="AN17" s="2648"/>
      <c r="AO17" s="2648"/>
      <c r="AP17" s="2648"/>
      <c r="AQ17" s="2648"/>
      <c r="AR17" s="2648"/>
    </row>
    <row r="18" spans="1:67" ht="15" thickBot="1">
      <c r="A18" s="60" t="s">
        <v>1210</v>
      </c>
      <c r="B18" s="2662"/>
      <c r="C18" s="2650"/>
      <c r="D18" s="2653"/>
      <c r="E18" s="2650"/>
      <c r="F18" s="2650"/>
      <c r="G18" s="2650"/>
      <c r="H18" s="2650"/>
      <c r="I18" s="2650"/>
      <c r="J18" s="2650"/>
      <c r="K18" s="2649"/>
      <c r="L18" s="2649"/>
      <c r="M18" s="2648"/>
      <c r="N18" s="2648"/>
      <c r="O18" s="2648"/>
      <c r="P18" s="2648"/>
      <c r="Q18" s="2648"/>
      <c r="R18" s="2648"/>
      <c r="S18" s="2648"/>
      <c r="T18" s="2648"/>
      <c r="U18" s="2648"/>
      <c r="V18" s="2648"/>
      <c r="W18" s="2648"/>
      <c r="X18" s="2648"/>
      <c r="Y18" s="2648"/>
      <c r="Z18" s="2648"/>
      <c r="AA18" s="2648"/>
      <c r="AB18" s="2648"/>
      <c r="AC18" s="2648"/>
      <c r="AD18" s="2648"/>
      <c r="AE18" s="2648"/>
      <c r="AF18" s="2648"/>
      <c r="AG18" s="2648"/>
      <c r="AH18" s="2648"/>
      <c r="AI18" s="2648"/>
      <c r="AJ18" s="2648"/>
      <c r="AK18" s="2648"/>
      <c r="AL18" s="2648"/>
      <c r="AM18" s="2648"/>
      <c r="AN18" s="2648"/>
      <c r="AO18" s="2648"/>
      <c r="AP18" s="2648"/>
      <c r="AQ18" s="2648"/>
      <c r="AR18" s="2648"/>
    </row>
    <row r="19" spans="1:67" ht="14.25">
      <c r="A19" s="1722" t="s">
        <v>1211</v>
      </c>
      <c r="B19" s="103">
        <v>0</v>
      </c>
      <c r="C19" s="2776" t="s">
        <v>2285</v>
      </c>
      <c r="D19" s="2653"/>
      <c r="E19" s="2650"/>
      <c r="F19" s="2650"/>
      <c r="G19" s="2650"/>
      <c r="H19" s="2650"/>
      <c r="I19" s="2650"/>
      <c r="J19" s="2650"/>
      <c r="K19" s="2649"/>
      <c r="L19" s="2649"/>
      <c r="M19" s="2648"/>
      <c r="N19" s="2648"/>
      <c r="O19" s="2648"/>
      <c r="P19" s="2648"/>
      <c r="Q19" s="2648"/>
      <c r="R19" s="2648"/>
      <c r="S19" s="2648"/>
      <c r="T19" s="2648"/>
      <c r="U19" s="2648"/>
      <c r="V19" s="2648"/>
      <c r="W19" s="2648"/>
      <c r="X19" s="2648"/>
      <c r="Y19" s="2648"/>
      <c r="Z19" s="2648"/>
      <c r="AA19" s="2648"/>
      <c r="AB19" s="2648"/>
      <c r="AC19" s="2648"/>
      <c r="AD19" s="2648"/>
      <c r="AE19" s="2648"/>
      <c r="AF19" s="2648"/>
      <c r="AG19" s="2648"/>
      <c r="AH19" s="2648"/>
      <c r="AI19" s="2648"/>
      <c r="AJ19" s="2648"/>
      <c r="AK19" s="2648"/>
      <c r="AL19" s="2648"/>
      <c r="AM19" s="2648"/>
      <c r="AN19" s="2648"/>
      <c r="AO19" s="2648"/>
      <c r="AP19" s="2648"/>
      <c r="AQ19" s="2648"/>
      <c r="AR19" s="2648"/>
    </row>
    <row r="20" spans="1:67" ht="14.25">
      <c r="A20" s="1723" t="s">
        <v>1212</v>
      </c>
      <c r="B20" s="104">
        <v>2</v>
      </c>
      <c r="C20" s="2777" t="s">
        <v>2283</v>
      </c>
      <c r="D20" s="2653"/>
      <c r="E20" s="2650"/>
      <c r="F20" s="2650"/>
      <c r="G20" s="2650"/>
      <c r="H20" s="2650"/>
      <c r="I20" s="2650"/>
      <c r="J20" s="2650"/>
      <c r="K20" s="2649"/>
      <c r="L20" s="2649"/>
      <c r="M20" s="2648"/>
      <c r="N20" s="2648">
        <v>2008</v>
      </c>
      <c r="O20" s="2648"/>
      <c r="P20" s="2648"/>
      <c r="Q20" s="2648"/>
      <c r="R20" s="2648"/>
      <c r="S20" s="2648"/>
      <c r="T20" s="2648"/>
      <c r="U20" s="2648"/>
      <c r="V20" s="2648"/>
      <c r="W20" s="2648"/>
      <c r="X20" s="2648"/>
      <c r="Y20" s="2648"/>
      <c r="Z20" s="2648"/>
      <c r="AA20" s="2648"/>
      <c r="AB20" s="2648"/>
      <c r="AC20" s="2648"/>
      <c r="AD20" s="2648"/>
      <c r="AE20" s="2648"/>
      <c r="AF20" s="2648"/>
      <c r="AG20" s="2648"/>
      <c r="AH20" s="2648"/>
      <c r="AI20" s="2648"/>
      <c r="AJ20" s="2648"/>
      <c r="AK20" s="2648"/>
      <c r="AL20" s="2648"/>
      <c r="AM20" s="2648"/>
      <c r="AN20" s="2648"/>
      <c r="AO20" s="2648"/>
      <c r="AP20" s="2648"/>
      <c r="AQ20" s="2648"/>
      <c r="AR20" s="2648"/>
    </row>
    <row r="21" spans="1:67" ht="14.25">
      <c r="A21" s="1724" t="s">
        <v>1213</v>
      </c>
      <c r="B21" s="104">
        <f>B20</f>
        <v>2</v>
      </c>
      <c r="C21" s="2650"/>
      <c r="D21" s="2653"/>
      <c r="E21" s="2650"/>
      <c r="F21" s="2650"/>
      <c r="G21" s="2650"/>
      <c r="H21" s="2650"/>
      <c r="I21" s="2650"/>
      <c r="J21" s="2650"/>
      <c r="K21" s="2649"/>
      <c r="L21" s="2649"/>
      <c r="M21" s="3582" t="s">
        <v>3822</v>
      </c>
      <c r="N21" s="2648">
        <f>ROUND(1-(1-0%)*(2023-N20)/60,2)</f>
        <v>0.75</v>
      </c>
      <c r="O21" s="2648"/>
      <c r="P21" s="2648"/>
      <c r="Q21" s="2648"/>
      <c r="R21" s="2648"/>
      <c r="S21" s="2648"/>
      <c r="T21" s="2648"/>
      <c r="U21" s="2648"/>
      <c r="V21" s="2648"/>
      <c r="W21" s="2648"/>
      <c r="X21" s="2648"/>
      <c r="Y21" s="2648"/>
      <c r="Z21" s="2648"/>
      <c r="AA21" s="2648"/>
      <c r="AB21" s="2648"/>
      <c r="AC21" s="2648"/>
      <c r="AD21" s="2648"/>
      <c r="AE21" s="2648"/>
      <c r="AF21" s="2648"/>
      <c r="AG21" s="2648"/>
      <c r="AH21" s="2648"/>
      <c r="AI21" s="2648"/>
      <c r="AJ21" s="2648"/>
      <c r="AK21" s="2648"/>
      <c r="AL21" s="2648"/>
      <c r="AM21" s="2648"/>
      <c r="AN21" s="2648"/>
      <c r="AO21" s="2648"/>
      <c r="AP21" s="2648"/>
      <c r="AQ21" s="2648"/>
      <c r="AR21" s="2648"/>
    </row>
    <row r="22" spans="1:67" ht="14.25">
      <c r="A22" s="1723" t="s">
        <v>1214</v>
      </c>
      <c r="B22" s="105">
        <f>B19+B20</f>
        <v>2</v>
      </c>
      <c r="C22" s="2650"/>
      <c r="D22" s="2653"/>
      <c r="E22" s="2650"/>
      <c r="F22" s="2650"/>
      <c r="G22" s="2650"/>
      <c r="H22" s="2650"/>
      <c r="I22" s="2650"/>
      <c r="J22" s="2650"/>
      <c r="K22" s="2649"/>
      <c r="L22" s="2649"/>
      <c r="M22" s="3582" t="s">
        <v>3823</v>
      </c>
      <c r="N22" s="3583">
        <v>0.95</v>
      </c>
      <c r="O22" s="2648"/>
      <c r="P22" s="2648"/>
      <c r="Q22" s="2648"/>
      <c r="R22" s="2648"/>
      <c r="S22" s="2648"/>
      <c r="T22" s="2648"/>
      <c r="U22" s="2648"/>
      <c r="V22" s="2648"/>
      <c r="W22" s="2648"/>
      <c r="X22" s="2648"/>
      <c r="Y22" s="2648"/>
      <c r="Z22" s="2648"/>
      <c r="AA22" s="2648"/>
      <c r="AB22" s="2648"/>
      <c r="AC22" s="2648"/>
      <c r="AD22" s="2648"/>
      <c r="AE22" s="2648"/>
      <c r="AF22" s="2648"/>
      <c r="AG22" s="2648"/>
      <c r="AH22" s="2648"/>
      <c r="AI22" s="2648"/>
      <c r="AJ22" s="2648"/>
      <c r="AK22" s="2648"/>
      <c r="AL22" s="2648"/>
      <c r="AM22" s="2648"/>
      <c r="AN22" s="2648"/>
      <c r="AO22" s="2648"/>
      <c r="AP22" s="2648"/>
      <c r="AQ22" s="2648"/>
      <c r="AR22" s="2648"/>
    </row>
    <row r="23" spans="1:67" ht="14.25">
      <c r="A23" s="1724" t="s">
        <v>1215</v>
      </c>
      <c r="B23" s="105">
        <f>B19+B21</f>
        <v>2</v>
      </c>
      <c r="C23" s="2650"/>
      <c r="D23" s="2653"/>
      <c r="E23" s="2650"/>
      <c r="F23" s="2650"/>
      <c r="G23" s="2650"/>
      <c r="H23" s="2650"/>
      <c r="I23" s="2650"/>
      <c r="J23" s="2650"/>
      <c r="K23" s="2649"/>
      <c r="L23" s="2649"/>
      <c r="M23" s="2648"/>
      <c r="N23" s="2648">
        <f>ROUND((N22+N21)/2,2)</f>
        <v>0.85</v>
      </c>
      <c r="O23" s="2648"/>
      <c r="P23" s="2648"/>
      <c r="Q23" s="2648"/>
      <c r="R23" s="2648"/>
      <c r="S23" s="2648"/>
      <c r="T23" s="2648"/>
      <c r="U23" s="2648"/>
      <c r="V23" s="2648"/>
      <c r="W23" s="2648"/>
      <c r="X23" s="2648"/>
      <c r="Y23" s="2648"/>
      <c r="Z23" s="2648"/>
      <c r="AA23" s="2648"/>
      <c r="AB23" s="2648"/>
      <c r="AC23" s="2648"/>
      <c r="AD23" s="2648"/>
      <c r="AE23" s="2648"/>
      <c r="AF23" s="2648"/>
      <c r="AG23" s="2648"/>
      <c r="AH23" s="2648"/>
      <c r="AI23" s="2648"/>
      <c r="AJ23" s="2648"/>
      <c r="AK23" s="2648"/>
      <c r="AL23" s="2648"/>
      <c r="AM23" s="2648"/>
      <c r="AN23" s="2648"/>
      <c r="AO23" s="2648"/>
      <c r="AP23" s="2648"/>
      <c r="AQ23" s="2648"/>
      <c r="AR23" s="2648"/>
    </row>
    <row r="24" spans="1:67" ht="15" thickBot="1">
      <c r="A24" s="1725" t="s">
        <v>1216</v>
      </c>
      <c r="B24" s="106">
        <f>B20-B21</f>
        <v>0</v>
      </c>
      <c r="C24" s="2650"/>
      <c r="D24" s="2653"/>
      <c r="E24" s="2650"/>
      <c r="F24" s="2650"/>
      <c r="G24" s="2650"/>
      <c r="H24" s="2650"/>
      <c r="I24" s="2650"/>
      <c r="J24" s="2650"/>
      <c r="K24" s="2649"/>
      <c r="L24" s="2649"/>
      <c r="M24" s="2648"/>
      <c r="N24" s="2648"/>
      <c r="O24" s="2648"/>
      <c r="P24" s="2648"/>
      <c r="Q24" s="2648"/>
      <c r="R24" s="2648"/>
      <c r="S24" s="2648"/>
      <c r="T24" s="2648"/>
      <c r="U24" s="2648"/>
      <c r="V24" s="2648"/>
      <c r="W24" s="2648"/>
      <c r="X24" s="2648"/>
      <c r="Y24" s="2648"/>
      <c r="Z24" s="2648"/>
      <c r="AA24" s="2648"/>
      <c r="AB24" s="2648"/>
      <c r="AC24" s="2648"/>
      <c r="AD24" s="2648"/>
      <c r="AE24" s="2648"/>
      <c r="AF24" s="2648"/>
      <c r="AG24" s="2648"/>
      <c r="AH24" s="2648"/>
      <c r="AI24" s="2648"/>
      <c r="AJ24" s="2648"/>
      <c r="AK24" s="2648"/>
      <c r="AL24" s="2648"/>
      <c r="AM24" s="2648"/>
      <c r="AN24" s="2648"/>
      <c r="AO24" s="2648"/>
      <c r="AP24" s="2648"/>
      <c r="AQ24" s="2648"/>
      <c r="AR24" s="2648"/>
    </row>
    <row r="25" spans="1:67" ht="15" thickBot="1">
      <c r="A25" s="1557"/>
      <c r="B25" s="1687"/>
      <c r="C25" s="2650"/>
      <c r="D25" s="2653"/>
      <c r="E25" s="2650"/>
      <c r="F25" s="2650"/>
      <c r="G25" s="2650"/>
      <c r="H25" s="2650"/>
      <c r="I25" s="2650"/>
      <c r="J25" s="2650"/>
      <c r="K25" s="2649"/>
      <c r="L25" s="2649"/>
      <c r="M25" s="2648"/>
      <c r="N25" s="2648"/>
      <c r="O25" s="2648"/>
      <c r="P25" s="2648"/>
      <c r="Q25" s="2648"/>
      <c r="R25" s="2648"/>
      <c r="S25" s="2648"/>
      <c r="T25" s="2648"/>
      <c r="U25" s="2648"/>
      <c r="V25" s="2648"/>
      <c r="W25" s="2648"/>
      <c r="X25" s="2648"/>
      <c r="Y25" s="2648"/>
      <c r="Z25" s="2648"/>
      <c r="AA25" s="2648"/>
      <c r="AB25" s="2648"/>
      <c r="AC25" s="2648"/>
      <c r="AD25" s="2648"/>
      <c r="AE25" s="2648"/>
      <c r="AF25" s="2648"/>
      <c r="AG25" s="2648"/>
      <c r="AH25" s="2648"/>
      <c r="AI25" s="2648"/>
      <c r="AJ25" s="2648"/>
      <c r="AK25" s="2648"/>
      <c r="AL25" s="2648"/>
      <c r="AM25" s="2648"/>
      <c r="AN25" s="2648"/>
      <c r="AO25" s="2648"/>
      <c r="AP25" s="2648"/>
      <c r="AQ25" s="2648"/>
      <c r="AR25" s="2648"/>
    </row>
    <row r="26" spans="1:67" ht="15" thickBot="1">
      <c r="A26" s="1683" t="s">
        <v>1217</v>
      </c>
      <c r="B26" s="1726" t="s">
        <v>1218</v>
      </c>
      <c r="C26" s="2654" t="s">
        <v>1219</v>
      </c>
      <c r="D26" s="2653"/>
      <c r="E26" s="2650"/>
      <c r="F26" s="2650"/>
      <c r="G26" s="2650"/>
      <c r="H26" s="2650"/>
      <c r="I26" s="2649"/>
      <c r="J26" s="3646" t="s">
        <v>4987</v>
      </c>
      <c r="K26" s="3647" t="s">
        <v>4988</v>
      </c>
      <c r="L26" s="3647" t="s">
        <v>4989</v>
      </c>
      <c r="M26" s="2648"/>
      <c r="N26" s="2648"/>
      <c r="O26" s="2648"/>
      <c r="P26" s="2648"/>
      <c r="Q26" s="2648"/>
      <c r="R26" s="2648"/>
      <c r="S26" s="2648"/>
      <c r="T26" s="2648"/>
      <c r="U26" s="2648"/>
      <c r="V26" s="2648"/>
      <c r="W26" s="2648"/>
      <c r="X26" s="2648"/>
      <c r="Y26" s="2648"/>
      <c r="Z26" s="2648"/>
      <c r="AA26" s="2648"/>
      <c r="AB26" s="2648"/>
      <c r="AC26" s="2648"/>
      <c r="AD26" s="2648"/>
      <c r="AE26" s="2648"/>
      <c r="AF26" s="2648"/>
      <c r="AG26" s="2648"/>
      <c r="AH26" s="2648"/>
      <c r="AI26" s="2648"/>
      <c r="AJ26" s="2648"/>
      <c r="AK26" s="2648"/>
      <c r="AL26" s="2648"/>
      <c r="AM26" s="2648"/>
      <c r="AN26" s="2648"/>
      <c r="AO26" s="2648"/>
      <c r="AP26" s="2648"/>
      <c r="AQ26" s="2648"/>
      <c r="AR26" s="2648"/>
    </row>
    <row r="27" spans="1:67" s="1728" customFormat="1" ht="27.75">
      <c r="A27" s="1727" t="s">
        <v>1220</v>
      </c>
      <c r="B27" s="107">
        <v>160</v>
      </c>
      <c r="C27" s="2778" t="s">
        <v>2287</v>
      </c>
      <c r="D27" s="2656"/>
      <c r="E27" s="2638"/>
      <c r="F27" s="2638"/>
      <c r="G27" s="2650"/>
      <c r="H27" s="2650"/>
      <c r="I27" s="3648" t="s">
        <v>4990</v>
      </c>
      <c r="J27" s="3649"/>
      <c r="K27" s="3650">
        <f>K28+K31+K32</f>
        <v>5878.6396468197418</v>
      </c>
      <c r="L27" s="3649"/>
      <c r="M27" s="2648"/>
      <c r="N27" s="2648"/>
      <c r="O27" s="2648"/>
      <c r="P27" s="2648"/>
      <c r="Q27" s="2648"/>
      <c r="R27" s="2648"/>
      <c r="S27" s="2648"/>
      <c r="T27" s="2648"/>
      <c r="U27" s="2648"/>
      <c r="V27" s="2648"/>
      <c r="W27" s="2648"/>
      <c r="X27" s="2648"/>
      <c r="Y27" s="2648"/>
      <c r="Z27" s="2648"/>
      <c r="AA27" s="2648"/>
      <c r="AB27" s="2648"/>
      <c r="AC27" s="2648"/>
      <c r="AD27" s="2648"/>
      <c r="AE27" s="2648"/>
      <c r="AF27" s="2648"/>
      <c r="AG27" s="2648"/>
      <c r="AH27" s="2648"/>
      <c r="AI27" s="2648"/>
      <c r="AJ27" s="2648"/>
      <c r="AK27" s="2648"/>
      <c r="AL27" s="2648"/>
      <c r="AM27" s="2648"/>
      <c r="AN27" s="2648"/>
      <c r="AO27" s="2648"/>
      <c r="AP27" s="2648"/>
      <c r="AQ27" s="2648"/>
      <c r="AR27" s="264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57"/>
      <c r="D28" s="2656"/>
      <c r="E28" s="2638"/>
      <c r="F28" s="2638"/>
      <c r="G28" s="2650"/>
      <c r="H28" s="2650"/>
      <c r="I28" s="3651" t="s">
        <v>4991</v>
      </c>
      <c r="J28" s="3652">
        <f>J29+J30</f>
        <v>48720.729999999974</v>
      </c>
      <c r="K28" s="3653">
        <f>L28/J28</f>
        <v>2378.6396468197422</v>
      </c>
      <c r="L28" s="3654">
        <f>L29+L30</f>
        <v>115889059.99999996</v>
      </c>
      <c r="M28" s="2648"/>
      <c r="N28" s="2648"/>
      <c r="O28" s="2648"/>
      <c r="P28" s="2648"/>
      <c r="Q28" s="2648"/>
      <c r="R28" s="2648"/>
      <c r="S28" s="2648"/>
      <c r="T28" s="2648"/>
      <c r="U28" s="2648"/>
      <c r="V28" s="2648"/>
      <c r="W28" s="2648"/>
      <c r="X28" s="2648"/>
      <c r="Y28" s="2648"/>
      <c r="Z28" s="2648"/>
      <c r="AA28" s="2648"/>
      <c r="AB28" s="2648"/>
      <c r="AC28" s="2648"/>
      <c r="AD28" s="2648"/>
      <c r="AE28" s="2648"/>
      <c r="AF28" s="2648"/>
      <c r="AG28" s="2648"/>
      <c r="AH28" s="2648"/>
      <c r="AI28" s="2648"/>
      <c r="AJ28" s="2648"/>
      <c r="AK28" s="2648"/>
      <c r="AL28" s="2648"/>
      <c r="AM28" s="2648"/>
      <c r="AN28" s="2648"/>
      <c r="AO28" s="2648"/>
      <c r="AP28" s="2648"/>
      <c r="AQ28" s="2648"/>
      <c r="AR28" s="264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974</v>
      </c>
      <c r="C29" s="2779" t="s">
        <v>2274</v>
      </c>
      <c r="D29" s="2656"/>
      <c r="E29" s="2638"/>
      <c r="F29" s="2638"/>
      <c r="G29" s="2650"/>
      <c r="H29" s="2650"/>
      <c r="I29" s="3655" t="s">
        <v>4992</v>
      </c>
      <c r="J29" s="3656">
        <f>'数据-汇总表'!F31</f>
        <v>42571.529999999977</v>
      </c>
      <c r="K29" s="3654">
        <v>2000</v>
      </c>
      <c r="L29" s="3657">
        <f>K29*J29</f>
        <v>85143059.999999955</v>
      </c>
      <c r="M29" s="2648"/>
      <c r="N29" s="2648"/>
      <c r="O29" s="2648"/>
      <c r="P29" s="2648"/>
      <c r="Q29" s="2648"/>
      <c r="R29" s="2648"/>
      <c r="S29" s="2648"/>
      <c r="T29" s="2648"/>
      <c r="U29" s="2648"/>
      <c r="V29" s="2648"/>
      <c r="W29" s="2648"/>
      <c r="X29" s="2648"/>
      <c r="Y29" s="2648"/>
      <c r="Z29" s="2648"/>
      <c r="AA29" s="2648"/>
      <c r="AB29" s="2648"/>
      <c r="AC29" s="2648"/>
      <c r="AD29" s="2648"/>
      <c r="AE29" s="2648"/>
      <c r="AF29" s="2648"/>
      <c r="AG29" s="2648"/>
      <c r="AH29" s="2648"/>
      <c r="AI29" s="2648"/>
      <c r="AJ29" s="2648"/>
      <c r="AK29" s="2648"/>
      <c r="AL29" s="2648"/>
      <c r="AM29" s="2648"/>
      <c r="AN29" s="2648"/>
      <c r="AO29" s="2648"/>
      <c r="AP29" s="2648"/>
      <c r="AQ29" s="2648"/>
      <c r="AR29" s="264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57"/>
      <c r="D30" s="2656"/>
      <c r="E30" s="2638"/>
      <c r="F30" s="2638"/>
      <c r="G30" s="2650"/>
      <c r="H30" s="2650"/>
      <c r="I30" s="3655" t="s">
        <v>4993</v>
      </c>
      <c r="J30" s="3657">
        <f>'数据-汇总表'!G31</f>
        <v>6149.2</v>
      </c>
      <c r="K30" s="3654">
        <v>5000</v>
      </c>
      <c r="L30" s="3657">
        <f t="shared" ref="L30:L32" si="12">K30*J30</f>
        <v>30746000</v>
      </c>
      <c r="M30" s="2648"/>
      <c r="N30" s="2648"/>
      <c r="O30" s="2648"/>
      <c r="P30" s="2648"/>
      <c r="Q30" s="2648"/>
      <c r="R30" s="2648"/>
      <c r="S30" s="2648"/>
      <c r="T30" s="2648"/>
      <c r="U30" s="2648"/>
      <c r="V30" s="2648"/>
      <c r="W30" s="2648"/>
      <c r="X30" s="2648"/>
      <c r="Y30" s="2648"/>
      <c r="Z30" s="2648"/>
      <c r="AA30" s="2648"/>
      <c r="AB30" s="2648"/>
      <c r="AC30" s="2648"/>
      <c r="AD30" s="2648"/>
      <c r="AE30" s="2648"/>
      <c r="AF30" s="2648"/>
      <c r="AG30" s="2648"/>
      <c r="AH30" s="2648"/>
      <c r="AI30" s="2648"/>
      <c r="AJ30" s="2648"/>
      <c r="AK30" s="2648"/>
      <c r="AL30" s="2648"/>
      <c r="AM30" s="2648"/>
      <c r="AN30" s="2648"/>
      <c r="AO30" s="2648"/>
      <c r="AP30" s="2648"/>
      <c r="AQ30" s="2648"/>
      <c r="AR30" s="264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55"/>
      <c r="D31" s="2656"/>
      <c r="E31" s="2638"/>
      <c r="F31" s="2638"/>
      <c r="G31" s="2650"/>
      <c r="H31" s="2650"/>
      <c r="I31" s="3651" t="s">
        <v>4994</v>
      </c>
      <c r="J31" s="3652">
        <f>J28</f>
        <v>48720.729999999974</v>
      </c>
      <c r="K31" s="3654">
        <v>1500</v>
      </c>
      <c r="L31" s="3657">
        <f>K31*J31</f>
        <v>73081094.999999955</v>
      </c>
      <c r="M31" s="2648"/>
      <c r="N31" s="2648"/>
      <c r="O31" s="2648"/>
      <c r="P31" s="2648"/>
      <c r="Q31" s="2648"/>
      <c r="R31" s="2648"/>
      <c r="S31" s="2648"/>
      <c r="T31" s="2648"/>
      <c r="U31" s="2648"/>
      <c r="V31" s="2648"/>
      <c r="W31" s="2648"/>
      <c r="X31" s="2648"/>
      <c r="Y31" s="2648"/>
      <c r="Z31" s="2648"/>
      <c r="AA31" s="2648"/>
      <c r="AB31" s="2648"/>
      <c r="AC31" s="2648"/>
      <c r="AD31" s="2648"/>
      <c r="AE31" s="2648"/>
      <c r="AF31" s="2648"/>
      <c r="AG31" s="2648"/>
      <c r="AH31" s="2648"/>
      <c r="AI31" s="2648"/>
      <c r="AJ31" s="2648"/>
      <c r="AK31" s="2648"/>
      <c r="AL31" s="2648"/>
      <c r="AM31" s="2648"/>
      <c r="AN31" s="2648"/>
      <c r="AO31" s="2648"/>
      <c r="AP31" s="2648"/>
      <c r="AQ31" s="2648"/>
      <c r="AR31" s="264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57"/>
      <c r="D32" s="2653"/>
      <c r="E32" s="2650"/>
      <c r="F32" s="2650"/>
      <c r="G32" s="2650"/>
      <c r="H32" s="2650"/>
      <c r="I32" s="3651" t="s">
        <v>4995</v>
      </c>
      <c r="J32" s="3652">
        <f>J28</f>
        <v>48720.729999999974</v>
      </c>
      <c r="K32" s="3654">
        <v>2000</v>
      </c>
      <c r="L32" s="3657">
        <f t="shared" si="12"/>
        <v>97441459.999999955</v>
      </c>
      <c r="M32" s="2648"/>
      <c r="N32" s="2648"/>
      <c r="O32" s="2648"/>
      <c r="P32" s="2648"/>
      <c r="Q32" s="2648"/>
      <c r="R32" s="2648"/>
      <c r="S32" s="2648"/>
      <c r="T32" s="2648"/>
      <c r="U32" s="2648"/>
      <c r="V32" s="2648"/>
      <c r="W32" s="2648"/>
      <c r="X32" s="2648"/>
      <c r="Y32" s="2648"/>
      <c r="Z32" s="2648"/>
      <c r="AA32" s="2648"/>
      <c r="AB32" s="2648"/>
      <c r="AC32" s="2648"/>
      <c r="AD32" s="2648"/>
      <c r="AE32" s="2648"/>
      <c r="AF32" s="2648"/>
      <c r="AG32" s="2648"/>
      <c r="AH32" s="2648"/>
      <c r="AI32" s="2648"/>
      <c r="AJ32" s="2648"/>
      <c r="AK32" s="2648"/>
      <c r="AL32" s="2648"/>
      <c r="AM32" s="2648"/>
      <c r="AN32" s="2648"/>
      <c r="AO32" s="2648"/>
      <c r="AP32" s="2648"/>
      <c r="AQ32" s="2648"/>
      <c r="AR32" s="264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780" t="s">
        <v>2275</v>
      </c>
      <c r="D33" s="2653"/>
      <c r="E33" s="2650"/>
      <c r="F33" s="2650"/>
      <c r="G33" s="2650"/>
      <c r="H33" s="2650"/>
      <c r="I33" s="3648" t="s">
        <v>4996</v>
      </c>
      <c r="J33" s="3654">
        <v>0</v>
      </c>
      <c r="K33" s="3653"/>
      <c r="L33" s="3653">
        <f>K33*J33</f>
        <v>0</v>
      </c>
      <c r="M33" s="2648"/>
      <c r="N33" s="2648"/>
      <c r="O33" s="2648"/>
      <c r="P33" s="2648"/>
      <c r="Q33" s="2648"/>
      <c r="R33" s="2648"/>
      <c r="S33" s="2648"/>
      <c r="T33" s="2648"/>
      <c r="U33" s="2648"/>
      <c r="V33" s="2648"/>
      <c r="W33" s="2648"/>
      <c r="X33" s="2648"/>
      <c r="Y33" s="2648"/>
      <c r="Z33" s="2648"/>
      <c r="AA33" s="2648"/>
      <c r="AB33" s="2648"/>
      <c r="AC33" s="2648"/>
      <c r="AD33" s="2648"/>
      <c r="AE33" s="2648"/>
      <c r="AF33" s="2648"/>
      <c r="AG33" s="2648"/>
      <c r="AH33" s="2648"/>
      <c r="AI33" s="2648"/>
      <c r="AJ33" s="2648"/>
      <c r="AK33" s="2648"/>
      <c r="AL33" s="2648"/>
      <c r="AM33" s="2648"/>
      <c r="AN33" s="2648"/>
      <c r="AO33" s="2648"/>
      <c r="AP33" s="2648"/>
      <c r="AQ33" s="2648"/>
      <c r="AR33" s="264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780" t="s">
        <v>2276</v>
      </c>
      <c r="D34" s="2661" t="s">
        <v>2284</v>
      </c>
      <c r="E34" s="2659"/>
      <c r="F34" s="2650"/>
      <c r="G34" s="2650"/>
      <c r="H34" s="2650"/>
      <c r="I34" s="3648" t="s">
        <v>4997</v>
      </c>
      <c r="J34" s="3658">
        <f>J28</f>
        <v>48720.729999999974</v>
      </c>
      <c r="K34" s="3650">
        <f>L34/J34</f>
        <v>5878.6396468197427</v>
      </c>
      <c r="L34" s="3650">
        <f>L28+L31+L32+L33</f>
        <v>286411614.99999988</v>
      </c>
      <c r="M34" s="2648"/>
      <c r="N34" s="2648"/>
      <c r="O34" s="2648"/>
      <c r="P34" s="2648"/>
      <c r="Q34" s="2648"/>
      <c r="R34" s="2648"/>
      <c r="S34" s="2648"/>
      <c r="T34" s="2648"/>
      <c r="U34" s="2648"/>
      <c r="V34" s="2648"/>
      <c r="W34" s="2648"/>
      <c r="X34" s="2648"/>
      <c r="Y34" s="2648"/>
      <c r="Z34" s="2648"/>
      <c r="AA34" s="2648"/>
      <c r="AB34" s="2648"/>
      <c r="AC34" s="2648"/>
      <c r="AD34" s="2648"/>
      <c r="AE34" s="2648"/>
      <c r="AF34" s="2648"/>
      <c r="AG34" s="2648"/>
      <c r="AH34" s="2648"/>
      <c r="AI34" s="2648"/>
      <c r="AJ34" s="2648"/>
      <c r="AK34" s="2648"/>
      <c r="AL34" s="2648"/>
      <c r="AM34" s="2648"/>
      <c r="AN34" s="2648"/>
      <c r="AO34" s="2648"/>
      <c r="AP34" s="2648"/>
      <c r="AQ34" s="2648"/>
      <c r="AR34" s="264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f>B30</f>
        <v>200</v>
      </c>
      <c r="C35" s="2780" t="s">
        <v>2277</v>
      </c>
      <c r="D35" s="2656"/>
      <c r="E35" s="2638"/>
      <c r="F35" s="2638"/>
      <c r="G35" s="2650"/>
      <c r="H35" s="2650"/>
      <c r="I35" s="2650"/>
      <c r="J35" s="2650"/>
      <c r="K35" s="2649"/>
      <c r="L35" s="2649"/>
      <c r="M35" s="2648"/>
      <c r="N35" s="2648"/>
      <c r="O35" s="2648"/>
      <c r="P35" s="2648"/>
      <c r="Q35" s="2648"/>
      <c r="R35" s="2648"/>
      <c r="S35" s="2648"/>
      <c r="T35" s="2648"/>
      <c r="U35" s="2648"/>
      <c r="V35" s="2648"/>
      <c r="W35" s="2648"/>
      <c r="X35" s="2648"/>
      <c r="Y35" s="2648"/>
      <c r="Z35" s="2648"/>
      <c r="AA35" s="2648"/>
      <c r="AB35" s="2648"/>
      <c r="AC35" s="2648"/>
      <c r="AD35" s="2648"/>
      <c r="AE35" s="2648"/>
      <c r="AF35" s="2648"/>
      <c r="AG35" s="2648"/>
      <c r="AH35" s="2648"/>
      <c r="AI35" s="2648"/>
      <c r="AJ35" s="2648"/>
      <c r="AK35" s="2648"/>
      <c r="AL35" s="2648"/>
      <c r="AM35" s="2648"/>
      <c r="AN35" s="2648"/>
      <c r="AO35" s="2648"/>
      <c r="AP35" s="2648"/>
      <c r="AQ35" s="2648"/>
      <c r="AR35" s="264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780" t="s">
        <v>2278</v>
      </c>
      <c r="D36" s="2653"/>
      <c r="E36" s="2650"/>
      <c r="F36" s="2650"/>
      <c r="G36" s="2650"/>
      <c r="H36" s="2650"/>
      <c r="I36" s="2650"/>
      <c r="J36" s="2650"/>
      <c r="K36" s="2649"/>
      <c r="L36" s="2649"/>
      <c r="M36" s="2648"/>
      <c r="N36" s="2648"/>
      <c r="O36" s="2648"/>
      <c r="P36" s="2648"/>
      <c r="Q36" s="2648"/>
      <c r="R36" s="2648"/>
      <c r="S36" s="2648"/>
      <c r="T36" s="2648"/>
      <c r="U36" s="2648"/>
      <c r="V36" s="2648"/>
      <c r="W36" s="2648"/>
      <c r="X36" s="2648"/>
      <c r="Y36" s="2648"/>
      <c r="Z36" s="2648"/>
      <c r="AA36" s="2648"/>
      <c r="AB36" s="2648"/>
      <c r="AC36" s="2648"/>
      <c r="AD36" s="2648"/>
      <c r="AE36" s="2648"/>
      <c r="AF36" s="2648"/>
      <c r="AG36" s="2648"/>
      <c r="AH36" s="2648"/>
      <c r="AI36" s="2648"/>
      <c r="AJ36" s="2648"/>
      <c r="AK36" s="2648"/>
      <c r="AL36" s="2648"/>
      <c r="AM36" s="2648"/>
      <c r="AN36" s="2648"/>
      <c r="AO36" s="2648"/>
      <c r="AP36" s="2648"/>
      <c r="AQ36" s="2648"/>
      <c r="AR36" s="2648"/>
    </row>
    <row r="37" spans="1:67" ht="14.25">
      <c r="A37" s="1731" t="s">
        <v>1230</v>
      </c>
      <c r="B37" s="115">
        <v>0.02</v>
      </c>
      <c r="C37" s="2780" t="s">
        <v>2279</v>
      </c>
      <c r="D37" s="2653"/>
      <c r="E37" s="2650"/>
      <c r="F37" s="2650"/>
      <c r="G37" s="2650"/>
      <c r="H37" s="2650"/>
      <c r="I37" s="2650"/>
      <c r="J37" s="2650"/>
      <c r="K37" s="2649"/>
      <c r="L37" s="2649"/>
      <c r="M37" s="2648"/>
      <c r="N37" s="2648"/>
      <c r="O37" s="2648"/>
      <c r="P37" s="2648"/>
      <c r="Q37" s="2648"/>
      <c r="R37" s="2648"/>
      <c r="S37" s="2648"/>
      <c r="T37" s="2648"/>
      <c r="U37" s="2648"/>
      <c r="V37" s="2648"/>
      <c r="W37" s="2648"/>
      <c r="X37" s="2648"/>
      <c r="Y37" s="2648"/>
      <c r="Z37" s="2648"/>
      <c r="AA37" s="2648"/>
      <c r="AB37" s="2648"/>
      <c r="AC37" s="2648"/>
      <c r="AD37" s="2648"/>
      <c r="AE37" s="2648"/>
      <c r="AF37" s="2648"/>
      <c r="AG37" s="2648"/>
      <c r="AH37" s="2648"/>
      <c r="AI37" s="2648"/>
      <c r="AJ37" s="2648"/>
      <c r="AK37" s="2648"/>
      <c r="AL37" s="2648"/>
      <c r="AM37" s="2648"/>
      <c r="AN37" s="2648"/>
      <c r="AO37" s="2648"/>
      <c r="AP37" s="2648"/>
      <c r="AQ37" s="2648"/>
      <c r="AR37" s="2648"/>
    </row>
    <row r="38" spans="1:67" ht="14.25">
      <c r="A38" s="1729" t="s">
        <v>1231</v>
      </c>
      <c r="B38" s="113">
        <v>0.02</v>
      </c>
      <c r="C38" s="2780" t="s">
        <v>2279</v>
      </c>
      <c r="D38" s="2653"/>
      <c r="E38" s="2650"/>
      <c r="F38" s="2650"/>
      <c r="G38" s="2650"/>
      <c r="H38" s="2650"/>
      <c r="I38" s="2650"/>
      <c r="J38" s="2650"/>
      <c r="K38" s="2649"/>
      <c r="L38" s="2649"/>
      <c r="M38" s="2648"/>
      <c r="N38" s="2648"/>
      <c r="O38" s="2648"/>
      <c r="P38" s="2648"/>
      <c r="Q38" s="2648"/>
      <c r="R38" s="2648"/>
      <c r="S38" s="2648"/>
      <c r="T38" s="2648"/>
      <c r="U38" s="2648"/>
      <c r="V38" s="2648"/>
      <c r="W38" s="2648"/>
      <c r="X38" s="2648"/>
      <c r="Y38" s="2648"/>
      <c r="Z38" s="2648"/>
      <c r="AA38" s="2648"/>
      <c r="AB38" s="2648"/>
      <c r="AC38" s="2648"/>
      <c r="AD38" s="2648"/>
      <c r="AE38" s="2648"/>
      <c r="AF38" s="2648"/>
      <c r="AG38" s="2648"/>
      <c r="AH38" s="2648"/>
      <c r="AI38" s="2648"/>
      <c r="AJ38" s="2648"/>
      <c r="AK38" s="2648"/>
      <c r="AL38" s="2648"/>
      <c r="AM38" s="2648"/>
      <c r="AN38" s="2648"/>
      <c r="AO38" s="2648"/>
      <c r="AP38" s="2648"/>
      <c r="AQ38" s="2648"/>
      <c r="AR38" s="2648"/>
    </row>
    <row r="39" spans="1:67" ht="14.25">
      <c r="A39" s="1732" t="s">
        <v>1232</v>
      </c>
      <c r="B39" s="317">
        <f ca="1">存贷款利率!I1</f>
        <v>1.4999999999999999E-2</v>
      </c>
      <c r="C39" s="2658"/>
      <c r="D39" s="2653"/>
      <c r="E39" s="2650"/>
      <c r="F39" s="2650"/>
      <c r="G39" s="2650"/>
      <c r="H39" s="2650"/>
      <c r="I39" s="2650"/>
      <c r="J39" s="2650"/>
      <c r="K39" s="2649"/>
      <c r="L39" s="2649"/>
      <c r="M39" s="2648"/>
      <c r="N39" s="2648"/>
      <c r="O39" s="2648"/>
      <c r="P39" s="2648"/>
      <c r="Q39" s="2648"/>
      <c r="R39" s="2648"/>
      <c r="S39" s="2648"/>
      <c r="T39" s="2648"/>
      <c r="U39" s="2648"/>
      <c r="V39" s="2648"/>
      <c r="W39" s="2648"/>
      <c r="X39" s="2648"/>
      <c r="Y39" s="2648"/>
      <c r="Z39" s="2648"/>
      <c r="AA39" s="2648"/>
      <c r="AB39" s="2648"/>
      <c r="AC39" s="2648"/>
      <c r="AD39" s="2648"/>
      <c r="AE39" s="2648"/>
      <c r="AF39" s="2648"/>
      <c r="AG39" s="2648"/>
      <c r="AH39" s="2648"/>
      <c r="AI39" s="2648"/>
      <c r="AJ39" s="2648"/>
      <c r="AK39" s="2648"/>
      <c r="AL39" s="2648"/>
      <c r="AM39" s="2648"/>
      <c r="AN39" s="2648"/>
      <c r="AO39" s="2648"/>
      <c r="AP39" s="2648"/>
      <c r="AQ39" s="2648"/>
      <c r="AR39" s="2648"/>
    </row>
    <row r="40" spans="1:67" ht="15" thickBot="1">
      <c r="A40" s="2792" t="s">
        <v>2294</v>
      </c>
      <c r="B40" s="1078">
        <f ca="1">IF(A40="利息：取LPR",存贷款利率!G1,存贷款利率!G1+C40)</f>
        <v>3.4500000000000003E-2</v>
      </c>
      <c r="C40" s="2791">
        <v>5.0000000000000001E-3</v>
      </c>
      <c r="D40" s="2648"/>
      <c r="E40" s="2653"/>
      <c r="F40" s="2650"/>
      <c r="G40" s="2650"/>
      <c r="H40" s="2650"/>
      <c r="I40" s="2650"/>
      <c r="J40" s="2650"/>
      <c r="K40" s="2649"/>
      <c r="L40" s="2649"/>
      <c r="M40" s="2648"/>
      <c r="N40" s="2648"/>
      <c r="O40" s="2648"/>
      <c r="P40" s="2648"/>
      <c r="Q40" s="2648"/>
      <c r="R40" s="2648"/>
      <c r="S40" s="2648"/>
      <c r="T40" s="2648"/>
      <c r="U40" s="2648"/>
      <c r="V40" s="2648"/>
      <c r="W40" s="2648"/>
      <c r="X40" s="2648"/>
      <c r="Y40" s="2648"/>
      <c r="Z40" s="2648"/>
      <c r="AA40" s="2648"/>
      <c r="AB40" s="2648"/>
      <c r="AC40" s="2648"/>
      <c r="AD40" s="2648"/>
      <c r="AE40" s="2648"/>
      <c r="AF40" s="2648"/>
      <c r="AG40" s="2648"/>
      <c r="AH40" s="2648"/>
      <c r="AI40" s="2648"/>
      <c r="AJ40" s="2648"/>
      <c r="AK40" s="2648"/>
      <c r="AL40" s="2648"/>
      <c r="AM40" s="2648"/>
      <c r="AN40" s="2648"/>
      <c r="AO40" s="2648"/>
      <c r="AP40" s="2648"/>
      <c r="AQ40" s="2648"/>
      <c r="AR40" s="2648"/>
    </row>
    <row r="41" spans="1:67" ht="14.25">
      <c r="A41" s="1727" t="s">
        <v>1233</v>
      </c>
      <c r="B41" s="116">
        <f>B42+B43</f>
        <v>5.6000000000000001E-2</v>
      </c>
      <c r="C41" s="2655"/>
      <c r="D41" s="2648"/>
      <c r="E41" s="2653"/>
      <c r="F41" s="2650"/>
      <c r="G41" s="2650"/>
      <c r="H41" s="2650"/>
      <c r="I41" s="2650"/>
      <c r="J41" s="2650"/>
      <c r="K41" s="2649"/>
      <c r="L41" s="2649"/>
      <c r="M41" s="2648"/>
      <c r="N41" s="2648"/>
      <c r="O41" s="2648"/>
      <c r="P41" s="2648"/>
      <c r="Q41" s="2648"/>
      <c r="R41" s="2648"/>
      <c r="S41" s="2648"/>
      <c r="T41" s="2648"/>
      <c r="U41" s="2648"/>
      <c r="V41" s="2648"/>
      <c r="W41" s="2648"/>
      <c r="X41" s="2648"/>
      <c r="Y41" s="2648"/>
      <c r="Z41" s="2648"/>
      <c r="AA41" s="2648"/>
      <c r="AB41" s="2648"/>
      <c r="AC41" s="2648"/>
      <c r="AD41" s="2648"/>
      <c r="AE41" s="2648"/>
      <c r="AF41" s="2648"/>
      <c r="AG41" s="2648"/>
      <c r="AH41" s="2648"/>
      <c r="AI41" s="2648"/>
      <c r="AJ41" s="2648"/>
      <c r="AK41" s="2648"/>
      <c r="AL41" s="2648"/>
      <c r="AM41" s="2648"/>
      <c r="AN41" s="2648"/>
      <c r="AO41" s="2648"/>
      <c r="AP41" s="2648"/>
      <c r="AQ41" s="2648"/>
      <c r="AR41" s="2648"/>
    </row>
    <row r="42" spans="1:67" ht="14.25">
      <c r="A42" s="1733" t="s">
        <v>1234</v>
      </c>
      <c r="B42" s="117">
        <v>0.05</v>
      </c>
      <c r="C42" s="2660">
        <f>IF(B2&lt;DATE(2016,5,1),0,B42)</f>
        <v>0.05</v>
      </c>
      <c r="D42" s="2653"/>
      <c r="E42" s="2650"/>
      <c r="F42" s="2650"/>
      <c r="G42" s="2650"/>
      <c r="H42" s="2650"/>
      <c r="I42" s="2650"/>
      <c r="J42" s="2650"/>
      <c r="K42" s="2649"/>
      <c r="L42" s="2649"/>
      <c r="M42" s="2648"/>
      <c r="N42" s="2648"/>
      <c r="O42" s="2648"/>
      <c r="P42" s="2648"/>
      <c r="Q42" s="2648"/>
      <c r="R42" s="2648"/>
      <c r="S42" s="2648"/>
      <c r="T42" s="2648"/>
      <c r="U42" s="2648"/>
      <c r="V42" s="2648"/>
      <c r="W42" s="2648"/>
      <c r="X42" s="2648"/>
      <c r="Y42" s="2648"/>
      <c r="Z42" s="2648"/>
      <c r="AA42" s="2648"/>
      <c r="AB42" s="2648"/>
      <c r="AC42" s="2648"/>
      <c r="AD42" s="2648"/>
      <c r="AE42" s="2648"/>
      <c r="AF42" s="2648"/>
      <c r="AG42" s="2648"/>
      <c r="AH42" s="2648"/>
      <c r="AI42" s="2648"/>
      <c r="AJ42" s="2648"/>
      <c r="AK42" s="2648"/>
      <c r="AL42" s="2648"/>
      <c r="AM42" s="2648"/>
      <c r="AN42" s="2648"/>
      <c r="AO42" s="2648"/>
      <c r="AP42" s="2648"/>
      <c r="AQ42" s="2648"/>
      <c r="AR42" s="2648"/>
    </row>
    <row r="43" spans="1:67" ht="14.25">
      <c r="A43" s="1733" t="s">
        <v>1235</v>
      </c>
      <c r="B43" s="118">
        <f>B42*(B44+B45+B46)+B47</f>
        <v>6.000000000000001E-3</v>
      </c>
      <c r="C43" s="2655"/>
      <c r="D43" s="2653"/>
      <c r="E43" s="2650"/>
      <c r="F43" s="2650"/>
      <c r="G43" s="2650"/>
      <c r="H43" s="2650"/>
      <c r="I43" s="2650"/>
      <c r="J43" s="2650"/>
      <c r="K43" s="2649"/>
      <c r="L43" s="2649"/>
      <c r="M43" s="2648"/>
      <c r="N43" s="2648"/>
      <c r="O43" s="2648"/>
      <c r="P43" s="2648"/>
      <c r="Q43" s="2648"/>
      <c r="R43" s="2648"/>
      <c r="S43" s="2648"/>
      <c r="T43" s="2648"/>
      <c r="U43" s="2648"/>
      <c r="V43" s="2648"/>
      <c r="W43" s="2648"/>
      <c r="X43" s="2648"/>
      <c r="Y43" s="2648"/>
      <c r="Z43" s="2648"/>
      <c r="AA43" s="2648"/>
      <c r="AB43" s="2648"/>
      <c r="AC43" s="2648"/>
      <c r="AD43" s="2648"/>
      <c r="AE43" s="2648"/>
      <c r="AF43" s="2648"/>
      <c r="AG43" s="2648"/>
      <c r="AH43" s="2648"/>
      <c r="AI43" s="2648"/>
      <c r="AJ43" s="2648"/>
      <c r="AK43" s="2648"/>
      <c r="AL43" s="2648"/>
      <c r="AM43" s="2648"/>
      <c r="AN43" s="2648"/>
      <c r="AO43" s="2648"/>
      <c r="AP43" s="2648"/>
      <c r="AQ43" s="2648"/>
      <c r="AR43" s="2648"/>
    </row>
    <row r="44" spans="1:67" ht="14.25">
      <c r="A44" s="1734" t="s">
        <v>1236</v>
      </c>
      <c r="B44" s="119">
        <v>7.0000000000000007E-2</v>
      </c>
      <c r="C44" s="2780" t="s">
        <v>2288</v>
      </c>
      <c r="D44" s="2653"/>
      <c r="E44" s="2650"/>
      <c r="F44" s="2650"/>
      <c r="G44" s="2650"/>
      <c r="H44" s="2650"/>
      <c r="I44" s="2650"/>
      <c r="J44" s="2650"/>
      <c r="K44" s="2649"/>
      <c r="L44" s="2649"/>
      <c r="M44" s="2648"/>
      <c r="N44" s="2648"/>
      <c r="O44" s="2648"/>
      <c r="P44" s="2648"/>
      <c r="Q44" s="2648"/>
      <c r="R44" s="2648"/>
      <c r="S44" s="2648"/>
      <c r="T44" s="2648"/>
      <c r="U44" s="2648"/>
      <c r="V44" s="2648"/>
      <c r="W44" s="2648"/>
      <c r="X44" s="2648"/>
      <c r="Y44" s="2648"/>
      <c r="Z44" s="2648"/>
      <c r="AA44" s="2648"/>
      <c r="AB44" s="2648"/>
      <c r="AC44" s="2648"/>
      <c r="AD44" s="2648"/>
      <c r="AE44" s="2648"/>
      <c r="AF44" s="2648"/>
      <c r="AG44" s="2648"/>
      <c r="AH44" s="2648"/>
      <c r="AI44" s="2648"/>
      <c r="AJ44" s="2648"/>
      <c r="AK44" s="2648"/>
      <c r="AL44" s="2648"/>
      <c r="AM44" s="2648"/>
      <c r="AN44" s="2648"/>
      <c r="AO44" s="2648"/>
      <c r="AP44" s="2648"/>
      <c r="AQ44" s="2648"/>
      <c r="AR44" s="2648"/>
    </row>
    <row r="45" spans="1:67" ht="14.25">
      <c r="A45" s="1734" t="s">
        <v>1237</v>
      </c>
      <c r="B45" s="117">
        <v>0.03</v>
      </c>
      <c r="C45" s="2779" t="s">
        <v>2280</v>
      </c>
      <c r="D45" s="2653"/>
      <c r="E45" s="2650"/>
      <c r="F45" s="2650"/>
      <c r="G45" s="2650"/>
      <c r="H45" s="2650"/>
      <c r="I45" s="2650"/>
      <c r="J45" s="2650"/>
      <c r="K45" s="2649"/>
      <c r="L45" s="2649"/>
      <c r="M45" s="2648"/>
      <c r="N45" s="2648"/>
      <c r="O45" s="2648"/>
      <c r="P45" s="2648"/>
      <c r="Q45" s="2648"/>
      <c r="R45" s="2648"/>
      <c r="S45" s="2648"/>
      <c r="T45" s="2648"/>
      <c r="U45" s="2648"/>
      <c r="V45" s="2648"/>
      <c r="W45" s="2648"/>
      <c r="X45" s="2648"/>
      <c r="Y45" s="2648"/>
      <c r="Z45" s="2648"/>
      <c r="AA45" s="2648"/>
      <c r="AB45" s="2648"/>
      <c r="AC45" s="2648"/>
      <c r="AD45" s="2648"/>
      <c r="AE45" s="2648"/>
      <c r="AF45" s="2648"/>
      <c r="AG45" s="2648"/>
      <c r="AH45" s="2648"/>
      <c r="AI45" s="2648"/>
      <c r="AJ45" s="2648"/>
      <c r="AK45" s="2648"/>
      <c r="AL45" s="2648"/>
      <c r="AM45" s="2648"/>
      <c r="AN45" s="2648"/>
      <c r="AO45" s="2648"/>
      <c r="AP45" s="2648"/>
      <c r="AQ45" s="2648"/>
      <c r="AR45" s="2648"/>
    </row>
    <row r="46" spans="1:67" ht="14.25">
      <c r="A46" s="1734" t="s">
        <v>1238</v>
      </c>
      <c r="B46" s="117">
        <v>0.02</v>
      </c>
      <c r="C46" s="2779" t="s">
        <v>2281</v>
      </c>
      <c r="D46" s="2653"/>
      <c r="E46" s="2650"/>
      <c r="F46" s="2650"/>
      <c r="G46" s="2650"/>
      <c r="H46" s="2650"/>
      <c r="I46" s="2650"/>
      <c r="J46" s="2650"/>
      <c r="K46" s="2649"/>
      <c r="L46" s="2649"/>
      <c r="M46" s="2648"/>
      <c r="N46" s="2648"/>
      <c r="O46" s="2648"/>
      <c r="P46" s="2648"/>
      <c r="Q46" s="2648"/>
      <c r="R46" s="2648"/>
      <c r="S46" s="2648"/>
      <c r="T46" s="2648"/>
      <c r="U46" s="2648"/>
      <c r="V46" s="2648"/>
      <c r="W46" s="2648"/>
      <c r="X46" s="2648"/>
      <c r="Y46" s="2648"/>
      <c r="Z46" s="2648"/>
      <c r="AA46" s="2648"/>
      <c r="AB46" s="2648"/>
      <c r="AC46" s="2648"/>
      <c r="AD46" s="2648"/>
      <c r="AE46" s="2648"/>
      <c r="AF46" s="2648"/>
      <c r="AG46" s="2648"/>
      <c r="AH46" s="2648"/>
      <c r="AI46" s="2648"/>
      <c r="AJ46" s="2648"/>
      <c r="AK46" s="2648"/>
      <c r="AL46" s="2648"/>
      <c r="AM46" s="2648"/>
      <c r="AN46" s="2648"/>
      <c r="AO46" s="2648"/>
      <c r="AP46" s="2648"/>
      <c r="AQ46" s="2648"/>
      <c r="AR46" s="2648"/>
    </row>
    <row r="47" spans="1:67" ht="15" thickBot="1">
      <c r="A47" s="1735" t="s">
        <v>1239</v>
      </c>
      <c r="B47" s="120">
        <v>0</v>
      </c>
      <c r="C47" s="2782" t="s">
        <v>2289</v>
      </c>
      <c r="D47" s="2653"/>
      <c r="E47" s="2650"/>
      <c r="F47" s="2650"/>
      <c r="G47" s="2650"/>
      <c r="H47" s="2650"/>
      <c r="I47" s="2650"/>
      <c r="J47" s="2650"/>
      <c r="K47" s="2649"/>
      <c r="L47" s="2649"/>
      <c r="M47" s="2648"/>
      <c r="N47" s="2648"/>
      <c r="O47" s="2648"/>
      <c r="P47" s="2648"/>
      <c r="Q47" s="2648"/>
      <c r="R47" s="2648"/>
      <c r="S47" s="2648"/>
      <c r="T47" s="2648"/>
      <c r="U47" s="2648"/>
      <c r="V47" s="2648"/>
      <c r="W47" s="2648"/>
      <c r="X47" s="2648"/>
      <c r="Y47" s="2648"/>
      <c r="Z47" s="2648"/>
      <c r="AA47" s="2648"/>
      <c r="AB47" s="2648"/>
      <c r="AC47" s="2648"/>
      <c r="AD47" s="2648"/>
      <c r="AE47" s="2648"/>
      <c r="AF47" s="2648"/>
      <c r="AG47" s="2648"/>
      <c r="AH47" s="2648"/>
      <c r="AI47" s="2648"/>
      <c r="AJ47" s="2648"/>
      <c r="AK47" s="2648"/>
      <c r="AL47" s="2648"/>
      <c r="AM47" s="2648"/>
      <c r="AN47" s="2648"/>
      <c r="AO47" s="2648"/>
      <c r="AP47" s="2648"/>
      <c r="AQ47" s="2648"/>
      <c r="AR47" s="2648"/>
    </row>
    <row r="48" spans="1:67" ht="14.25">
      <c r="A48" s="1736" t="s">
        <v>1240</v>
      </c>
      <c r="B48" s="121">
        <v>0.03</v>
      </c>
      <c r="C48" s="2779" t="s">
        <v>2280</v>
      </c>
      <c r="D48" s="2653"/>
      <c r="E48" s="2650"/>
      <c r="F48" s="2650"/>
      <c r="G48" s="2650"/>
      <c r="H48" s="2650"/>
      <c r="I48" s="2650"/>
      <c r="J48" s="2650"/>
      <c r="K48" s="2649"/>
      <c r="L48" s="2649"/>
      <c r="M48" s="2648"/>
      <c r="N48" s="2648"/>
      <c r="O48" s="2648"/>
      <c r="P48" s="2648"/>
      <c r="Q48" s="2648"/>
      <c r="R48" s="2648"/>
      <c r="S48" s="2648"/>
      <c r="T48" s="2648"/>
      <c r="U48" s="2648"/>
      <c r="V48" s="2648"/>
      <c r="W48" s="2648"/>
      <c r="X48" s="2648"/>
      <c r="Y48" s="2648"/>
      <c r="Z48" s="2648"/>
      <c r="AA48" s="2648"/>
      <c r="AB48" s="2648"/>
      <c r="AC48" s="2648"/>
      <c r="AD48" s="2648"/>
      <c r="AE48" s="2648"/>
      <c r="AF48" s="2648"/>
      <c r="AG48" s="2648"/>
      <c r="AH48" s="2648"/>
      <c r="AI48" s="2648"/>
      <c r="AJ48" s="2648"/>
      <c r="AK48" s="2648"/>
      <c r="AL48" s="2648"/>
      <c r="AM48" s="2648"/>
      <c r="AN48" s="2648"/>
      <c r="AO48" s="2648"/>
      <c r="AP48" s="2648"/>
      <c r="AQ48" s="2648"/>
      <c r="AR48" s="2648"/>
    </row>
    <row r="49" spans="1:44" ht="15" thickBot="1">
      <c r="A49" s="1732" t="s">
        <v>1241</v>
      </c>
      <c r="B49" s="117">
        <v>5.0000000000000001E-4</v>
      </c>
      <c r="C49" s="2779" t="s">
        <v>2282</v>
      </c>
      <c r="D49" s="2653"/>
      <c r="E49" s="2650"/>
      <c r="F49" s="2650"/>
      <c r="G49" s="2650"/>
      <c r="H49" s="2650"/>
      <c r="I49" s="2650"/>
      <c r="J49" s="2650"/>
      <c r="K49" s="2649"/>
      <c r="L49" s="2649"/>
      <c r="M49" s="2648"/>
      <c r="N49" s="2648"/>
      <c r="O49" s="2648"/>
      <c r="P49" s="2648"/>
      <c r="Q49" s="2648"/>
      <c r="R49" s="2648"/>
      <c r="S49" s="2648"/>
      <c r="T49" s="2648"/>
      <c r="U49" s="2648"/>
      <c r="V49" s="2648"/>
      <c r="W49" s="2648"/>
      <c r="X49" s="2648"/>
      <c r="Y49" s="2648"/>
      <c r="Z49" s="2648"/>
      <c r="AA49" s="2648"/>
      <c r="AB49" s="2648"/>
      <c r="AC49" s="2648"/>
      <c r="AD49" s="2648"/>
      <c r="AE49" s="2648"/>
      <c r="AF49" s="2648"/>
      <c r="AG49" s="2648"/>
      <c r="AH49" s="2648"/>
      <c r="AI49" s="2648"/>
      <c r="AJ49" s="2648"/>
      <c r="AK49" s="2648"/>
      <c r="AL49" s="2648"/>
      <c r="AM49" s="2648"/>
      <c r="AN49" s="2648"/>
      <c r="AO49" s="2648"/>
      <c r="AP49" s="2648"/>
      <c r="AQ49" s="2648"/>
      <c r="AR49" s="2648"/>
    </row>
    <row r="50" spans="1:44" ht="14.25">
      <c r="A50" s="1737" t="s">
        <v>1242</v>
      </c>
      <c r="B50" s="122">
        <v>1.2E-2</v>
      </c>
      <c r="C50" s="2638"/>
      <c r="D50" s="2653"/>
      <c r="E50" s="2650"/>
      <c r="F50" s="2650"/>
      <c r="G50" s="2650"/>
      <c r="H50" s="2650"/>
      <c r="I50" s="2650"/>
      <c r="J50" s="2650"/>
      <c r="K50" s="2649"/>
      <c r="L50" s="2649"/>
      <c r="M50" s="2648"/>
      <c r="N50" s="2648"/>
      <c r="O50" s="2648"/>
      <c r="P50" s="2648"/>
      <c r="Q50" s="2648"/>
      <c r="R50" s="2648"/>
      <c r="S50" s="2648"/>
      <c r="T50" s="2648"/>
      <c r="U50" s="2648"/>
      <c r="V50" s="2648"/>
      <c r="W50" s="2648"/>
      <c r="X50" s="2648"/>
      <c r="Y50" s="2648"/>
      <c r="Z50" s="2648"/>
      <c r="AA50" s="2648"/>
      <c r="AB50" s="2648"/>
      <c r="AC50" s="2648"/>
      <c r="AD50" s="2648"/>
      <c r="AE50" s="2648"/>
      <c r="AF50" s="2648"/>
      <c r="AG50" s="2648"/>
      <c r="AH50" s="2648"/>
      <c r="AI50" s="2648"/>
      <c r="AJ50" s="2648"/>
      <c r="AK50" s="2648"/>
      <c r="AL50" s="2648"/>
      <c r="AM50" s="2648"/>
      <c r="AN50" s="2648"/>
      <c r="AO50" s="2648"/>
      <c r="AP50" s="2648"/>
      <c r="AQ50" s="2648"/>
      <c r="AR50" s="2648"/>
    </row>
    <row r="51" spans="1:44" ht="15" thickBot="1">
      <c r="A51" s="1730" t="s">
        <v>1243</v>
      </c>
      <c r="B51" s="123">
        <v>0.12</v>
      </c>
      <c r="C51" s="2638"/>
      <c r="D51" s="2653"/>
      <c r="E51" s="2650"/>
      <c r="F51" s="2650"/>
      <c r="G51" s="2650"/>
      <c r="H51" s="2650"/>
      <c r="I51" s="2650"/>
      <c r="J51" s="2650"/>
      <c r="K51" s="2649"/>
      <c r="L51" s="2649"/>
      <c r="M51" s="2648"/>
      <c r="N51" s="2648"/>
      <c r="O51" s="2648"/>
      <c r="P51" s="2648"/>
      <c r="Q51" s="2648"/>
      <c r="R51" s="2648"/>
      <c r="S51" s="2648"/>
      <c r="T51" s="2648"/>
      <c r="U51" s="2648"/>
      <c r="V51" s="2648"/>
      <c r="W51" s="2648"/>
      <c r="X51" s="2648"/>
      <c r="Y51" s="2648"/>
      <c r="Z51" s="2648"/>
      <c r="AA51" s="2648"/>
      <c r="AB51" s="2648"/>
      <c r="AC51" s="2648"/>
      <c r="AD51" s="2648"/>
      <c r="AE51" s="2648"/>
      <c r="AF51" s="2648"/>
      <c r="AG51" s="2648"/>
      <c r="AH51" s="2648"/>
      <c r="AI51" s="2648"/>
      <c r="AJ51" s="2648"/>
      <c r="AK51" s="2648"/>
      <c r="AL51" s="2648"/>
      <c r="AM51" s="2648"/>
      <c r="AN51" s="2648"/>
      <c r="AO51" s="2648"/>
      <c r="AP51" s="2648"/>
      <c r="AQ51" s="2648"/>
      <c r="AR51" s="2648"/>
    </row>
    <row r="52" spans="1:44" ht="14.25">
      <c r="A52" s="1737" t="s">
        <v>1244</v>
      </c>
      <c r="B52" s="124">
        <f>SUMIF(A54:A63,B53,B54:B63)</f>
        <v>12</v>
      </c>
      <c r="C52" s="2638"/>
      <c r="D52" s="2653"/>
      <c r="E52" s="2650"/>
      <c r="F52" s="2650"/>
      <c r="G52" s="2650"/>
      <c r="H52" s="2650"/>
      <c r="I52" s="2650"/>
      <c r="J52" s="2650"/>
      <c r="K52" s="2649"/>
      <c r="L52" s="2649"/>
      <c r="M52" s="2648"/>
      <c r="N52" s="2648"/>
      <c r="O52" s="2648"/>
      <c r="P52" s="2648"/>
      <c r="Q52" s="2648"/>
      <c r="R52" s="2648"/>
      <c r="S52" s="2648"/>
      <c r="T52" s="2648"/>
      <c r="U52" s="2648"/>
      <c r="V52" s="2648"/>
      <c r="W52" s="2648"/>
      <c r="X52" s="2648"/>
      <c r="Y52" s="2648"/>
      <c r="Z52" s="2648"/>
      <c r="AA52" s="2648"/>
      <c r="AB52" s="2648"/>
      <c r="AC52" s="2648"/>
      <c r="AD52" s="2648"/>
      <c r="AE52" s="2648"/>
      <c r="AF52" s="2648"/>
      <c r="AG52" s="2648"/>
      <c r="AH52" s="2648"/>
      <c r="AI52" s="2648"/>
      <c r="AJ52" s="2648"/>
      <c r="AK52" s="2648"/>
      <c r="AL52" s="2648"/>
      <c r="AM52" s="2648"/>
      <c r="AN52" s="2648"/>
      <c r="AO52" s="2648"/>
      <c r="AP52" s="2648"/>
      <c r="AQ52" s="2648"/>
      <c r="AR52" s="2648"/>
    </row>
    <row r="53" spans="1:44" ht="27">
      <c r="A53" s="1729" t="s">
        <v>1245</v>
      </c>
      <c r="B53" s="1738" t="s">
        <v>110</v>
      </c>
      <c r="C53" s="2638" t="s">
        <v>1246</v>
      </c>
      <c r="D53" s="2781" t="s">
        <v>2286</v>
      </c>
      <c r="E53" s="2650"/>
      <c r="F53" s="2650"/>
      <c r="G53" s="2650"/>
      <c r="H53" s="2650"/>
      <c r="I53" s="2650"/>
      <c r="J53" s="2650"/>
      <c r="K53" s="2649"/>
      <c r="L53" s="2649"/>
      <c r="M53" s="2648"/>
      <c r="N53" s="2648"/>
      <c r="O53" s="2648"/>
      <c r="P53" s="2648"/>
      <c r="Q53" s="2648"/>
      <c r="R53" s="2648"/>
      <c r="S53" s="2648"/>
      <c r="T53" s="2648"/>
      <c r="U53" s="2648"/>
      <c r="V53" s="2648"/>
      <c r="W53" s="2648"/>
      <c r="X53" s="2648"/>
      <c r="Y53" s="2648"/>
      <c r="Z53" s="2648"/>
      <c r="AA53" s="2648"/>
      <c r="AB53" s="2648"/>
      <c r="AC53" s="2648"/>
      <c r="AD53" s="2648"/>
      <c r="AE53" s="2648"/>
      <c r="AF53" s="2648"/>
      <c r="AG53" s="2648"/>
      <c r="AH53" s="2648"/>
      <c r="AI53" s="2648"/>
      <c r="AJ53" s="2648"/>
      <c r="AK53" s="2648"/>
      <c r="AL53" s="2648"/>
      <c r="AM53" s="2648"/>
      <c r="AN53" s="2648"/>
      <c r="AO53" s="2648"/>
      <c r="AP53" s="2648"/>
      <c r="AQ53" s="2648"/>
      <c r="AR53" s="2648"/>
    </row>
    <row r="54" spans="1:44" ht="14.25">
      <c r="A54" s="1739" t="s">
        <v>1247</v>
      </c>
      <c r="B54" s="75"/>
      <c r="C54" s="2638">
        <v>30</v>
      </c>
      <c r="D54" s="2653"/>
      <c r="E54" s="2650"/>
      <c r="F54" s="2650"/>
      <c r="G54" s="2650"/>
      <c r="H54" s="2650"/>
      <c r="I54" s="2650"/>
      <c r="J54" s="2650"/>
      <c r="K54" s="2649"/>
      <c r="L54" s="2649"/>
      <c r="M54" s="2648"/>
      <c r="N54" s="2648"/>
      <c r="O54" s="2648"/>
      <c r="P54" s="2648"/>
      <c r="Q54" s="2648"/>
      <c r="R54" s="2648"/>
      <c r="S54" s="2648"/>
      <c r="T54" s="2648"/>
      <c r="U54" s="2648"/>
      <c r="V54" s="2648"/>
      <c r="W54" s="2648"/>
      <c r="X54" s="2648"/>
      <c r="Y54" s="2648"/>
      <c r="Z54" s="2648"/>
      <c r="AA54" s="2648"/>
      <c r="AB54" s="2648"/>
      <c r="AC54" s="2648"/>
      <c r="AD54" s="2648"/>
      <c r="AE54" s="2648"/>
      <c r="AF54" s="2648"/>
      <c r="AG54" s="2648"/>
      <c r="AH54" s="2648"/>
      <c r="AI54" s="2648"/>
      <c r="AJ54" s="2648"/>
      <c r="AK54" s="2648"/>
      <c r="AL54" s="2648"/>
      <c r="AM54" s="2648"/>
      <c r="AN54" s="2648"/>
      <c r="AO54" s="2648"/>
      <c r="AP54" s="2648"/>
      <c r="AQ54" s="2648"/>
      <c r="AR54" s="2648"/>
    </row>
    <row r="55" spans="1:44" ht="14.25">
      <c r="A55" s="1739" t="s">
        <v>1248</v>
      </c>
      <c r="B55" s="75"/>
      <c r="C55" s="2638">
        <v>24</v>
      </c>
      <c r="D55" s="2653"/>
      <c r="E55" s="2650"/>
      <c r="F55" s="2650"/>
      <c r="G55" s="2650"/>
      <c r="H55" s="2650"/>
      <c r="I55" s="2651"/>
      <c r="J55" s="2650"/>
      <c r="K55" s="2649"/>
      <c r="L55" s="2649"/>
      <c r="M55" s="2648"/>
      <c r="N55" s="2648"/>
      <c r="O55" s="2648"/>
      <c r="P55" s="2648"/>
      <c r="Q55" s="2648"/>
      <c r="R55" s="2648"/>
      <c r="S55" s="2648"/>
      <c r="T55" s="2648"/>
      <c r="U55" s="2648"/>
      <c r="V55" s="2648"/>
      <c r="W55" s="2648"/>
      <c r="X55" s="2648"/>
      <c r="Y55" s="2648"/>
      <c r="Z55" s="2648"/>
      <c r="AA55" s="2648"/>
      <c r="AB55" s="2648"/>
      <c r="AC55" s="2648"/>
      <c r="AD55" s="2648"/>
      <c r="AE55" s="2648"/>
      <c r="AF55" s="2648"/>
      <c r="AG55" s="2648"/>
      <c r="AH55" s="2648"/>
      <c r="AI55" s="2648"/>
      <c r="AJ55" s="2648"/>
      <c r="AK55" s="2648"/>
      <c r="AL55" s="2648"/>
      <c r="AM55" s="2648"/>
      <c r="AN55" s="2648"/>
      <c r="AO55" s="2648"/>
      <c r="AP55" s="2648"/>
      <c r="AQ55" s="2648"/>
      <c r="AR55" s="2648"/>
    </row>
    <row r="56" spans="1:44" ht="14.25">
      <c r="A56" s="1739" t="s">
        <v>1249</v>
      </c>
      <c r="B56" s="75"/>
      <c r="C56" s="2638">
        <v>18</v>
      </c>
      <c r="D56" s="2653"/>
      <c r="E56" s="2650"/>
      <c r="F56" s="2650"/>
      <c r="G56" s="2650"/>
      <c r="H56" s="2650"/>
      <c r="I56" s="2650"/>
      <c r="J56" s="2650"/>
      <c r="K56" s="2649"/>
      <c r="L56" s="2649"/>
      <c r="M56" s="2648"/>
      <c r="N56" s="2648"/>
      <c r="O56" s="2648"/>
      <c r="P56" s="2648"/>
      <c r="Q56" s="2648"/>
      <c r="R56" s="2648"/>
      <c r="S56" s="2648"/>
      <c r="T56" s="2648"/>
      <c r="U56" s="2648"/>
      <c r="V56" s="2648"/>
      <c r="W56" s="2648"/>
      <c r="X56" s="2648"/>
      <c r="Y56" s="2648"/>
      <c r="Z56" s="2648"/>
      <c r="AA56" s="2648"/>
      <c r="AB56" s="2648"/>
      <c r="AC56" s="2648"/>
      <c r="AD56" s="2648"/>
      <c r="AE56" s="2648"/>
      <c r="AF56" s="2648"/>
      <c r="AG56" s="2648"/>
      <c r="AH56" s="2648"/>
      <c r="AI56" s="2648"/>
      <c r="AJ56" s="2648"/>
      <c r="AK56" s="2648"/>
      <c r="AL56" s="2648"/>
      <c r="AM56" s="2648"/>
      <c r="AN56" s="2648"/>
      <c r="AO56" s="2648"/>
      <c r="AP56" s="2648"/>
      <c r="AQ56" s="2648"/>
      <c r="AR56" s="2648"/>
    </row>
    <row r="57" spans="1:44" ht="14.25">
      <c r="A57" s="1739" t="s">
        <v>1250</v>
      </c>
      <c r="B57" s="75">
        <v>12</v>
      </c>
      <c r="C57" s="2638">
        <v>12</v>
      </c>
      <c r="D57" s="2653"/>
      <c r="E57" s="2650"/>
      <c r="F57" s="2650"/>
      <c r="G57" s="2650"/>
      <c r="H57" s="2650"/>
      <c r="I57" s="2650"/>
      <c r="J57" s="2650"/>
      <c r="K57" s="2649"/>
      <c r="L57" s="2649"/>
      <c r="M57" s="2648"/>
      <c r="N57" s="2648"/>
      <c r="O57" s="2648"/>
      <c r="P57" s="2648"/>
      <c r="Q57" s="2648"/>
      <c r="R57" s="2648"/>
      <c r="S57" s="2648"/>
      <c r="T57" s="2648"/>
      <c r="U57" s="2648"/>
      <c r="V57" s="2648"/>
      <c r="W57" s="2648"/>
      <c r="X57" s="2648"/>
      <c r="Y57" s="2648"/>
      <c r="Z57" s="2648"/>
      <c r="AA57" s="2648"/>
      <c r="AB57" s="2648"/>
      <c r="AC57" s="2648"/>
      <c r="AD57" s="2648"/>
      <c r="AE57" s="2648"/>
      <c r="AF57" s="2648"/>
      <c r="AG57" s="2648"/>
      <c r="AH57" s="2648"/>
      <c r="AI57" s="2648"/>
      <c r="AJ57" s="2648"/>
      <c r="AK57" s="2648"/>
      <c r="AL57" s="2648"/>
      <c r="AM57" s="2648"/>
      <c r="AN57" s="2648"/>
      <c r="AO57" s="2648"/>
      <c r="AP57" s="2648"/>
      <c r="AQ57" s="2648"/>
      <c r="AR57" s="2648"/>
    </row>
    <row r="58" spans="1:44" ht="14.25">
      <c r="A58" s="1739" t="s">
        <v>1251</v>
      </c>
      <c r="B58" s="75"/>
      <c r="C58" s="2638">
        <v>3</v>
      </c>
      <c r="D58" s="2653"/>
      <c r="E58" s="2650"/>
      <c r="F58" s="2650"/>
      <c r="G58" s="2650"/>
      <c r="H58" s="2650"/>
      <c r="I58" s="2650"/>
      <c r="J58" s="2650"/>
      <c r="K58" s="2649"/>
      <c r="L58" s="2649"/>
      <c r="M58" s="2648"/>
      <c r="N58" s="2648"/>
      <c r="O58" s="2648"/>
      <c r="P58" s="2648"/>
      <c r="Q58" s="2648"/>
      <c r="R58" s="2648"/>
      <c r="S58" s="2648"/>
      <c r="T58" s="2648"/>
      <c r="U58" s="2648"/>
      <c r="V58" s="2648"/>
      <c r="W58" s="2648"/>
      <c r="X58" s="2648"/>
      <c r="Y58" s="2648"/>
      <c r="Z58" s="2648"/>
      <c r="AA58" s="2648"/>
      <c r="AB58" s="2648"/>
      <c r="AC58" s="2648"/>
      <c r="AD58" s="2648"/>
      <c r="AE58" s="2648"/>
      <c r="AF58" s="2648"/>
      <c r="AG58" s="2648"/>
      <c r="AH58" s="2648"/>
      <c r="AI58" s="2648"/>
      <c r="AJ58" s="2648"/>
      <c r="AK58" s="2648"/>
      <c r="AL58" s="2648"/>
      <c r="AM58" s="2648"/>
      <c r="AN58" s="2648"/>
      <c r="AO58" s="2648"/>
      <c r="AP58" s="2648"/>
      <c r="AQ58" s="2648"/>
      <c r="AR58" s="2648"/>
    </row>
    <row r="59" spans="1:44" ht="14.25">
      <c r="A59" s="1739" t="s">
        <v>1252</v>
      </c>
      <c r="B59" s="75"/>
      <c r="C59" s="2638">
        <v>1.5</v>
      </c>
      <c r="D59" s="2653"/>
      <c r="E59" s="2650"/>
      <c r="F59" s="2650"/>
      <c r="G59" s="2650"/>
      <c r="H59" s="2650"/>
      <c r="I59" s="2650"/>
      <c r="J59" s="2650"/>
      <c r="K59" s="2649"/>
      <c r="L59" s="2649"/>
      <c r="M59" s="2648"/>
      <c r="N59" s="2648"/>
      <c r="O59" s="2648"/>
      <c r="P59" s="2648"/>
      <c r="Q59" s="2648"/>
      <c r="R59" s="2648"/>
      <c r="S59" s="2648"/>
      <c r="T59" s="2648"/>
      <c r="U59" s="2648"/>
      <c r="V59" s="2648"/>
      <c r="W59" s="2648"/>
      <c r="X59" s="2648"/>
      <c r="Y59" s="2648"/>
      <c r="Z59" s="2648"/>
      <c r="AA59" s="2648"/>
      <c r="AB59" s="2648"/>
      <c r="AC59" s="2648"/>
      <c r="AD59" s="2648"/>
      <c r="AE59" s="2648"/>
      <c r="AF59" s="2648"/>
      <c r="AG59" s="2648"/>
      <c r="AH59" s="2648"/>
      <c r="AI59" s="2648"/>
      <c r="AJ59" s="2648"/>
      <c r="AK59" s="2648"/>
      <c r="AL59" s="2648"/>
      <c r="AM59" s="2648"/>
      <c r="AN59" s="2648"/>
      <c r="AO59" s="2648"/>
      <c r="AP59" s="2648"/>
      <c r="AQ59" s="2648"/>
      <c r="AR59" s="2648"/>
    </row>
    <row r="60" spans="1:44" ht="14.25">
      <c r="A60" s="1739" t="s">
        <v>1253</v>
      </c>
      <c r="B60" s="75"/>
      <c r="C60" s="2650"/>
      <c r="D60" s="2653"/>
      <c r="E60" s="2650"/>
      <c r="F60" s="2650"/>
      <c r="G60" s="2650"/>
      <c r="H60" s="2650"/>
      <c r="I60" s="2650"/>
      <c r="J60" s="2650"/>
      <c r="K60" s="2649"/>
      <c r="L60" s="2649"/>
      <c r="M60" s="2648"/>
      <c r="N60" s="2648"/>
      <c r="O60" s="2648"/>
      <c r="P60" s="2648"/>
      <c r="Q60" s="2648"/>
      <c r="R60" s="2648"/>
      <c r="S60" s="2648"/>
      <c r="T60" s="2648"/>
      <c r="U60" s="2648"/>
      <c r="V60" s="2648"/>
      <c r="W60" s="2648"/>
      <c r="X60" s="2648"/>
      <c r="Y60" s="2648"/>
      <c r="Z60" s="2648"/>
      <c r="AA60" s="2648"/>
      <c r="AB60" s="2648"/>
      <c r="AC60" s="2648"/>
      <c r="AD60" s="2648"/>
      <c r="AE60" s="2648"/>
      <c r="AF60" s="2648"/>
      <c r="AG60" s="2648"/>
      <c r="AH60" s="2648"/>
      <c r="AI60" s="2648"/>
      <c r="AJ60" s="2648"/>
      <c r="AK60" s="2648"/>
      <c r="AL60" s="2648"/>
      <c r="AM60" s="2648"/>
      <c r="AN60" s="2648"/>
      <c r="AO60" s="2648"/>
      <c r="AP60" s="2648"/>
      <c r="AQ60" s="2648"/>
      <c r="AR60" s="2648"/>
    </row>
    <row r="61" spans="1:44" ht="14.25">
      <c r="A61" s="1739" t="s">
        <v>1254</v>
      </c>
      <c r="B61" s="75"/>
      <c r="C61" s="2650"/>
      <c r="D61" s="2653"/>
      <c r="E61" s="2650"/>
      <c r="F61" s="2650"/>
      <c r="G61" s="2650"/>
      <c r="H61" s="2650"/>
      <c r="I61" s="2650"/>
      <c r="J61" s="2650"/>
      <c r="K61" s="2649"/>
      <c r="L61" s="2649"/>
      <c r="M61" s="2648"/>
      <c r="N61" s="2648"/>
      <c r="O61" s="2648"/>
      <c r="P61" s="2648"/>
      <c r="Q61" s="2648"/>
      <c r="R61" s="2648"/>
      <c r="S61" s="2648"/>
      <c r="T61" s="2648"/>
      <c r="U61" s="2648"/>
      <c r="V61" s="2648"/>
      <c r="W61" s="2648"/>
      <c r="X61" s="2648"/>
      <c r="Y61" s="2648"/>
      <c r="Z61" s="2648"/>
      <c r="AA61" s="2648"/>
      <c r="AB61" s="2648"/>
      <c r="AC61" s="2648"/>
      <c r="AD61" s="2648"/>
      <c r="AE61" s="2648"/>
      <c r="AF61" s="2648"/>
      <c r="AG61" s="2648"/>
      <c r="AH61" s="2648"/>
      <c r="AI61" s="2648"/>
      <c r="AJ61" s="2648"/>
      <c r="AK61" s="2648"/>
      <c r="AL61" s="2648"/>
      <c r="AM61" s="2648"/>
      <c r="AN61" s="2648"/>
      <c r="AO61" s="2648"/>
      <c r="AP61" s="2648"/>
      <c r="AQ61" s="2648"/>
      <c r="AR61" s="2648"/>
    </row>
    <row r="62" spans="1:44" ht="14.25">
      <c r="A62" s="1739" t="s">
        <v>1255</v>
      </c>
      <c r="B62" s="75"/>
      <c r="C62" s="2650"/>
      <c r="D62" s="2653"/>
      <c r="E62" s="2650"/>
      <c r="F62" s="2650"/>
      <c r="G62" s="2650"/>
      <c r="H62" s="2650"/>
      <c r="I62" s="2650"/>
      <c r="J62" s="2650"/>
      <c r="K62" s="2649"/>
      <c r="L62" s="2649"/>
      <c r="M62" s="2648"/>
      <c r="N62" s="2648"/>
      <c r="O62" s="2648"/>
      <c r="P62" s="2648"/>
      <c r="Q62" s="2648"/>
      <c r="R62" s="2648"/>
      <c r="S62" s="2648"/>
      <c r="T62" s="2648"/>
      <c r="U62" s="2648"/>
      <c r="V62" s="2648"/>
      <c r="W62" s="2648"/>
      <c r="X62" s="2648"/>
      <c r="Y62" s="2648"/>
      <c r="Z62" s="2648"/>
      <c r="AA62" s="2648"/>
      <c r="AB62" s="2648"/>
      <c r="AC62" s="2648"/>
      <c r="AD62" s="2648"/>
      <c r="AE62" s="2648"/>
      <c r="AF62" s="2648"/>
      <c r="AG62" s="2648"/>
      <c r="AH62" s="2648"/>
      <c r="AI62" s="2648"/>
      <c r="AJ62" s="2648"/>
      <c r="AK62" s="2648"/>
      <c r="AL62" s="2648"/>
      <c r="AM62" s="2648"/>
      <c r="AN62" s="2648"/>
      <c r="AO62" s="2648"/>
      <c r="AP62" s="2648"/>
      <c r="AQ62" s="2648"/>
      <c r="AR62" s="2648"/>
    </row>
    <row r="63" spans="1:44" ht="15" thickBot="1">
      <c r="A63" s="1740" t="s">
        <v>1256</v>
      </c>
      <c r="B63" s="125"/>
      <c r="C63" s="2650"/>
      <c r="D63" s="2653"/>
      <c r="E63" s="2650"/>
      <c r="F63" s="2650"/>
      <c r="G63" s="2650"/>
      <c r="H63" s="2650"/>
      <c r="I63" s="2650"/>
      <c r="J63" s="2650"/>
      <c r="K63" s="2649"/>
      <c r="L63" s="2649"/>
      <c r="M63" s="2648"/>
      <c r="N63" s="2648"/>
      <c r="O63" s="2648"/>
      <c r="P63" s="2648"/>
      <c r="Q63" s="2648"/>
      <c r="R63" s="2648"/>
      <c r="S63" s="2648"/>
      <c r="T63" s="2648"/>
      <c r="U63" s="2648"/>
      <c r="V63" s="2648"/>
      <c r="W63" s="2648"/>
      <c r="X63" s="2648"/>
      <c r="Y63" s="2648"/>
      <c r="Z63" s="2648"/>
      <c r="AA63" s="2648"/>
      <c r="AB63" s="2648"/>
      <c r="AC63" s="2648"/>
      <c r="AD63" s="2648"/>
      <c r="AE63" s="2648"/>
      <c r="AF63" s="2648"/>
      <c r="AG63" s="2648"/>
      <c r="AH63" s="2648"/>
      <c r="AI63" s="2648"/>
      <c r="AJ63" s="2648"/>
      <c r="AK63" s="2648"/>
      <c r="AL63" s="2648"/>
      <c r="AM63" s="2648"/>
      <c r="AN63" s="2648"/>
      <c r="AO63" s="2648"/>
      <c r="AP63" s="2648"/>
      <c r="AQ63" s="2648"/>
      <c r="AR63" s="2648"/>
    </row>
    <row r="64" spans="1:44" s="793" customFormat="1">
      <c r="A64" s="2641"/>
      <c r="B64" s="2648"/>
      <c r="C64" s="2648"/>
      <c r="D64" s="2652"/>
      <c r="E64" s="2648"/>
      <c r="F64" s="2648"/>
      <c r="G64" s="2648"/>
      <c r="H64" s="2648"/>
      <c r="I64" s="2648"/>
      <c r="J64" s="2648"/>
      <c r="K64" s="2649"/>
      <c r="L64" s="2649"/>
      <c r="M64" s="2648"/>
      <c r="N64" s="2648"/>
      <c r="O64" s="2648"/>
      <c r="P64" s="2648"/>
      <c r="Q64" s="2648"/>
      <c r="R64" s="2648"/>
      <c r="S64" s="2648"/>
      <c r="T64" s="2648"/>
      <c r="U64" s="2648"/>
      <c r="V64" s="2648"/>
      <c r="W64" s="2648"/>
      <c r="X64" s="2648"/>
      <c r="Y64" s="2648"/>
      <c r="Z64" s="2648"/>
      <c r="AA64" s="2648"/>
      <c r="AB64" s="2648"/>
      <c r="AC64" s="2648"/>
      <c r="AD64" s="2648"/>
      <c r="AE64" s="2648"/>
      <c r="AF64" s="2648"/>
      <c r="AG64" s="2648"/>
      <c r="AH64" s="2648"/>
      <c r="AI64" s="2648"/>
      <c r="AJ64" s="2648"/>
      <c r="AK64" s="2648"/>
      <c r="AL64" s="2648"/>
      <c r="AM64" s="2648"/>
      <c r="AN64" s="2648"/>
      <c r="AO64" s="2648"/>
      <c r="AP64" s="2648"/>
      <c r="AQ64" s="2648"/>
      <c r="AR64" s="2648"/>
    </row>
    <row r="65" spans="1:44" s="793" customFormat="1">
      <c r="A65" s="2641"/>
      <c r="B65" s="2648"/>
      <c r="C65" s="2648"/>
      <c r="D65" s="2652"/>
      <c r="E65" s="2648"/>
      <c r="F65" s="2648"/>
      <c r="G65" s="2648"/>
      <c r="H65" s="2648"/>
      <c r="I65" s="2648"/>
      <c r="J65" s="2648"/>
      <c r="K65" s="2649"/>
      <c r="L65" s="2649"/>
      <c r="M65" s="2648"/>
      <c r="N65" s="2648"/>
      <c r="O65" s="2648"/>
      <c r="P65" s="2648"/>
      <c r="Q65" s="2648"/>
      <c r="R65" s="2648"/>
      <c r="S65" s="2648"/>
      <c r="T65" s="2648"/>
      <c r="U65" s="2648"/>
      <c r="V65" s="2648"/>
      <c r="W65" s="2648"/>
      <c r="X65" s="2648"/>
      <c r="Y65" s="2648"/>
      <c r="Z65" s="2648"/>
      <c r="AA65" s="2648"/>
      <c r="AB65" s="2648"/>
      <c r="AC65" s="2648"/>
      <c r="AD65" s="2648"/>
      <c r="AE65" s="2648"/>
      <c r="AF65" s="2648"/>
      <c r="AG65" s="2648"/>
      <c r="AH65" s="2648"/>
      <c r="AI65" s="2648"/>
      <c r="AJ65" s="2648"/>
      <c r="AK65" s="2648"/>
      <c r="AL65" s="2648"/>
      <c r="AM65" s="2648"/>
      <c r="AN65" s="2648"/>
      <c r="AO65" s="2648"/>
      <c r="AP65" s="2648"/>
      <c r="AQ65" s="2648"/>
      <c r="AR65" s="2648"/>
    </row>
    <row r="66" spans="1:44" s="793" customFormat="1">
      <c r="A66" s="2641"/>
      <c r="B66" s="2648"/>
      <c r="C66" s="2648"/>
      <c r="D66" s="2652"/>
      <c r="E66" s="2648"/>
      <c r="F66" s="2648"/>
      <c r="G66" s="2648"/>
      <c r="H66" s="2648"/>
      <c r="I66" s="2648"/>
      <c r="J66" s="2648"/>
      <c r="K66" s="2649"/>
      <c r="L66" s="2649"/>
      <c r="M66" s="2648"/>
      <c r="N66" s="2648"/>
      <c r="O66" s="2648"/>
      <c r="P66" s="2648"/>
      <c r="Q66" s="2648"/>
      <c r="R66" s="2648"/>
      <c r="S66" s="2648"/>
      <c r="T66" s="2648"/>
      <c r="U66" s="2648"/>
      <c r="V66" s="2648"/>
      <c r="W66" s="2648"/>
      <c r="X66" s="2648"/>
      <c r="Y66" s="2648"/>
      <c r="Z66" s="2648"/>
      <c r="AA66" s="2648"/>
      <c r="AB66" s="2648"/>
      <c r="AC66" s="2648"/>
      <c r="AD66" s="2648"/>
      <c r="AE66" s="2648"/>
      <c r="AF66" s="2648"/>
      <c r="AG66" s="2648"/>
      <c r="AH66" s="2648"/>
      <c r="AI66" s="2648"/>
      <c r="AJ66" s="2648"/>
      <c r="AK66" s="2648"/>
      <c r="AL66" s="2648"/>
      <c r="AM66" s="2648"/>
      <c r="AN66" s="2648"/>
      <c r="AO66" s="2648"/>
      <c r="AP66" s="2648"/>
      <c r="AQ66" s="2648"/>
      <c r="AR66" s="2648"/>
    </row>
    <row r="67" spans="1:44" s="793" customFormat="1">
      <c r="A67" s="2641"/>
      <c r="B67" s="2648"/>
      <c r="C67" s="2648"/>
      <c r="D67" s="2652"/>
      <c r="E67" s="2648"/>
      <c r="F67" s="2648"/>
      <c r="G67" s="2648"/>
      <c r="H67" s="2648"/>
      <c r="I67" s="2648"/>
      <c r="J67" s="2648"/>
      <c r="K67" s="2649"/>
      <c r="L67" s="2649"/>
      <c r="M67" s="2648"/>
      <c r="N67" s="2648"/>
      <c r="O67" s="2648"/>
      <c r="P67" s="2648"/>
      <c r="Q67" s="2648"/>
      <c r="R67" s="2648"/>
      <c r="S67" s="2648"/>
      <c r="T67" s="2648"/>
      <c r="U67" s="2648"/>
      <c r="V67" s="2648"/>
      <c r="W67" s="2648"/>
      <c r="X67" s="2648"/>
      <c r="Y67" s="2648"/>
      <c r="Z67" s="2648"/>
      <c r="AA67" s="2648"/>
      <c r="AB67" s="2648"/>
      <c r="AC67" s="2648"/>
      <c r="AD67" s="2648"/>
      <c r="AE67" s="2648"/>
      <c r="AF67" s="2648"/>
      <c r="AG67" s="2648"/>
      <c r="AH67" s="2648"/>
      <c r="AI67" s="2648"/>
      <c r="AJ67" s="2648"/>
      <c r="AK67" s="2648"/>
      <c r="AL67" s="2648"/>
      <c r="AM67" s="2648"/>
      <c r="AN67" s="2648"/>
      <c r="AO67" s="2648"/>
      <c r="AP67" s="2648"/>
      <c r="AQ67" s="2648"/>
      <c r="AR67" s="2648"/>
    </row>
    <row r="68" spans="1:44" s="793" customFormat="1">
      <c r="A68" s="2641"/>
      <c r="B68" s="2648"/>
      <c r="C68" s="2648"/>
      <c r="D68" s="2652"/>
      <c r="E68" s="2648"/>
      <c r="F68" s="2648"/>
      <c r="G68" s="2648"/>
      <c r="H68" s="2648"/>
      <c r="I68" s="2648"/>
      <c r="J68" s="2648"/>
      <c r="K68" s="2649"/>
      <c r="L68" s="2649"/>
      <c r="M68" s="2648"/>
      <c r="N68" s="2648"/>
      <c r="O68" s="2648"/>
      <c r="P68" s="2648"/>
      <c r="Q68" s="2648"/>
      <c r="R68" s="2648"/>
      <c r="S68" s="2648"/>
      <c r="T68" s="2648"/>
      <c r="U68" s="2648"/>
      <c r="V68" s="2648"/>
      <c r="W68" s="2648"/>
      <c r="X68" s="2648"/>
      <c r="Y68" s="2648"/>
      <c r="Z68" s="2648"/>
      <c r="AA68" s="2648"/>
      <c r="AB68" s="2648"/>
      <c r="AC68" s="2648"/>
      <c r="AD68" s="2648"/>
      <c r="AE68" s="2648"/>
      <c r="AF68" s="2648"/>
      <c r="AG68" s="2648"/>
      <c r="AH68" s="2648"/>
      <c r="AI68" s="2648"/>
      <c r="AJ68" s="2648"/>
      <c r="AK68" s="2648"/>
      <c r="AL68" s="2648"/>
      <c r="AM68" s="2648"/>
      <c r="AN68" s="2648"/>
      <c r="AO68" s="2648"/>
      <c r="AP68" s="2648"/>
      <c r="AQ68" s="2648"/>
      <c r="AR68" s="2648"/>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ColWidth="9" defaultRowHeight="14.25"/>
  <cols>
    <col min="1" max="1" width="9.5" style="1686" customWidth="1"/>
    <col min="2" max="2" width="24.5" style="1572" customWidth="1"/>
    <col min="3" max="3" width="24.5" style="2507" customWidth="1"/>
    <col min="4" max="4" width="2.625" style="2507" customWidth="1"/>
    <col min="5" max="5" width="5.875" style="2507" customWidth="1"/>
    <col min="6" max="6" width="27" style="1572"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6"/>
  </cols>
  <sheetData>
    <row r="1" spans="1:29" s="2456" customFormat="1" ht="18.75" thickBot="1">
      <c r="A1" s="3780" t="s">
        <v>2266</v>
      </c>
      <c r="B1" s="3781"/>
      <c r="C1" s="3781"/>
      <c r="D1" s="3781"/>
      <c r="E1" s="3781"/>
      <c r="F1" s="3781"/>
      <c r="G1" s="3781"/>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2262</v>
      </c>
      <c r="D2" s="2460"/>
      <c r="E2" s="2457"/>
      <c r="F2" s="2461"/>
      <c r="G2" s="2459" t="s">
        <v>2263</v>
      </c>
      <c r="H2" s="799"/>
      <c r="I2" s="799"/>
      <c r="J2" s="799"/>
      <c r="K2" s="799"/>
      <c r="L2" s="799"/>
      <c r="M2" s="799"/>
      <c r="N2" s="799"/>
      <c r="O2" s="799"/>
      <c r="P2" s="799"/>
      <c r="Q2" s="799"/>
      <c r="R2" s="799"/>
    </row>
    <row r="3" spans="1:29" ht="25.5">
      <c r="A3" s="2440" t="s">
        <v>2264</v>
      </c>
      <c r="B3" s="2462" t="s">
        <v>2236</v>
      </c>
      <c r="C3" s="3584" t="s">
        <v>3829</v>
      </c>
      <c r="D3" s="2463"/>
      <c r="E3" s="2441" t="s">
        <v>2264</v>
      </c>
      <c r="F3" s="2464" t="s">
        <v>2237</v>
      </c>
      <c r="G3" s="2465" t="s">
        <v>2265</v>
      </c>
      <c r="H3" s="799"/>
      <c r="I3" s="799"/>
      <c r="J3" s="799"/>
      <c r="K3" s="799"/>
      <c r="L3" s="799"/>
      <c r="M3" s="799"/>
      <c r="N3" s="799"/>
      <c r="O3" s="799"/>
      <c r="P3" s="799"/>
      <c r="Q3" s="799"/>
      <c r="R3" s="799"/>
    </row>
    <row r="4" spans="1:29" ht="36">
      <c r="A4" s="2441"/>
      <c r="B4" s="323" t="s">
        <v>2238</v>
      </c>
      <c r="C4" s="3585" t="s">
        <v>4470</v>
      </c>
      <c r="D4" s="2463"/>
      <c r="E4" s="2466"/>
      <c r="F4" s="1373" t="s">
        <v>2239</v>
      </c>
      <c r="G4" s="2467" t="s">
        <v>2240</v>
      </c>
      <c r="H4" s="799"/>
      <c r="I4" s="799"/>
      <c r="J4" s="799"/>
      <c r="K4" s="799"/>
      <c r="L4" s="799"/>
      <c r="M4" s="799"/>
      <c r="N4" s="799"/>
      <c r="O4" s="799"/>
      <c r="P4" s="799"/>
      <c r="Q4" s="799"/>
      <c r="R4" s="799"/>
    </row>
    <row r="5" spans="1:29" ht="24">
      <c r="A5" s="2441"/>
      <c r="B5" s="323" t="s">
        <v>2241</v>
      </c>
      <c r="C5" s="3585" t="s">
        <v>3833</v>
      </c>
      <c r="D5" s="2463"/>
      <c r="E5" s="2466"/>
      <c r="F5" s="323" t="s">
        <v>2242</v>
      </c>
      <c r="G5" s="2467" t="s">
        <v>2243</v>
      </c>
      <c r="H5" s="799"/>
      <c r="I5" s="799"/>
      <c r="J5" s="799"/>
      <c r="K5" s="799"/>
      <c r="L5" s="799"/>
      <c r="M5" s="799"/>
      <c r="N5" s="799"/>
      <c r="O5" s="799"/>
      <c r="P5" s="799"/>
      <c r="Q5" s="799"/>
      <c r="R5" s="799"/>
    </row>
    <row r="6" spans="1:29">
      <c r="A6" s="2441"/>
      <c r="B6" s="323" t="s">
        <v>2244</v>
      </c>
      <c r="C6" s="3586" t="s">
        <v>4471</v>
      </c>
      <c r="D6" s="2463"/>
      <c r="E6" s="2466"/>
      <c r="F6" s="323" t="s">
        <v>2245</v>
      </c>
      <c r="G6" s="2467" t="s">
        <v>2246</v>
      </c>
      <c r="H6" s="799"/>
      <c r="I6" s="799"/>
      <c r="J6" s="799"/>
      <c r="K6" s="799"/>
      <c r="L6" s="799"/>
      <c r="M6" s="799"/>
      <c r="N6" s="799"/>
      <c r="O6" s="799"/>
      <c r="P6" s="799"/>
      <c r="Q6" s="799"/>
      <c r="R6" s="799"/>
    </row>
    <row r="7" spans="1:29" ht="24.75" thickBot="1">
      <c r="A7" s="2441"/>
      <c r="B7" s="323" t="s">
        <v>2242</v>
      </c>
      <c r="C7" s="3586" t="s">
        <v>3830</v>
      </c>
      <c r="D7" s="2468"/>
      <c r="E7" s="2469"/>
      <c r="F7" s="2470" t="s">
        <v>2247</v>
      </c>
      <c r="G7" s="2471" t="s">
        <v>2248</v>
      </c>
      <c r="H7" s="799"/>
      <c r="I7" s="799"/>
      <c r="J7" s="799"/>
      <c r="K7" s="799"/>
      <c r="L7" s="799"/>
      <c r="M7" s="799"/>
      <c r="N7" s="799"/>
      <c r="O7" s="799"/>
      <c r="P7" s="799"/>
      <c r="Q7" s="799"/>
      <c r="R7" s="799"/>
    </row>
    <row r="8" spans="1:29">
      <c r="A8" s="2441"/>
      <c r="B8" s="323" t="s">
        <v>2245</v>
      </c>
      <c r="C8" s="3586" t="s">
        <v>3831</v>
      </c>
      <c r="D8" s="2468"/>
      <c r="E8" s="2468"/>
      <c r="F8" s="2472"/>
      <c r="G8" s="2472"/>
      <c r="H8" s="799"/>
      <c r="I8" s="799"/>
      <c r="J8" s="799"/>
      <c r="K8" s="799"/>
      <c r="L8" s="799"/>
      <c r="M8" s="799"/>
      <c r="N8" s="799"/>
      <c r="O8" s="799"/>
      <c r="P8" s="799"/>
      <c r="Q8" s="799"/>
      <c r="R8" s="799"/>
    </row>
    <row r="9" spans="1:29">
      <c r="A9" s="2441"/>
      <c r="B9" s="323" t="s">
        <v>2249</v>
      </c>
      <c r="C9" s="3586" t="s">
        <v>3830</v>
      </c>
      <c r="D9" s="2463"/>
      <c r="E9" s="2468"/>
      <c r="F9" s="2472"/>
      <c r="G9" s="2472"/>
      <c r="H9" s="799"/>
      <c r="I9" s="799"/>
      <c r="J9" s="799"/>
      <c r="K9" s="799"/>
      <c r="L9" s="799"/>
      <c r="M9" s="799"/>
      <c r="N9" s="799"/>
      <c r="O9" s="799"/>
      <c r="P9" s="799"/>
      <c r="Q9" s="799"/>
      <c r="R9" s="799"/>
    </row>
    <row r="10" spans="1:29" s="2478" customFormat="1" ht="15" thickBot="1">
      <c r="A10" s="2442"/>
      <c r="B10" s="2473" t="s">
        <v>2250</v>
      </c>
      <c r="C10" s="2474"/>
      <c r="D10" s="2463"/>
      <c r="E10" s="2463"/>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3"/>
      <c r="D11" s="2463"/>
      <c r="E11" s="2463"/>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6" customFormat="1" ht="18">
      <c r="A12" s="2479"/>
      <c r="B12" s="2468"/>
      <c r="C12" s="2463"/>
      <c r="D12" s="2481"/>
      <c r="E12" s="2463"/>
      <c r="F12" s="2468"/>
      <c r="G12" s="2480"/>
      <c r="H12" s="2482"/>
      <c r="I12" s="2483"/>
      <c r="J12" s="2482"/>
      <c r="K12" s="2482"/>
      <c r="L12" s="2484"/>
      <c r="M12" s="2482"/>
      <c r="N12" s="2485"/>
      <c r="O12" s="2486"/>
      <c r="P12" s="2485"/>
      <c r="Q12" s="2485"/>
      <c r="R12" s="2454"/>
      <c r="S12" s="2455"/>
      <c r="T12" s="2455"/>
      <c r="U12" s="2455"/>
      <c r="V12" s="2455"/>
      <c r="W12" s="2455"/>
      <c r="X12" s="2455"/>
      <c r="Y12" s="2455"/>
      <c r="Z12" s="2455"/>
      <c r="AA12" s="2455"/>
      <c r="AB12" s="2455"/>
      <c r="AC12" s="2455"/>
    </row>
    <row r="13" spans="1:29" ht="15.75" thickBot="1">
      <c r="A13" s="2487" t="s">
        <v>2267</v>
      </c>
      <c r="B13" s="2481"/>
      <c r="C13" s="2481"/>
      <c r="D13" s="2479"/>
      <c r="E13" s="2481"/>
      <c r="F13" s="2481"/>
      <c r="G13" s="2481"/>
    </row>
    <row r="14" spans="1:29" ht="15" thickBot="1">
      <c r="A14" s="2491"/>
      <c r="B14" s="2491"/>
      <c r="C14" s="2492" t="s">
        <v>2251</v>
      </c>
      <c r="D14" s="2463"/>
      <c r="E14" s="2493"/>
      <c r="F14" s="2493"/>
      <c r="G14" s="2459" t="s">
        <v>2252</v>
      </c>
    </row>
    <row r="15" spans="1:29" ht="25.5">
      <c r="A15" s="2443" t="s">
        <v>2253</v>
      </c>
      <c r="B15" s="2494" t="s">
        <v>2236</v>
      </c>
      <c r="C15" s="2495" t="str">
        <f>C3</f>
        <v>较好</v>
      </c>
      <c r="D15" s="2463"/>
      <c r="E15" s="2444" t="s">
        <v>2254</v>
      </c>
      <c r="F15" s="2494" t="s">
        <v>2255</v>
      </c>
      <c r="G15" s="2496" t="str">
        <f>G3</f>
        <v>估价对象位于XX开发区，园区建设成熟度XX，产业集聚程度XX</v>
      </c>
    </row>
    <row r="16" spans="1:29" ht="38.25">
      <c r="A16" s="2445"/>
      <c r="B16" s="2497" t="s">
        <v>2238</v>
      </c>
      <c r="C16" s="2498" t="str">
        <f>C4</f>
        <v>一般</v>
      </c>
      <c r="D16" s="2463"/>
      <c r="E16" s="2446"/>
      <c r="F16" s="2499" t="s">
        <v>2239</v>
      </c>
      <c r="G16" s="2500" t="str">
        <f>G4</f>
        <v>估价对象周边道路状况、公共交通通达情况、停车便捷程度，综合评价交通便捷度较好</v>
      </c>
    </row>
    <row r="17" spans="1:18">
      <c r="A17" s="2445"/>
      <c r="B17" s="2497" t="s">
        <v>2241</v>
      </c>
      <c r="C17" s="2498" t="str">
        <f>C5</f>
        <v>一般</v>
      </c>
      <c r="D17" s="2468"/>
      <c r="E17" s="2446"/>
      <c r="F17" s="2499" t="s">
        <v>2256</v>
      </c>
      <c r="G17" s="2501"/>
    </row>
    <row r="18" spans="1:18" ht="25.5">
      <c r="A18" s="2445"/>
      <c r="B18" s="2499" t="s">
        <v>2244</v>
      </c>
      <c r="C18" s="2500" t="str">
        <f>C6</f>
        <v>一般</v>
      </c>
      <c r="D18" s="2468"/>
      <c r="E18" s="2446"/>
      <c r="F18" s="2499" t="s">
        <v>2247</v>
      </c>
      <c r="G18" s="2500" t="str">
        <f>G7</f>
        <v>该园区内是否有污染型企业，绿化情况，卫生条件，整体环境状况判断</v>
      </c>
    </row>
    <row r="19" spans="1:18" ht="25.5">
      <c r="A19" s="2445"/>
      <c r="B19" s="2499" t="s">
        <v>2257</v>
      </c>
      <c r="C19" s="2501"/>
      <c r="D19" s="2463"/>
      <c r="E19" s="2446"/>
      <c r="F19" s="323" t="s">
        <v>2242</v>
      </c>
      <c r="G19" s="2500" t="str">
        <f>G5</f>
        <v>估价对象所在区域公共配套设施齐备情况</v>
      </c>
    </row>
    <row r="20" spans="1:18">
      <c r="A20" s="2445"/>
      <c r="B20" s="2499" t="s">
        <v>2258</v>
      </c>
      <c r="C20" s="2498" t="str">
        <f>C9</f>
        <v>较好</v>
      </c>
      <c r="D20" s="2468"/>
      <c r="E20" s="2446"/>
      <c r="F20" s="323" t="s">
        <v>2245</v>
      </c>
      <c r="G20" s="2500" t="str">
        <f>G6</f>
        <v>估价对象所在区域基础设施水平</v>
      </c>
    </row>
    <row r="21" spans="1:18">
      <c r="A21" s="2445"/>
      <c r="B21" s="323" t="s">
        <v>2242</v>
      </c>
      <c r="C21" s="2500" t="str">
        <f>C7</f>
        <v>较好</v>
      </c>
      <c r="D21" s="2463"/>
      <c r="E21" s="2446"/>
      <c r="F21" s="2499" t="s">
        <v>2259</v>
      </c>
      <c r="G21" s="2502"/>
    </row>
    <row r="22" spans="1:18" ht="13.5" customHeight="1">
      <c r="A22" s="2445"/>
      <c r="B22" s="323" t="s">
        <v>2245</v>
      </c>
      <c r="C22" s="2500" t="str">
        <f>C8</f>
        <v>七通</v>
      </c>
      <c r="D22" s="2463"/>
      <c r="E22" s="2446"/>
      <c r="F22" s="2499" t="s">
        <v>2250</v>
      </c>
      <c r="G22" s="2501"/>
    </row>
    <row r="23" spans="1:18" s="799" customFormat="1" ht="15" thickBot="1">
      <c r="A23" s="2445"/>
      <c r="B23" s="2499" t="s">
        <v>2259</v>
      </c>
      <c r="C23" s="2502"/>
      <c r="D23" s="1741"/>
      <c r="E23" s="2447"/>
      <c r="F23" s="2503" t="s">
        <v>2260</v>
      </c>
      <c r="G23" s="2504"/>
      <c r="H23" s="2488"/>
      <c r="I23" s="2489"/>
      <c r="J23" s="2488"/>
      <c r="K23" s="2488"/>
      <c r="L23" s="2489"/>
      <c r="M23" s="2488"/>
      <c r="N23" s="2488"/>
      <c r="O23" s="2489"/>
      <c r="P23" s="2488"/>
      <c r="Q23" s="2488"/>
      <c r="R23" s="2490"/>
    </row>
    <row r="24" spans="1:18" s="799" customFormat="1" ht="15" thickBot="1">
      <c r="A24" s="2448"/>
      <c r="B24" s="2503" t="s">
        <v>2261</v>
      </c>
      <c r="C24" s="2505">
        <f>C10</f>
        <v>0</v>
      </c>
      <c r="D24" s="1741"/>
      <c r="E24" s="2438"/>
      <c r="F24" s="2438"/>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6" sqref="H36"/>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48720.729999999974</v>
      </c>
      <c r="C1" s="2663"/>
      <c r="D1" s="2663"/>
      <c r="E1" s="2663"/>
      <c r="F1" s="2663"/>
      <c r="G1" s="2664"/>
      <c r="H1" s="2665"/>
      <c r="I1" s="2665"/>
      <c r="J1" s="2665"/>
      <c r="K1" s="2665"/>
    </row>
    <row r="2" spans="1:11" ht="16.5">
      <c r="A2" s="2509" t="s">
        <v>653</v>
      </c>
      <c r="B2" s="2509">
        <f>SUM(C14:C23)</f>
        <v>0</v>
      </c>
      <c r="C2" s="2663"/>
      <c r="D2" s="2663"/>
      <c r="E2" s="2663"/>
      <c r="F2" s="2663"/>
      <c r="G2" s="2664"/>
      <c r="H2" s="2665"/>
      <c r="I2" s="2665"/>
      <c r="J2" s="2665"/>
      <c r="K2" s="2665"/>
    </row>
    <row r="3" spans="1:11" ht="16.5">
      <c r="A3" s="2509" t="s">
        <v>662</v>
      </c>
      <c r="B3" s="2511">
        <f>项目基本情况!D3</f>
        <v>45287</v>
      </c>
      <c r="C3" s="2663"/>
      <c r="D3" s="2663"/>
      <c r="E3" s="2663"/>
      <c r="F3" s="2663"/>
      <c r="G3" s="2664"/>
      <c r="H3" s="2665"/>
      <c r="I3" s="2665"/>
      <c r="J3" s="2665"/>
      <c r="K3" s="2665"/>
    </row>
    <row r="4" spans="1:11" ht="33">
      <c r="A4" s="2509" t="s">
        <v>661</v>
      </c>
      <c r="B4" s="2509" t="s">
        <v>660</v>
      </c>
      <c r="C4" s="2509" t="s">
        <v>659</v>
      </c>
      <c r="D4" s="2509" t="s">
        <v>658</v>
      </c>
      <c r="E4" s="2663"/>
      <c r="F4" s="2664"/>
      <c r="G4" s="2664"/>
      <c r="H4" s="2665"/>
      <c r="I4" s="2665"/>
      <c r="J4" s="2665"/>
      <c r="K4" s="2665"/>
    </row>
    <row r="5" spans="1:11" ht="16.5">
      <c r="A5" s="2509" t="s">
        <v>657</v>
      </c>
      <c r="B5" s="2509">
        <f ca="1">SUM(D14:D23)</f>
        <v>196852</v>
      </c>
      <c r="C5" s="2509">
        <f ca="1">IF(B5=D14,结果表!H102,ROUND(B5*10000/$B$1,0))</f>
        <v>40404</v>
      </c>
      <c r="D5" s="2509" t="e">
        <f ca="1">ROUND(B5*10000/$B$2,0)</f>
        <v>#DIV/0!</v>
      </c>
      <c r="E5" s="2663"/>
      <c r="F5" s="2664"/>
      <c r="G5" s="2664"/>
      <c r="H5" s="2665"/>
      <c r="I5" s="2665"/>
      <c r="J5" s="2665"/>
      <c r="K5" s="2665"/>
    </row>
    <row r="6" spans="1:11" ht="16.5">
      <c r="A6" s="2509" t="s">
        <v>656</v>
      </c>
      <c r="B6" s="2509">
        <f ca="1">SUM(G14:G23)</f>
        <v>196852</v>
      </c>
      <c r="C6" s="2509">
        <f ca="1">IF(B6=G14,结果表!H108,ROUND(B6*10000/$B$1,0))</f>
        <v>40404</v>
      </c>
      <c r="D6" s="2509" t="e">
        <f ca="1">ROUND(B6*10000/$B$2,0)</f>
        <v>#DIV/0!</v>
      </c>
      <c r="E6" s="2663"/>
      <c r="F6" s="2664"/>
      <c r="G6" s="2664"/>
      <c r="H6" s="2665"/>
      <c r="I6" s="2665"/>
      <c r="J6" s="2665"/>
      <c r="K6" s="2665"/>
    </row>
    <row r="7" spans="1:11" ht="16.5">
      <c r="A7" s="2509" t="s">
        <v>664</v>
      </c>
      <c r="B7" s="2509">
        <f>SUM(H14:H23)</f>
        <v>0</v>
      </c>
      <c r="C7" s="2509" t="str">
        <f>IF(B7=H14,结果表!H110,ROUND(B7*10000/$B$1,0))</f>
        <v>——</v>
      </c>
      <c r="D7" s="2509" t="e">
        <f>ROUND(B7*10000/$B$2,0)</f>
        <v>#DIV/0!</v>
      </c>
      <c r="E7" s="2663"/>
      <c r="F7" s="2664"/>
      <c r="G7" s="2664"/>
      <c r="H7" s="2665"/>
      <c r="I7" s="2665"/>
      <c r="J7" s="2665"/>
      <c r="K7" s="2665"/>
    </row>
    <row r="8" spans="1:11" ht="16.5">
      <c r="A8" s="2509" t="s">
        <v>587</v>
      </c>
      <c r="B8" s="2509">
        <f ca="1">SUM(I14:I23)</f>
        <v>188390</v>
      </c>
      <c r="C8" s="2509">
        <f ca="1">IF(B8=I14,结果表!H112,ROUND(B8*10000/$B$1,0))</f>
        <v>38667</v>
      </c>
      <c r="D8" s="2509" t="e">
        <f ca="1">ROUND(B8*10000/$B$2,0)</f>
        <v>#DIV/0!</v>
      </c>
      <c r="E8" s="2663"/>
      <c r="F8" s="2664"/>
      <c r="G8" s="2664"/>
      <c r="H8" s="2665"/>
      <c r="I8" s="2665"/>
      <c r="J8" s="2665"/>
      <c r="K8" s="2665"/>
    </row>
    <row r="9" spans="1:11" ht="16.5">
      <c r="A9" s="2509" t="s">
        <v>655</v>
      </c>
      <c r="B9" s="2517"/>
      <c r="C9" s="2663"/>
      <c r="D9" s="2663"/>
      <c r="E9" s="2663"/>
      <c r="F9" s="2664"/>
      <c r="G9" s="2664"/>
      <c r="H9" s="2665"/>
      <c r="I9" s="2665"/>
      <c r="J9" s="2665"/>
      <c r="K9" s="2665"/>
    </row>
    <row r="10" spans="1:11" ht="16.5">
      <c r="A10" s="2509" t="s">
        <v>654</v>
      </c>
      <c r="B10" s="2509">
        <f>IF(E10="",0,ROUND(B1*(E10*365/G10)/10000,0))</f>
        <v>0</v>
      </c>
      <c r="C10" s="2509" t="s">
        <v>3340</v>
      </c>
      <c r="D10" s="2509" t="s">
        <v>3341</v>
      </c>
      <c r="E10" s="3418"/>
      <c r="F10" s="3422" t="s">
        <v>3342</v>
      </c>
      <c r="G10" s="3419"/>
      <c r="H10" s="2665"/>
      <c r="I10" s="2665"/>
      <c r="J10" s="2665"/>
      <c r="K10" s="2665"/>
    </row>
    <row r="11" spans="1:11" ht="16.5">
      <c r="A11" s="2509" t="s">
        <v>670</v>
      </c>
      <c r="B11" s="2517"/>
      <c r="C11" s="2663"/>
      <c r="D11" s="2663"/>
      <c r="E11" s="2663"/>
      <c r="F11" s="2664"/>
      <c r="G11" s="2664"/>
      <c r="H11" s="2665"/>
      <c r="I11" s="2665"/>
      <c r="J11" s="2665"/>
      <c r="K11" s="2665"/>
    </row>
    <row r="12" spans="1:11" ht="16.5">
      <c r="A12" s="2663"/>
      <c r="B12" s="2663"/>
      <c r="C12" s="2663"/>
      <c r="D12" s="2663"/>
      <c r="E12" s="2663"/>
      <c r="F12" s="2664"/>
      <c r="G12" s="2664"/>
      <c r="H12" s="2665"/>
      <c r="I12" s="2665"/>
      <c r="J12" s="2665"/>
      <c r="K12" s="2665"/>
    </row>
    <row r="13" spans="1:11" ht="33">
      <c r="A13" s="2512" t="s">
        <v>669</v>
      </c>
      <c r="B13" s="2513" t="s">
        <v>666</v>
      </c>
      <c r="C13" s="2513" t="s">
        <v>668</v>
      </c>
      <c r="D13" s="2513" t="s">
        <v>667</v>
      </c>
      <c r="E13" s="2509" t="s">
        <v>659</v>
      </c>
      <c r="F13" s="2509" t="s">
        <v>658</v>
      </c>
      <c r="G13" s="2513" t="s">
        <v>652</v>
      </c>
      <c r="H13" s="2513" t="s">
        <v>663</v>
      </c>
      <c r="I13" s="2513" t="s">
        <v>651</v>
      </c>
      <c r="J13" s="2664"/>
      <c r="K13" s="2665"/>
    </row>
    <row r="14" spans="1:11" ht="16.5">
      <c r="A14" s="2514" t="s">
        <v>650</v>
      </c>
      <c r="B14" s="2515">
        <f>'数据-汇总表'!E3</f>
        <v>48720.729999999974</v>
      </c>
      <c r="C14" s="2515">
        <f>'数据-汇总表'!D3</f>
        <v>0</v>
      </c>
      <c r="D14" s="2515">
        <f ca="1">结果表!H101</f>
        <v>196852</v>
      </c>
      <c r="E14" s="2515">
        <f ca="1">ROUND(D14*10000/B14,0)</f>
        <v>40404</v>
      </c>
      <c r="F14" s="2515" t="e">
        <f ca="1">ROUND(D14*10000/C14,0)</f>
        <v>#DIV/0!</v>
      </c>
      <c r="G14" s="2515">
        <f ca="1">D14</f>
        <v>196852</v>
      </c>
      <c r="H14" s="2515"/>
      <c r="I14" s="2515">
        <f ca="1">结果表!D126</f>
        <v>188390</v>
      </c>
      <c r="J14" s="2664"/>
      <c r="K14" s="2665"/>
    </row>
    <row r="15" spans="1:11" ht="16.5">
      <c r="A15" s="2514" t="s">
        <v>649</v>
      </c>
      <c r="B15" s="2516"/>
      <c r="C15" s="2516"/>
      <c r="D15" s="2516"/>
      <c r="E15" s="2515" t="e">
        <f t="shared" ref="E15:E23" si="0">ROUND(D15*10000/B15,0)</f>
        <v>#DIV/0!</v>
      </c>
      <c r="F15" s="2515" t="e">
        <f t="shared" ref="F15:F23" si="1">ROUND(D15*10000/C15,0)</f>
        <v>#DIV/0!</v>
      </c>
      <c r="G15" s="1331"/>
      <c r="H15" s="1331"/>
      <c r="I15" s="2516"/>
      <c r="J15" s="2664"/>
      <c r="K15" s="2665"/>
    </row>
    <row r="16" spans="1:11" ht="16.5">
      <c r="A16" s="2514" t="s">
        <v>648</v>
      </c>
      <c r="B16" s="2516"/>
      <c r="C16" s="2516"/>
      <c r="D16" s="2516"/>
      <c r="E16" s="2515" t="e">
        <f t="shared" si="0"/>
        <v>#DIV/0!</v>
      </c>
      <c r="F16" s="2515" t="e">
        <f t="shared" si="1"/>
        <v>#DIV/0!</v>
      </c>
      <c r="G16" s="1331"/>
      <c r="H16" s="1331"/>
      <c r="I16" s="2516"/>
      <c r="J16" s="2665"/>
      <c r="K16" s="2665"/>
    </row>
    <row r="17" spans="1:11" ht="16.5">
      <c r="A17" s="2514" t="s">
        <v>647</v>
      </c>
      <c r="B17" s="2516"/>
      <c r="C17" s="2516"/>
      <c r="D17" s="2516"/>
      <c r="E17" s="2515" t="e">
        <f t="shared" si="0"/>
        <v>#DIV/0!</v>
      </c>
      <c r="F17" s="2515" t="e">
        <f t="shared" si="1"/>
        <v>#DIV/0!</v>
      </c>
      <c r="G17" s="1331"/>
      <c r="H17" s="1331"/>
      <c r="I17" s="2516"/>
      <c r="J17" s="2665"/>
      <c r="K17" s="2665"/>
    </row>
    <row r="18" spans="1:11" ht="16.5">
      <c r="A18" s="2514" t="s">
        <v>646</v>
      </c>
      <c r="B18" s="2516"/>
      <c r="C18" s="2516"/>
      <c r="D18" s="2516"/>
      <c r="E18" s="2515" t="e">
        <f t="shared" si="0"/>
        <v>#DIV/0!</v>
      </c>
      <c r="F18" s="2515" t="e">
        <f t="shared" si="1"/>
        <v>#DIV/0!</v>
      </c>
      <c r="G18" s="2516"/>
      <c r="H18" s="2516"/>
      <c r="I18" s="2516"/>
      <c r="J18" s="2665"/>
      <c r="K18" s="2665"/>
    </row>
    <row r="19" spans="1:11" ht="16.5">
      <c r="A19" s="2514" t="s">
        <v>645</v>
      </c>
      <c r="B19" s="2516"/>
      <c r="C19" s="2516"/>
      <c r="D19" s="2516"/>
      <c r="E19" s="2515" t="e">
        <f t="shared" si="0"/>
        <v>#DIV/0!</v>
      </c>
      <c r="F19" s="2515" t="e">
        <f t="shared" si="1"/>
        <v>#DIV/0!</v>
      </c>
      <c r="G19" s="2516"/>
      <c r="H19" s="2516"/>
      <c r="I19" s="2516"/>
      <c r="J19" s="2665"/>
      <c r="K19" s="2665"/>
    </row>
    <row r="20" spans="1:11" ht="16.5">
      <c r="A20" s="2514" t="s">
        <v>644</v>
      </c>
      <c r="B20" s="2516"/>
      <c r="C20" s="2516"/>
      <c r="D20" s="2516"/>
      <c r="E20" s="2515" t="e">
        <f t="shared" si="0"/>
        <v>#DIV/0!</v>
      </c>
      <c r="F20" s="2515" t="e">
        <f t="shared" si="1"/>
        <v>#DIV/0!</v>
      </c>
      <c r="G20" s="2516"/>
      <c r="H20" s="2516"/>
      <c r="I20" s="2516"/>
      <c r="J20" s="2665"/>
      <c r="K20" s="2665"/>
    </row>
    <row r="21" spans="1:11" ht="16.5">
      <c r="A21" s="2514" t="s">
        <v>643</v>
      </c>
      <c r="B21" s="2516"/>
      <c r="C21" s="2516"/>
      <c r="D21" s="2516"/>
      <c r="E21" s="2515" t="e">
        <f t="shared" si="0"/>
        <v>#DIV/0!</v>
      </c>
      <c r="F21" s="2515" t="e">
        <f t="shared" si="1"/>
        <v>#DIV/0!</v>
      </c>
      <c r="G21" s="2516"/>
      <c r="H21" s="2516"/>
      <c r="I21" s="2516"/>
      <c r="J21" s="2665"/>
      <c r="K21" s="2665"/>
    </row>
    <row r="22" spans="1:11" ht="16.5">
      <c r="A22" s="2514" t="s">
        <v>642</v>
      </c>
      <c r="B22" s="2516"/>
      <c r="C22" s="2516"/>
      <c r="D22" s="2516"/>
      <c r="E22" s="2515" t="e">
        <f t="shared" si="0"/>
        <v>#DIV/0!</v>
      </c>
      <c r="F22" s="2515" t="e">
        <f t="shared" si="1"/>
        <v>#DIV/0!</v>
      </c>
      <c r="G22" s="2516"/>
      <c r="H22" s="2516"/>
      <c r="I22" s="2516"/>
      <c r="J22" s="2665"/>
      <c r="K22" s="2665"/>
    </row>
    <row r="23" spans="1:11" ht="16.5">
      <c r="A23" s="2514" t="s">
        <v>641</v>
      </c>
      <c r="B23" s="2516"/>
      <c r="C23" s="2516"/>
      <c r="D23" s="2516"/>
      <c r="E23" s="2517" t="e">
        <f t="shared" si="0"/>
        <v>#DIV/0!</v>
      </c>
      <c r="F23" s="2517" t="e">
        <f t="shared" si="1"/>
        <v>#DIV/0!</v>
      </c>
      <c r="G23" s="2516"/>
      <c r="H23" s="2516"/>
      <c r="I23" s="2516"/>
      <c r="J23" s="2665"/>
      <c r="K23" s="2665"/>
    </row>
    <row r="24" spans="1:11">
      <c r="A24" s="2665"/>
      <c r="B24" s="2665"/>
      <c r="C24" s="2665"/>
      <c r="D24" s="2665"/>
      <c r="E24" s="2665"/>
      <c r="F24" s="2665"/>
      <c r="G24" s="2665"/>
      <c r="H24" s="2665"/>
      <c r="I24" s="2665"/>
      <c r="J24" s="2665"/>
      <c r="K24" s="2665"/>
    </row>
    <row r="25" spans="1:11">
      <c r="A25" s="2665"/>
      <c r="B25" s="2665"/>
      <c r="C25" s="2665"/>
      <c r="D25" s="2665"/>
      <c r="E25" s="2665"/>
      <c r="F25" s="2665"/>
      <c r="G25" s="2665"/>
      <c r="H25" s="2665"/>
      <c r="I25" s="2665"/>
      <c r="J25" s="2665"/>
      <c r="K25" s="2665"/>
    </row>
    <row r="26" spans="1:11">
      <c r="A26" s="2665"/>
      <c r="B26" s="2665"/>
      <c r="C26" s="2665"/>
      <c r="D26" s="2665"/>
      <c r="E26" s="2665"/>
      <c r="F26" s="2665"/>
      <c r="G26" s="2665"/>
      <c r="H26" s="2665"/>
      <c r="I26" s="2665"/>
      <c r="J26" s="2665"/>
      <c r="K26" s="266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4" zoomScale="90" zoomScaleNormal="100" zoomScaleSheetLayoutView="90" zoomScalePageLayoutView="80" workbookViewId="0">
      <selection activeCell="J101" sqref="J101"/>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t="s">
        <v>4486</v>
      </c>
      <c r="H1" s="1750" t="str">
        <f>IF(G1="现房","——","估价对象范围")</f>
        <v>——</v>
      </c>
      <c r="I1" s="1751" t="s">
        <v>4487</v>
      </c>
    </row>
    <row r="2" spans="1:12" ht="21.75" customHeight="1" thickBot="1">
      <c r="A2" s="3816" t="str">
        <f>项目基本情况!S2</f>
        <v>北京市朝阳区东四环北路2号房地产</v>
      </c>
      <c r="B2" s="3817"/>
      <c r="C2" s="3817"/>
      <c r="D2" s="3817"/>
      <c r="E2" s="3817"/>
      <c r="F2" s="3817"/>
      <c r="G2" s="3817"/>
      <c r="H2" s="3817"/>
      <c r="I2" s="3818"/>
    </row>
    <row r="3" spans="1:12" ht="12.75">
      <c r="A3" s="3820" t="s">
        <v>1264</v>
      </c>
      <c r="B3" s="3821"/>
      <c r="C3" s="3821"/>
      <c r="D3" s="3821"/>
      <c r="E3" s="3821"/>
      <c r="F3" s="3821"/>
      <c r="G3" s="3821"/>
      <c r="H3" s="3821"/>
      <c r="I3" s="3821"/>
    </row>
    <row r="4" spans="1:12" ht="14.25">
      <c r="A4" s="1754" t="s">
        <v>1265</v>
      </c>
      <c r="B4" s="1755" t="s">
        <v>1266</v>
      </c>
      <c r="C4" s="1756" t="s">
        <v>3839</v>
      </c>
      <c r="D4" s="1756" t="s">
        <v>3427</v>
      </c>
      <c r="E4" s="3822" t="s">
        <v>1267</v>
      </c>
      <c r="F4" s="3823"/>
      <c r="G4" s="3823"/>
      <c r="H4" s="3823"/>
      <c r="I4" s="3824"/>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796" t="s">
        <v>1268</v>
      </c>
      <c r="B5" s="3783">
        <v>25</v>
      </c>
      <c r="C5" s="3799"/>
      <c r="D5" s="3819"/>
      <c r="E5" s="131" t="s">
        <v>1269</v>
      </c>
      <c r="F5" s="1757"/>
      <c r="G5" s="1757"/>
      <c r="H5" s="1757"/>
      <c r="I5" s="1373"/>
    </row>
    <row r="6" spans="1:12" ht="12.75">
      <c r="A6" s="3796"/>
      <c r="B6" s="3783"/>
      <c r="C6" s="3800"/>
      <c r="D6" s="3819"/>
      <c r="E6" s="131" t="s">
        <v>1270</v>
      </c>
      <c r="F6" s="1757"/>
      <c r="G6" s="1757"/>
      <c r="H6" s="1757"/>
      <c r="I6" s="1373"/>
    </row>
    <row r="7" spans="1:12" ht="12.75">
      <c r="A7" s="3796"/>
      <c r="B7" s="3783"/>
      <c r="C7" s="3801"/>
      <c r="D7" s="3819"/>
      <c r="E7" s="131" t="s">
        <v>1271</v>
      </c>
      <c r="F7" s="1757"/>
      <c r="G7" s="1757"/>
      <c r="H7" s="1757"/>
      <c r="I7" s="1373"/>
    </row>
    <row r="8" spans="1:12" ht="12.75">
      <c r="A8" s="3796" t="s">
        <v>1272</v>
      </c>
      <c r="B8" s="3783">
        <v>15</v>
      </c>
      <c r="C8" s="3799"/>
      <c r="D8" s="3819"/>
      <c r="E8" s="131" t="s">
        <v>1273</v>
      </c>
      <c r="F8" s="1757"/>
      <c r="G8" s="1757"/>
      <c r="H8" s="1757"/>
      <c r="I8" s="1373"/>
    </row>
    <row r="9" spans="1:12" ht="12.75">
      <c r="A9" s="3796"/>
      <c r="B9" s="3783"/>
      <c r="C9" s="3801"/>
      <c r="D9" s="3819"/>
      <c r="E9" s="131" t="s">
        <v>1274</v>
      </c>
      <c r="F9" s="1757"/>
      <c r="G9" s="1757"/>
      <c r="H9" s="1757"/>
      <c r="I9" s="1373"/>
    </row>
    <row r="10" spans="1:12" ht="12.75">
      <c r="A10" s="3796" t="s">
        <v>1275</v>
      </c>
      <c r="B10" s="3783">
        <v>15</v>
      </c>
      <c r="C10" s="3799"/>
      <c r="D10" s="3819"/>
      <c r="E10" s="131" t="s">
        <v>1276</v>
      </c>
      <c r="F10" s="1757"/>
      <c r="G10" s="1757"/>
      <c r="H10" s="1757"/>
      <c r="I10" s="1373"/>
    </row>
    <row r="11" spans="1:12" ht="12.75">
      <c r="A11" s="3796"/>
      <c r="B11" s="3783"/>
      <c r="C11" s="3801"/>
      <c r="D11" s="3819"/>
      <c r="E11" s="131" t="s">
        <v>1277</v>
      </c>
      <c r="F11" s="1757"/>
      <c r="G11" s="1757"/>
      <c r="H11" s="1757"/>
      <c r="I11" s="1373"/>
    </row>
    <row r="12" spans="1:12" ht="12.75">
      <c r="A12" s="3796" t="s">
        <v>1278</v>
      </c>
      <c r="B12" s="3783">
        <v>15</v>
      </c>
      <c r="C12" s="3799"/>
      <c r="D12" s="3819"/>
      <c r="E12" s="131" t="s">
        <v>1279</v>
      </c>
      <c r="F12" s="1757"/>
      <c r="G12" s="1757"/>
      <c r="H12" s="1757"/>
      <c r="I12" s="1373"/>
    </row>
    <row r="13" spans="1:12" ht="12.75">
      <c r="A13" s="3796"/>
      <c r="B13" s="3783"/>
      <c r="C13" s="3801"/>
      <c r="D13" s="3819"/>
      <c r="E13" s="131" t="s">
        <v>1280</v>
      </c>
      <c r="F13" s="1757"/>
      <c r="G13" s="1757"/>
      <c r="H13" s="1757"/>
      <c r="I13" s="1373"/>
    </row>
    <row r="14" spans="1:12" ht="12.75">
      <c r="A14" s="3796" t="s">
        <v>1281</v>
      </c>
      <c r="B14" s="3783">
        <v>30</v>
      </c>
      <c r="C14" s="3799">
        <v>5.5</v>
      </c>
      <c r="D14" s="3819">
        <f>10-C14</f>
        <v>4.5</v>
      </c>
      <c r="E14" s="131" t="s">
        <v>1282</v>
      </c>
      <c r="F14" s="1757"/>
      <c r="G14" s="1757"/>
      <c r="H14" s="1757"/>
      <c r="I14" s="1373"/>
    </row>
    <row r="15" spans="1:12" ht="12.75">
      <c r="A15" s="3796"/>
      <c r="B15" s="3783"/>
      <c r="C15" s="3800"/>
      <c r="D15" s="3819"/>
      <c r="E15" s="131" t="s">
        <v>1283</v>
      </c>
      <c r="F15" s="1757"/>
      <c r="G15" s="1757"/>
      <c r="H15" s="1757"/>
      <c r="I15" s="1373"/>
    </row>
    <row r="16" spans="1:12" ht="12.75">
      <c r="A16" s="3796"/>
      <c r="B16" s="3783"/>
      <c r="C16" s="3801"/>
      <c r="D16" s="3819"/>
      <c r="E16" s="131" t="s">
        <v>1284</v>
      </c>
      <c r="F16" s="1757"/>
      <c r="G16" s="1757"/>
      <c r="H16" s="1757"/>
      <c r="I16" s="1373"/>
    </row>
    <row r="17" spans="1:36" ht="15">
      <c r="A17" s="1758" t="s">
        <v>1285</v>
      </c>
      <c r="B17" s="56"/>
      <c r="C17" s="132">
        <f>SUM(C5:C16)</f>
        <v>5.5</v>
      </c>
      <c r="D17" s="132">
        <f>SUM(D5:D16)</f>
        <v>4.5</v>
      </c>
      <c r="E17" s="129"/>
      <c r="F17" s="129"/>
      <c r="G17" s="129"/>
      <c r="H17" s="129"/>
      <c r="I17" s="129"/>
      <c r="K17" s="302"/>
      <c r="L17" s="302" t="s">
        <v>1286</v>
      </c>
      <c r="M17" s="302" t="s">
        <v>1287</v>
      </c>
    </row>
    <row r="18" spans="1:36" ht="31.9" customHeight="1" thickBot="1">
      <c r="A18" s="1759" t="s">
        <v>1288</v>
      </c>
      <c r="B18" s="1760"/>
      <c r="C18" s="133">
        <f>ROUND(C17/SUM(C17:D17),2)</f>
        <v>0.55000000000000004</v>
      </c>
      <c r="D18" s="133">
        <f>1-C18</f>
        <v>0.44999999999999996</v>
      </c>
      <c r="E18" s="3806" t="s">
        <v>2115</v>
      </c>
      <c r="F18" s="3807"/>
      <c r="G18" s="3807"/>
      <c r="H18" s="3807"/>
      <c r="I18" s="3807"/>
      <c r="K18" s="302" t="s">
        <v>1289</v>
      </c>
      <c r="L18" s="302">
        <f>IF(C1="",'数据-汇总表'!E3,SUMIF(项目类型,C1,'数据-汇总表'!E17:E26)+SUMIF(项目类型,C1,'数据-汇总表'!I17:I26))</f>
        <v>48720.729999999974</v>
      </c>
      <c r="M18" s="302">
        <f>IF(C1="",'数据-汇总表'!E3,SUMIF(项目类型,C1,'数据-汇总表'!E17:E26))</f>
        <v>48720.729999999974</v>
      </c>
    </row>
    <row r="19" spans="1:36" ht="15">
      <c r="A19" s="1761" t="s">
        <v>1290</v>
      </c>
      <c r="B19" s="1762" t="s">
        <v>1291</v>
      </c>
      <c r="C19" s="134">
        <f ca="1">SUMIF(INDIRECT("'"&amp;C4&amp;"'"&amp;"!A:A"),结果表!B19,INDIRECT("'"&amp;C4&amp;"'"&amp;"!B:B"))</f>
        <v>244252</v>
      </c>
      <c r="D19" s="135">
        <f ca="1">SUMIF(INDIRECT("'"&amp;D4&amp;"'"&amp;"!A:A"),结果表!B19,INDIRECT("'"&amp;D4&amp;"'"&amp;"!B:B"))</f>
        <v>138918</v>
      </c>
      <c r="E19" s="1761" t="s">
        <v>1292</v>
      </c>
      <c r="F19" s="1762" t="s">
        <v>1291</v>
      </c>
      <c r="G19" s="136">
        <f ca="1">ROUND(C19*$C$18+D19*$D$18,0)</f>
        <v>196852</v>
      </c>
      <c r="H19" s="1763" t="s">
        <v>1293</v>
      </c>
      <c r="I19" s="129"/>
      <c r="J19" s="725">
        <f ca="1">N59</f>
        <v>188390</v>
      </c>
      <c r="K19" s="302" t="s">
        <v>1294</v>
      </c>
      <c r="L19" s="302">
        <f>IF(C1="",'数据-汇总表'!D3,SUMIF(项目类型,C1,'数据-汇总表'!D17:D26)+SUMIF(项目类型,C1,'数据-汇总表'!H17:H27))</f>
        <v>0</v>
      </c>
      <c r="M19" s="302">
        <f>IF(C1="",'数据-汇总表'!D3,SUMIF(项目类型,C1,'数据-汇总表'!D17:D26))</f>
        <v>0</v>
      </c>
      <c r="O19" s="725">
        <v>19</v>
      </c>
      <c r="P19" s="725">
        <f>O19*1.1</f>
        <v>20.900000000000002</v>
      </c>
    </row>
    <row r="20" spans="1:36" ht="15">
      <c r="A20" s="1764"/>
      <c r="B20" s="1026" t="s">
        <v>1295</v>
      </c>
      <c r="C20" s="137">
        <f ca="1">SUMIF(INDIRECT("'"&amp;C4&amp;"'"&amp;"!A:A"),结果表!B20,INDIRECT("'"&amp;C4&amp;"'"&amp;"!B:B"))</f>
        <v>50133</v>
      </c>
      <c r="D20" s="138">
        <f ca="1">SUMIF(INDIRECT("'"&amp;D4&amp;"'"&amp;"!A:A"),结果表!B20,INDIRECT("'"&amp;D4&amp;"'"&amp;"!B:B"))</f>
        <v>28513</v>
      </c>
      <c r="E20" s="1764"/>
      <c r="F20" s="1026" t="s">
        <v>1295</v>
      </c>
      <c r="G20" s="139">
        <f ca="1">ROUND(C20*$C$18+D20*$D$18,0)</f>
        <v>40404</v>
      </c>
      <c r="H20" s="808" t="s">
        <v>1296</v>
      </c>
      <c r="I20" s="129"/>
      <c r="J20" s="725">
        <v>187000</v>
      </c>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0.75824587166529889</v>
      </c>
      <c r="E22" s="129"/>
      <c r="F22" s="129"/>
      <c r="G22" s="129"/>
      <c r="H22" s="129"/>
      <c r="I22" s="129"/>
      <c r="K22" s="725" t="s">
        <v>3836</v>
      </c>
    </row>
    <row r="23" spans="1:36" ht="13.5" thickBot="1">
      <c r="A23" s="1747"/>
      <c r="B23" s="1747"/>
      <c r="C23" s="1747"/>
      <c r="D23" s="1747"/>
      <c r="E23" s="129"/>
      <c r="F23" s="129"/>
      <c r="G23" s="129"/>
      <c r="H23" s="129"/>
      <c r="I23" s="129"/>
      <c r="K23" s="725" t="s">
        <v>3837</v>
      </c>
    </row>
    <row r="24" spans="1:36" ht="14.25">
      <c r="A24" s="3790" t="s">
        <v>1299</v>
      </c>
      <c r="B24" s="1762" t="s">
        <v>1291</v>
      </c>
      <c r="C24" s="136">
        <f>IF(B30=0,0,D30)</f>
        <v>0</v>
      </c>
      <c r="D24" s="1769"/>
      <c r="E24" s="129"/>
      <c r="F24" s="129"/>
      <c r="G24" s="129"/>
      <c r="H24" s="129"/>
      <c r="I24" s="129"/>
      <c r="K24" s="725" t="s">
        <v>3838</v>
      </c>
    </row>
    <row r="25" spans="1:36" ht="14.25">
      <c r="A25" s="3791"/>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c r="K27" s="725">
        <v>240000</v>
      </c>
    </row>
    <row r="28" spans="1:36" ht="14.25">
      <c r="A28" s="1771"/>
      <c r="B28" s="142"/>
      <c r="C28" s="142"/>
      <c r="D28" s="143"/>
      <c r="E28" s="129"/>
      <c r="F28" s="129"/>
      <c r="G28" s="129"/>
      <c r="H28" s="129"/>
      <c r="I28" s="129"/>
      <c r="K28" s="725">
        <f>K27*10000/L18</f>
        <v>49260.345647530346</v>
      </c>
    </row>
    <row r="29" spans="1:36" ht="14.25">
      <c r="A29" s="1771"/>
      <c r="B29" s="142"/>
      <c r="C29" s="142"/>
      <c r="D29" s="143"/>
      <c r="E29" s="129"/>
      <c r="F29" s="129"/>
      <c r="G29" s="129"/>
      <c r="H29" s="129"/>
      <c r="I29" s="129"/>
    </row>
    <row r="30" spans="1:36" ht="15" thickBot="1">
      <c r="A30" s="142" t="s">
        <v>1304</v>
      </c>
      <c r="B30" s="142"/>
      <c r="C30" s="142"/>
      <c r="D30" s="142"/>
      <c r="E30" s="2303" t="s">
        <v>2116</v>
      </c>
      <c r="F30" s="129"/>
      <c r="G30" s="129"/>
      <c r="H30" s="129"/>
      <c r="I30" s="129"/>
    </row>
    <row r="31" spans="1:36" s="2309" customFormat="1" ht="26.45" customHeight="1" thickTop="1" thickBot="1">
      <c r="A31" s="2304"/>
      <c r="B31" s="2305"/>
      <c r="C31" s="2305"/>
      <c r="D31" s="2305"/>
      <c r="E31" s="2305"/>
      <c r="F31" s="2305"/>
      <c r="G31" s="2305"/>
      <c r="H31" s="2305"/>
      <c r="I31" s="2306" t="s">
        <v>2117</v>
      </c>
      <c r="J31" s="2666"/>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196852</v>
      </c>
      <c r="D32" s="1775" t="s">
        <v>3430</v>
      </c>
      <c r="E32" s="129"/>
      <c r="F32" s="129"/>
      <c r="G32" s="129"/>
      <c r="H32" s="129"/>
      <c r="I32" s="129"/>
    </row>
    <row r="33" spans="1:15" ht="15">
      <c r="A33" s="786" t="s">
        <v>1306</v>
      </c>
      <c r="B33" s="1776"/>
      <c r="C33" s="1777" t="s">
        <v>3426</v>
      </c>
      <c r="D33" s="1778"/>
      <c r="E33" s="1779" t="s">
        <v>1307</v>
      </c>
      <c r="F33" s="1780" t="str">
        <f>IF(D32="楼面单价","取值（单价）","取值（总价）")</f>
        <v>取值（总价）</v>
      </c>
      <c r="G33" s="129"/>
      <c r="H33" s="129"/>
      <c r="I33" s="129"/>
    </row>
    <row r="34" spans="1:15" ht="15">
      <c r="A34" s="1781"/>
      <c r="B34" s="1782" t="s">
        <v>1308</v>
      </c>
      <c r="C34" s="148">
        <f>IF(C33="自定义",F34,C32-C35)</f>
        <v>0</v>
      </c>
      <c r="D34" s="861">
        <f ca="1">IF(C33="自定义",ROUND(C34/C32,3),IF(C33="收益比率",SUMIF(INDIRECT("'"&amp;D33&amp;"'"&amp;"!b:b"),"土地收益比率",INDIRECT("'"&amp;D33&amp;"'"&amp;"!c:c")),SUMIF(INDIRECT("'"&amp;D33&amp;"'"&amp;"!b:b"),"土地成本比率",INDIRECT("'"&amp;D33&amp;"'"&amp;"!c:c"))))</f>
        <v>0</v>
      </c>
      <c r="E34" s="1783" t="s">
        <v>1309</v>
      </c>
      <c r="F34" s="1330"/>
      <c r="G34" s="129"/>
      <c r="H34" s="129"/>
      <c r="I34" s="129"/>
    </row>
    <row r="35" spans="1:15" ht="15.75" thickBot="1">
      <c r="A35" s="1784"/>
      <c r="B35" s="1785" t="s">
        <v>1310</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1311</v>
      </c>
      <c r="F35" s="154"/>
      <c r="G35" s="129"/>
      <c r="H35" s="129"/>
      <c r="I35" s="129"/>
    </row>
    <row r="36" spans="1:15" ht="15.75" thickBot="1">
      <c r="A36" s="3810" t="s">
        <v>1312</v>
      </c>
      <c r="B36" s="1787" t="s">
        <v>1313</v>
      </c>
      <c r="C36" s="145"/>
      <c r="D36" s="1788"/>
      <c r="E36" s="1789"/>
      <c r="F36" s="1790"/>
      <c r="G36" s="129"/>
      <c r="H36" s="129"/>
      <c r="I36" s="129"/>
    </row>
    <row r="37" spans="1:15" ht="15.75" thickBot="1">
      <c r="A37" s="3811"/>
      <c r="B37" s="1674" t="s">
        <v>1314</v>
      </c>
      <c r="C37" s="147"/>
      <c r="D37" s="1139"/>
      <c r="E37" s="1139"/>
      <c r="F37" s="1790"/>
      <c r="G37" s="129"/>
      <c r="H37" s="129"/>
      <c r="I37" s="129"/>
    </row>
    <row r="38" spans="1:15" ht="15.75" thickBot="1">
      <c r="A38" s="381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787" t="s">
        <v>1326</v>
      </c>
      <c r="B45" s="3788"/>
      <c r="C45" s="3789"/>
      <c r="D45" s="155">
        <f ca="1">ROUND(H101*F45,0)</f>
        <v>110237</v>
      </c>
      <c r="E45" s="156" t="s">
        <v>1327</v>
      </c>
      <c r="F45" s="157">
        <v>0.56000000000000005</v>
      </c>
      <c r="G45" s="158" t="s">
        <v>1328</v>
      </c>
      <c r="H45" s="129"/>
      <c r="I45" s="129"/>
      <c r="J45" s="3865" t="s">
        <v>1329</v>
      </c>
      <c r="K45" s="3865"/>
      <c r="L45" s="3865"/>
      <c r="M45" s="3865"/>
      <c r="N45" s="3865"/>
      <c r="O45" s="3865"/>
    </row>
    <row r="46" spans="1:15" ht="14.25" customHeight="1">
      <c r="A46" s="3784" t="s">
        <v>1330</v>
      </c>
      <c r="B46" s="3785"/>
      <c r="C46" s="3785"/>
      <c r="D46" s="3785"/>
      <c r="E46" s="3785"/>
      <c r="F46" s="3785"/>
      <c r="G46" s="3786"/>
      <c r="H46" s="1806"/>
      <c r="I46" s="159"/>
      <c r="J46" s="2520">
        <v>1</v>
      </c>
      <c r="K46" s="3866" t="s">
        <v>1331</v>
      </c>
      <c r="L46" s="3866"/>
      <c r="M46" s="3867"/>
      <c r="N46" s="3867"/>
      <c r="O46" s="3867"/>
    </row>
    <row r="47" spans="1:15" ht="12" customHeight="1">
      <c r="A47" s="160" t="s">
        <v>1332</v>
      </c>
      <c r="B47" s="161"/>
      <c r="C47" s="162"/>
      <c r="D47" s="1087" t="s">
        <v>1333</v>
      </c>
      <c r="E47" s="302" t="s">
        <v>1334</v>
      </c>
      <c r="F47" s="163" t="s">
        <v>1335</v>
      </c>
      <c r="G47" s="2524" t="s">
        <v>1336</v>
      </c>
      <c r="H47" s="2525"/>
      <c r="I47" s="159"/>
      <c r="J47" s="170">
        <v>2</v>
      </c>
      <c r="K47" s="3846" t="s">
        <v>3846</v>
      </c>
      <c r="L47" s="3846"/>
      <c r="M47" s="3868">
        <f>'数据-取费表'!B2</f>
        <v>45287</v>
      </c>
      <c r="N47" s="3868"/>
      <c r="O47" s="3868"/>
    </row>
    <row r="48" spans="1:15" ht="25.5">
      <c r="A48" s="3815" t="s">
        <v>1337</v>
      </c>
      <c r="B48" s="3798"/>
      <c r="C48" s="3798"/>
      <c r="D48" s="2324">
        <f ca="1">IF(H48="情况1",0,IF(H48="情况2",D52,IF(H48="情况3",D53,IF(H48="情况4",D54))))</f>
        <v>2895</v>
      </c>
      <c r="E48" s="2334" t="str">
        <f>IF(H48="情况4","(销售额-原购置价)×税（费）率","销售额×税（费）率")</f>
        <v>(销售额-原购置价)×税（费）率</v>
      </c>
      <c r="F48" s="2526">
        <f>IF(H48="情况1","免征",'数据-取费表'!B41)</f>
        <v>5.6000000000000001E-2</v>
      </c>
      <c r="G48" s="2527" t="s">
        <v>1338</v>
      </c>
      <c r="H48" s="2528" t="s">
        <v>3843</v>
      </c>
      <c r="I48" s="1806"/>
      <c r="J48" s="170">
        <v>3</v>
      </c>
      <c r="K48" s="3846" t="s">
        <v>3854</v>
      </c>
      <c r="L48" s="3846"/>
      <c r="M48" s="3869">
        <f ca="1">H101</f>
        <v>196852</v>
      </c>
      <c r="N48" s="3869"/>
      <c r="O48" s="3869"/>
    </row>
    <row r="49" spans="1:35" ht="25.5" customHeight="1">
      <c r="A49" s="2333" t="s">
        <v>1339</v>
      </c>
      <c r="B49" s="3782" t="s">
        <v>1340</v>
      </c>
      <c r="C49" s="3782"/>
      <c r="D49" s="1590">
        <v>0</v>
      </c>
      <c r="E49" s="324" t="s">
        <v>1341</v>
      </c>
      <c r="F49" s="2423" t="s">
        <v>28</v>
      </c>
      <c r="G49" s="3852"/>
      <c r="H49" s="2310" t="s">
        <v>2118</v>
      </c>
      <c r="I49" s="2311"/>
      <c r="J49" s="170">
        <v>4</v>
      </c>
      <c r="K49" s="3846" t="str">
        <f>IF(项目基本情况!E8="房地产抵押价值","房地产抵押价值","抵押担保权已注销时的房地产抵押价值")</f>
        <v>房地产抵押价值</v>
      </c>
      <c r="L49" s="3846"/>
      <c r="M49" s="3869">
        <f ca="1">IF(项目基本情况!E8="房地产抵押价值",H107,H109)</f>
        <v>196852</v>
      </c>
      <c r="N49" s="3869"/>
      <c r="O49" s="3869"/>
    </row>
    <row r="50" spans="1:35" ht="25.5" customHeight="1">
      <c r="A50" s="2529"/>
      <c r="B50" s="3782" t="s">
        <v>1342</v>
      </c>
      <c r="C50" s="3782"/>
      <c r="D50" s="2530"/>
      <c r="E50" s="332"/>
      <c r="F50" s="2423"/>
      <c r="G50" s="3853"/>
      <c r="H50" s="2312" t="s">
        <v>2119</v>
      </c>
      <c r="I50" s="2311"/>
      <c r="J50" s="3869" t="s">
        <v>3847</v>
      </c>
      <c r="K50" s="3869"/>
      <c r="L50" s="3869"/>
      <c r="M50" s="3869"/>
      <c r="N50" s="3869"/>
      <c r="O50" s="3869"/>
    </row>
    <row r="51" spans="1:35" ht="20.45" customHeight="1">
      <c r="A51" s="2531"/>
      <c r="B51" s="3782" t="s">
        <v>1343</v>
      </c>
      <c r="C51" s="3782"/>
      <c r="D51" s="1087"/>
      <c r="E51" s="327"/>
      <c r="F51" s="2423"/>
      <c r="G51" s="3854"/>
      <c r="H51" s="2312" t="s">
        <v>2120</v>
      </c>
      <c r="I51" s="2311"/>
      <c r="J51" s="174" t="s">
        <v>3848</v>
      </c>
      <c r="K51" s="3846" t="s">
        <v>3849</v>
      </c>
      <c r="L51" s="3846"/>
      <c r="M51" s="174" t="s">
        <v>3855</v>
      </c>
      <c r="N51" s="174" t="s">
        <v>3850</v>
      </c>
      <c r="O51" s="174" t="s">
        <v>3851</v>
      </c>
    </row>
    <row r="52" spans="1:35" ht="24" customHeight="1">
      <c r="A52" s="2335" t="s">
        <v>1344</v>
      </c>
      <c r="B52" s="3782" t="s">
        <v>1345</v>
      </c>
      <c r="C52" s="3782"/>
      <c r="D52" s="1087">
        <f ca="1">ROUND(D45*'数据-取费表'!B41/(1+'数据-取费表'!C42),0)</f>
        <v>5879</v>
      </c>
      <c r="E52" s="2334" t="s">
        <v>1346</v>
      </c>
      <c r="F52" s="2532">
        <f>'数据-取费表'!B41</f>
        <v>5.6000000000000001E-2</v>
      </c>
      <c r="G52" s="2533"/>
      <c r="H52" s="2522"/>
      <c r="I52" s="1807"/>
      <c r="J52" s="170">
        <v>1</v>
      </c>
      <c r="K52" s="3847" t="s">
        <v>3856</v>
      </c>
      <c r="L52" s="3847"/>
      <c r="M52" s="170">
        <f ca="1">D48</f>
        <v>2895</v>
      </c>
      <c r="N52" s="170" t="str">
        <f>E48</f>
        <v>(销售额-原购置价)×税（费）率</v>
      </c>
      <c r="O52" s="3593">
        <f>F48</f>
        <v>5.6000000000000001E-2</v>
      </c>
    </row>
    <row r="53" spans="1:35" ht="12" customHeight="1">
      <c r="A53" s="2335" t="s">
        <v>1347</v>
      </c>
      <c r="B53" s="3808" t="s">
        <v>2271</v>
      </c>
      <c r="C53" s="3809"/>
      <c r="D53" s="1087">
        <f ca="1">ROUND(D45*'数据-取费表'!B41/(1+'数据-取费表'!C42),0)</f>
        <v>5879</v>
      </c>
      <c r="E53" s="2334" t="s">
        <v>1346</v>
      </c>
      <c r="F53" s="2532">
        <f>'数据-取费表'!B41</f>
        <v>5.6000000000000001E-2</v>
      </c>
      <c r="G53" s="2533"/>
      <c r="H53" s="2522"/>
      <c r="I53" s="1807"/>
      <c r="J53" s="170">
        <v>2</v>
      </c>
      <c r="K53" s="3847" t="s">
        <v>3857</v>
      </c>
      <c r="L53" s="3847"/>
      <c r="M53" s="170">
        <f t="shared" ref="M53:O54" ca="1" si="0">D55</f>
        <v>55</v>
      </c>
      <c r="N53" s="170" t="str">
        <f t="shared" si="0"/>
        <v>销售额×税（费）率</v>
      </c>
      <c r="O53" s="3593">
        <f t="shared" si="0"/>
        <v>5.0000000000000001E-4</v>
      </c>
    </row>
    <row r="54" spans="1:35" ht="12" customHeight="1">
      <c r="A54" s="2335" t="s">
        <v>1348</v>
      </c>
      <c r="B54" s="3808" t="s">
        <v>2272</v>
      </c>
      <c r="C54" s="3809"/>
      <c r="D54" s="1087">
        <f ca="1">C68</f>
        <v>2895</v>
      </c>
      <c r="E54" s="327" t="s">
        <v>1349</v>
      </c>
      <c r="F54" s="2532">
        <f>'数据-取费表'!B41</f>
        <v>5.6000000000000001E-2</v>
      </c>
      <c r="G54" s="2533"/>
      <c r="H54" s="2534"/>
      <c r="I54" s="1807"/>
      <c r="J54" s="170">
        <v>3</v>
      </c>
      <c r="K54" s="3847" t="s">
        <v>3858</v>
      </c>
      <c r="L54" s="3847"/>
      <c r="M54" s="170">
        <f t="shared" ca="1" si="0"/>
        <v>5512</v>
      </c>
      <c r="N54" s="170" t="str">
        <f t="shared" si="0"/>
        <v>增值额×税（费）率</v>
      </c>
      <c r="O54" s="3594" t="str">
        <f t="shared" si="0"/>
        <v>——</v>
      </c>
    </row>
    <row r="55" spans="1:35" ht="24" customHeight="1">
      <c r="A55" s="3797" t="s">
        <v>1350</v>
      </c>
      <c r="B55" s="3798"/>
      <c r="C55" s="3798"/>
      <c r="D55" s="2324">
        <f ca="1">IF(H55="个人住宅",0,ROUND(D45*I55,0))</f>
        <v>55</v>
      </c>
      <c r="E55" s="2334" t="s">
        <v>1351</v>
      </c>
      <c r="F55" s="2532">
        <f>IF(H55="正常",I55,"免征")</f>
        <v>5.0000000000000001E-4</v>
      </c>
      <c r="G55" s="2533"/>
      <c r="H55" s="2528" t="s">
        <v>3824</v>
      </c>
      <c r="I55" s="165">
        <f>'数据-取费表'!B49</f>
        <v>5.0000000000000001E-4</v>
      </c>
      <c r="J55" s="170" t="str">
        <f>IF(H59="非个人房产","",4)</f>
        <v/>
      </c>
      <c r="K55" s="3847" t="str">
        <f>IF(H59="非个人房产","——","个人所得税")</f>
        <v>——</v>
      </c>
      <c r="L55" s="3847"/>
      <c r="M55" s="2030" t="str">
        <f>D59</f>
        <v>——</v>
      </c>
      <c r="N55" s="2030" t="str">
        <f>E59</f>
        <v>——</v>
      </c>
      <c r="O55" s="3595" t="str">
        <f>F59</f>
        <v>——</v>
      </c>
    </row>
    <row r="56" spans="1:35" ht="24.75">
      <c r="A56" s="3797" t="s">
        <v>1352</v>
      </c>
      <c r="B56" s="3798"/>
      <c r="C56" s="3798"/>
      <c r="D56" s="2324">
        <f ca="1">IF(H56="个人住宅",D57,D58)</f>
        <v>5512</v>
      </c>
      <c r="E56" s="2334" t="s">
        <v>1353</v>
      </c>
      <c r="F56" s="2532" t="str">
        <f>IF(H56="正常",F58,"免征")</f>
        <v>——</v>
      </c>
      <c r="G56" s="2535" t="s">
        <v>1354</v>
      </c>
      <c r="H56" s="2536" t="s">
        <v>3824</v>
      </c>
      <c r="I56" s="1808"/>
      <c r="J56" s="170" t="str">
        <f>IF(项目基本情况!K6="上海银行",IF(J55="",4,J55+1),"")</f>
        <v/>
      </c>
      <c r="K56" s="3871" t="str">
        <f>IF(项目基本情况!K6="上海银行","其他处置费用","")</f>
        <v/>
      </c>
      <c r="L56" s="3872"/>
      <c r="M56" s="170" t="str">
        <f>IF(项目基本情况!K6="上海银行",M69,"")</f>
        <v/>
      </c>
      <c r="N56" s="3871" t="str">
        <f>IF(项目基本情况!K6="上海银行","包含处置中涉及的律师、诉讼、拍卖、评估等费用","")</f>
        <v/>
      </c>
      <c r="O56" s="3874"/>
    </row>
    <row r="57" spans="1:35" ht="12.75">
      <c r="A57" s="2335" t="s">
        <v>1339</v>
      </c>
      <c r="B57" s="3808" t="s">
        <v>1355</v>
      </c>
      <c r="C57" s="3809"/>
      <c r="D57" s="1590">
        <v>0</v>
      </c>
      <c r="E57" s="324" t="s">
        <v>1341</v>
      </c>
      <c r="F57" s="302"/>
      <c r="G57" s="2533"/>
      <c r="H57" s="2537"/>
      <c r="I57" s="1808"/>
      <c r="J57" s="3847">
        <f>IF(AND(J55="",J56=""),4,IF(项目基本情况!K6="上海银行",结果表!J56+1,结果表!J55+1))</f>
        <v>4</v>
      </c>
      <c r="K57" s="3847" t="s">
        <v>3859</v>
      </c>
      <c r="L57" s="2558" t="s">
        <v>3852</v>
      </c>
      <c r="M57" s="3596"/>
      <c r="N57" s="3597">
        <f ca="1">SUMIF(M52:M56,"&lt;9e307")</f>
        <v>8462</v>
      </c>
      <c r="O57" s="3598"/>
      <c r="P57" s="2667">
        <f ca="1">N57/M49</f>
        <v>4.2986609229268689E-2</v>
      </c>
    </row>
    <row r="58" spans="1:35" ht="24.75">
      <c r="A58" s="2335" t="s">
        <v>1344</v>
      </c>
      <c r="B58" s="3808" t="s">
        <v>1356</v>
      </c>
      <c r="C58" s="3782"/>
      <c r="D58" s="3606">
        <f ca="1">G62</f>
        <v>5512</v>
      </c>
      <c r="E58" s="2334" t="s">
        <v>1353</v>
      </c>
      <c r="F58" s="302" t="s">
        <v>28</v>
      </c>
      <c r="G58" s="2533"/>
      <c r="H58" s="2536" t="s">
        <v>3844</v>
      </c>
      <c r="I58" s="1808"/>
      <c r="J58" s="3847"/>
      <c r="K58" s="3847"/>
      <c r="L58" s="2558" t="s">
        <v>3853</v>
      </c>
      <c r="M58" s="2558"/>
      <c r="N58" s="3599" t="str">
        <f ca="1">NUMBERSTRING(INT(N57*10000),2)&amp;"元整"</f>
        <v>捌仟肆佰陆拾贰万元整</v>
      </c>
      <c r="O58" s="2097"/>
    </row>
    <row r="59" spans="1:35" ht="24.75" thickBot="1">
      <c r="A59" s="3850" t="s">
        <v>1357</v>
      </c>
      <c r="B59" s="3851"/>
      <c r="C59" s="3851"/>
      <c r="D59" s="2538" t="str">
        <f>IF(H59="非个人房产","——",IF(H59="个人住宅（满五唯一有凭证）",0,IF(H59="个人其他（无凭证）",ROUND(D45*F59,0),ROUND(C67*F59,0))))</f>
        <v>——</v>
      </c>
      <c r="E59" s="2539" t="str">
        <f>IF(H59="非个人房产","——",IF(H59="个人其他（无凭证）","销售额×税（费）率",IF(H59="个人住宅（满五唯一有凭证）","免征","差额计税")))</f>
        <v>——</v>
      </c>
      <c r="F59" s="2540" t="str">
        <f>IF(OR(H59="非个人房产",H59="个人住宅（满五唯一有凭证）"),"——",IF(H59="个人其他（有凭证）",20%,1%))</f>
        <v>——</v>
      </c>
      <c r="G59" s="2541" t="s">
        <v>1354</v>
      </c>
      <c r="H59" s="2314" t="s">
        <v>3845</v>
      </c>
      <c r="I59" s="2313" t="s">
        <v>2121</v>
      </c>
      <c r="J59" s="3848">
        <f>J57+1</f>
        <v>5</v>
      </c>
      <c r="K59" s="3847" t="s">
        <v>3860</v>
      </c>
      <c r="L59" s="170" t="s">
        <v>3852</v>
      </c>
      <c r="M59" s="3600"/>
      <c r="N59" s="3601">
        <f ca="1">M49-N57</f>
        <v>188390</v>
      </c>
      <c r="O59" s="3602"/>
    </row>
    <row r="60" spans="1:35" ht="12" customHeight="1">
      <c r="A60" s="1809"/>
      <c r="B60" s="1747"/>
      <c r="C60" s="1747"/>
      <c r="D60" s="1747"/>
      <c r="E60" s="1578"/>
      <c r="F60" s="1808"/>
      <c r="G60" s="1808"/>
      <c r="H60" s="1810"/>
      <c r="I60" s="129"/>
      <c r="J60" s="3849"/>
      <c r="K60" s="3847"/>
      <c r="L60" s="2558" t="s">
        <v>3853</v>
      </c>
      <c r="M60" s="2558"/>
      <c r="N60" s="3599" t="str">
        <f ca="1">NUMBERSTRING(INT(N59*10000),2)&amp;"元整"</f>
        <v>壹拾捌亿捌仟叁佰玖拾万元整</v>
      </c>
      <c r="O60" s="2097"/>
    </row>
    <row r="61" spans="1:35" ht="13.5" thickBot="1">
      <c r="A61" s="3795" t="s">
        <v>1358</v>
      </c>
      <c r="B61" s="3795"/>
      <c r="C61" s="3795"/>
      <c r="D61" s="3795"/>
      <c r="E61" s="3795"/>
      <c r="F61" s="1808"/>
      <c r="G61" s="1808"/>
      <c r="H61" s="1810"/>
      <c r="I61" s="129"/>
      <c r="J61" s="170">
        <f>J59+1</f>
        <v>6</v>
      </c>
      <c r="K61" s="3847" t="s">
        <v>3861</v>
      </c>
      <c r="L61" s="3847"/>
      <c r="M61" s="3603"/>
      <c r="N61" s="3604">
        <f ca="1">ROUND(N59*10000/'数据-汇总表'!E3,0)</f>
        <v>38667</v>
      </c>
      <c r="O61" s="3605"/>
    </row>
    <row r="62" spans="1:35" ht="12.75">
      <c r="A62" s="3813" t="s">
        <v>1359</v>
      </c>
      <c r="B62" s="3814"/>
      <c r="C62" s="2021"/>
      <c r="D62" s="2021" t="s">
        <v>1360</v>
      </c>
      <c r="E62" s="166" t="s">
        <v>1361</v>
      </c>
      <c r="F62" s="1808"/>
      <c r="G62" s="1808">
        <f ca="1">ROUND(D45*0.05,0)</f>
        <v>5512</v>
      </c>
      <c r="H62" s="1810"/>
      <c r="I62" s="129"/>
    </row>
    <row r="63" spans="1:35" ht="12.75">
      <c r="A63" s="173" t="s">
        <v>330</v>
      </c>
      <c r="B63" s="167" t="s">
        <v>1362</v>
      </c>
      <c r="C63" s="2542">
        <f ca="1">ROUND((C64+C65)/(1+'数据-取费表'!C42),0)</f>
        <v>104988</v>
      </c>
      <c r="D63" s="167"/>
      <c r="E63" s="168"/>
      <c r="F63" s="1808"/>
      <c r="G63" s="1808"/>
      <c r="H63" s="1810"/>
      <c r="I63" s="129"/>
      <c r="J63" s="3873" t="s">
        <v>1363</v>
      </c>
      <c r="K63" s="1332" t="s">
        <v>1364</v>
      </c>
      <c r="L63" s="1332">
        <f ca="1">IF(M49&gt;10000,M49*0.5%,IF(AND(M49&gt;1000,M49&lt;=10000),M49*1%,IF(AND(M49&gt;100,M49&lt;=1000),M49*3%,IF(AND(M49&gt;10,M49&lt;=100),M49*5%,M49*8%))))</f>
        <v>984.26</v>
      </c>
      <c r="M63" s="302">
        <f ca="1">ROUND(L63,1)</f>
        <v>984.3</v>
      </c>
      <c r="N63" s="2521"/>
      <c r="Z63" s="1752"/>
      <c r="AI63" s="1753"/>
    </row>
    <row r="64" spans="1:35" ht="14.25" customHeight="1">
      <c r="A64" s="169" t="s">
        <v>325</v>
      </c>
      <c r="B64" s="170" t="s">
        <v>1365</v>
      </c>
      <c r="C64" s="2543">
        <f ca="1">D45</f>
        <v>110237</v>
      </c>
      <c r="D64" s="170" t="s">
        <v>26</v>
      </c>
      <c r="E64" s="172"/>
      <c r="F64" s="1808"/>
      <c r="G64" s="1808"/>
      <c r="H64" s="1810"/>
      <c r="I64" s="129"/>
      <c r="J64" s="3873"/>
      <c r="K64" s="1332" t="s">
        <v>1366</v>
      </c>
      <c r="L64" s="1332">
        <f ca="1">IF(M49&gt;2000,M49*0.5%,IF(AND(M49&gt;1000,M49&lt;=2000),M49*0.6%,IF(AND(M49&gt;500,M49&lt;=1000),M49*0.7%,IF(AND(M49&gt;200,M49&lt;=500),M49*0.8%,IF(AND(M49&gt;100,M49&lt;=200),M49*0.9%,IF(AND(M49&gt;50,M49&lt;=100),M49*1%,IF(AND(M49&gt;20,M49&lt;=50),M49*1.5%,IF(AND(M49&gt;10,M49&lt;=20),M49*2%,IF(AND(M49&gt;1,M49&lt;=10),M49*2.5%)))))))))</f>
        <v>984.26</v>
      </c>
      <c r="M64" s="302">
        <f t="shared" ref="M64:M65" ca="1" si="1">ROUND(L64,1)</f>
        <v>984.3</v>
      </c>
      <c r="N64" s="2522" t="s">
        <v>1367</v>
      </c>
      <c r="Z64" s="1752"/>
      <c r="AI64" s="1753"/>
    </row>
    <row r="65" spans="1:35" ht="14.25" customHeight="1">
      <c r="A65" s="169" t="s">
        <v>326</v>
      </c>
      <c r="B65" s="170" t="s">
        <v>1368</v>
      </c>
      <c r="C65" s="2544"/>
      <c r="D65" s="170"/>
      <c r="E65" s="172"/>
      <c r="F65" s="1808"/>
      <c r="G65" s="1808"/>
      <c r="H65" s="1810"/>
      <c r="I65" s="129"/>
      <c r="J65" s="3873"/>
      <c r="K65" s="1332" t="s">
        <v>1369</v>
      </c>
      <c r="L65" s="1332">
        <f ca="1">IF(M49&gt;1000,M49*0.1%,IF(AND(M49&gt;500,M49&lt;=1000),M49*0.5%,IF(AND(M49&gt;50,M49&lt;=500),M49*1%,IF(AND(M49&gt;1,M49&lt;=50),M49*1.5%))))</f>
        <v>196.852</v>
      </c>
      <c r="M65" s="302">
        <f t="shared" ca="1" si="1"/>
        <v>196.9</v>
      </c>
      <c r="N65" s="2522" t="s">
        <v>1367</v>
      </c>
      <c r="Z65" s="1752"/>
      <c r="AI65" s="1753"/>
    </row>
    <row r="66" spans="1:35" ht="14.25" customHeight="1">
      <c r="A66" s="173" t="s">
        <v>327</v>
      </c>
      <c r="B66" s="174" t="s">
        <v>1370</v>
      </c>
      <c r="C66" s="2545">
        <v>53300</v>
      </c>
      <c r="D66" s="174" t="s">
        <v>26</v>
      </c>
      <c r="E66" s="1338" t="s">
        <v>671</v>
      </c>
      <c r="F66" s="1808"/>
      <c r="G66" s="1808"/>
      <c r="H66" s="1810"/>
      <c r="I66" s="129"/>
      <c r="J66" s="3873"/>
      <c r="K66" s="1332" t="s">
        <v>1371</v>
      </c>
      <c r="L66" s="1332">
        <f ca="1">M49*0.5%</f>
        <v>984.26</v>
      </c>
      <c r="M66" s="302">
        <f ca="1">IF(L66&gt;0.5,0.5,ROUND(L66,0))</f>
        <v>0.5</v>
      </c>
      <c r="N66" s="2522" t="s">
        <v>1372</v>
      </c>
      <c r="Z66" s="1752"/>
      <c r="AI66" s="1753"/>
    </row>
    <row r="67" spans="1:35" ht="14.25" customHeight="1">
      <c r="A67" s="173" t="s">
        <v>328</v>
      </c>
      <c r="B67" s="174" t="s">
        <v>1373</v>
      </c>
      <c r="C67" s="2546">
        <f ca="1">C63-C66</f>
        <v>51688</v>
      </c>
      <c r="D67" s="170" t="s">
        <v>26</v>
      </c>
      <c r="E67" s="172"/>
      <c r="F67" s="1808"/>
      <c r="G67" s="1808"/>
      <c r="H67" s="1810"/>
      <c r="I67" s="129"/>
      <c r="J67" s="3873"/>
      <c r="K67" s="1332" t="s">
        <v>1374</v>
      </c>
      <c r="L67" s="1332">
        <f ca="1">IF(M49&gt;=10000,(8.25+(M49-10000)*0.01%),IF(AND(M49&gt;=8000,M49&lt;10000),(7.85+(M49-8000)*0.02%),IF(AND(M49&gt;=5000,M49&lt;8000),(6.65+(M49-5000)*0.04%),IF(AND(M49&gt;=2000,M49&lt;5000),(4.25+(PM49-2000)*0.08%),IF(AND(M49&gt;=1000,M49&lt;2000),(2.75+(M49-1000)*0.15%),IF(AND(M49&gt;=100,M49&lt;1000),(0.5+(M49-100)*0.25%),IF(AND(M49&gt;0,M49&lt;100),M49*0.5%)))))))</f>
        <v>26.935200000000002</v>
      </c>
      <c r="M67" s="302">
        <f ca="1">ROUND(L67*0.9,1)</f>
        <v>24.2</v>
      </c>
      <c r="N67" s="2521"/>
      <c r="Z67" s="1752"/>
      <c r="AI67" s="1753"/>
    </row>
    <row r="68" spans="1:35" ht="14.25" customHeight="1" thickBot="1">
      <c r="A68" s="176" t="s">
        <v>329</v>
      </c>
      <c r="B68" s="177" t="s">
        <v>1375</v>
      </c>
      <c r="C68" s="2547">
        <f ca="1">IF(C67&lt;=0,0,ROUND(C67*D68,0))</f>
        <v>2895</v>
      </c>
      <c r="D68" s="2548">
        <f>'数据-取费表'!B41</f>
        <v>5.6000000000000001E-2</v>
      </c>
      <c r="E68" s="178"/>
      <c r="F68" s="1808"/>
      <c r="G68" s="1808"/>
      <c r="H68" s="1810"/>
      <c r="I68" s="129"/>
      <c r="J68" s="3873"/>
      <c r="K68" s="1332" t="s">
        <v>1376</v>
      </c>
      <c r="L68" s="1332">
        <f ca="1">IF(M49&gt;10000,M49*0.5%,IF(AND(M49&gt;5000,M49&lt;=10000),M49*1%,IF(AND(M49&gt;1000,M49&lt;=5000),M49*2%,IF(AND(M49&gt;200,M49&lt;=1000),M49*3%,M49*5%))))</f>
        <v>984.26</v>
      </c>
      <c r="M68" s="302">
        <f ca="1">ROUND(L68,1)</f>
        <v>984.3</v>
      </c>
      <c r="N68" s="2521"/>
      <c r="Z68" s="1752"/>
      <c r="AI68" s="1753"/>
    </row>
    <row r="69" spans="1:35" s="1772" customFormat="1" ht="16.5" customHeight="1">
      <c r="A69" s="1811"/>
      <c r="B69" s="1812"/>
      <c r="C69" s="1813"/>
      <c r="D69" s="1814"/>
      <c r="E69" s="1815"/>
      <c r="F69" s="1578"/>
      <c r="G69" s="1578"/>
      <c r="H69" s="1577"/>
      <c r="I69" s="1747"/>
      <c r="J69" s="3873"/>
      <c r="K69" s="1332" t="s">
        <v>1377</v>
      </c>
      <c r="L69" s="1332"/>
      <c r="M69" s="302">
        <f ca="1">ROUND(SUM(M63:M68),0)</f>
        <v>3175</v>
      </c>
      <c r="N69" s="2523">
        <f ca="1">M69/M49</f>
        <v>1.6128868388433949E-2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834" t="s">
        <v>1378</v>
      </c>
      <c r="B70" s="3835"/>
      <c r="C70" s="3835"/>
      <c r="D70" s="3835"/>
      <c r="E70" s="3835"/>
      <c r="F70" s="3835"/>
      <c r="G70" s="3835"/>
      <c r="H70" s="3835"/>
      <c r="I70" s="1816"/>
      <c r="J70" s="2668"/>
      <c r="K70" s="2668"/>
      <c r="L70" s="2668"/>
      <c r="M70" s="2668"/>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813" t="s">
        <v>1359</v>
      </c>
      <c r="B71" s="3814"/>
      <c r="C71" s="2021"/>
      <c r="D71" s="2021" t="s">
        <v>1360</v>
      </c>
      <c r="E71" s="179" t="s">
        <v>1361</v>
      </c>
      <c r="F71" s="180"/>
      <c r="G71" s="180"/>
      <c r="H71" s="181"/>
      <c r="I71" s="1820"/>
      <c r="J71" s="2668"/>
      <c r="K71" s="2668"/>
      <c r="L71" s="2668"/>
      <c r="M71" s="2668"/>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1379</v>
      </c>
      <c r="C72" s="2546">
        <f ca="1">ROUND(D45/(1+'数据-取费表'!C42),0)</f>
        <v>104988</v>
      </c>
      <c r="D72" s="170" t="s">
        <v>26</v>
      </c>
      <c r="E72" s="2331"/>
      <c r="F72" s="2330"/>
      <c r="G72" s="2330"/>
      <c r="H72" s="182"/>
      <c r="I72" s="1820"/>
      <c r="J72" s="2668"/>
      <c r="K72" s="2668"/>
      <c r="L72" s="2668"/>
      <c r="M72" s="2668"/>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1380</v>
      </c>
      <c r="C73" s="2546">
        <f ca="1">C74+C78</f>
        <v>55556</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1381</v>
      </c>
      <c r="C74" s="170">
        <f>ROUND(IF(G77="2016年5月1日后购买",C75/(1+'数据-取费表'!C42)+C76+C77,C75+C76+C77),0)</f>
        <v>54926</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1382</v>
      </c>
      <c r="C75" s="2544">
        <v>53300</v>
      </c>
      <c r="D75" s="170" t="s">
        <v>26</v>
      </c>
      <c r="E75" s="184" t="s">
        <v>1383</v>
      </c>
      <c r="F75" s="2549" t="s">
        <v>3867</v>
      </c>
      <c r="G75" s="184" t="s">
        <v>1384</v>
      </c>
      <c r="H75" s="2550">
        <v>7</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1385</v>
      </c>
      <c r="C76" s="170">
        <f>IF(F75="购房发票",ROUND(C75*H75*D76,0),0)</f>
        <v>0</v>
      </c>
      <c r="D76" s="2551">
        <v>0.05</v>
      </c>
      <c r="E76" s="3808" t="s">
        <v>1386</v>
      </c>
      <c r="F76" s="3782"/>
      <c r="G76" s="3782"/>
      <c r="H76" s="383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1387</v>
      </c>
      <c r="C77" s="170">
        <f>ROUND(IF(G77="个人住宅",0,IF(G77="2016年5月1日前购买",C75*D77,C75*D77/(1+'数据-取费表'!C42))),0)</f>
        <v>1626</v>
      </c>
      <c r="D77" s="2552">
        <f>'数据-取费表'!B48+'数据-取费表'!B49</f>
        <v>3.0499999999999999E-2</v>
      </c>
      <c r="E77" s="2324" t="s">
        <v>1388</v>
      </c>
      <c r="F77" s="186"/>
      <c r="G77" s="1822" t="s">
        <v>3868</v>
      </c>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1389</v>
      </c>
      <c r="C78" s="2553">
        <f ca="1">ROUND(D45*D78/(1+'数据-取费表'!C42),0)</f>
        <v>630</v>
      </c>
      <c r="D78" s="2554">
        <f>'数据-取费表'!B43</f>
        <v>6.000000000000001E-3</v>
      </c>
      <c r="E78" s="3792" t="s">
        <v>1390</v>
      </c>
      <c r="F78" s="3793"/>
      <c r="G78" s="3793"/>
      <c r="H78" s="380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1391</v>
      </c>
      <c r="C79" s="2546">
        <f ca="1">C72-C73</f>
        <v>49432</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1392</v>
      </c>
      <c r="C80" s="2555">
        <f ca="1">IF(C79&lt;=0,0,C79/C73)</f>
        <v>0.8897688818489452</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1393</v>
      </c>
      <c r="C81" s="2556">
        <f ca="1">ROUND(IF(C79&lt;=0,0,IF(C80&gt;=200%,C79*60%-C73*35%,IF(C80&gt;=100%,C79*50%-C73*15%,IF(C80&gt;=50%,C79*40%-C73*5%,IF(C80&lt;50%,C79*30%,0))))),0)</f>
        <v>16995</v>
      </c>
      <c r="D81" s="255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 xml:space="preserve">土地增值税税额=增值额×40%－扣除项目金额×5% </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834" t="s">
        <v>1394</v>
      </c>
      <c r="B83" s="3835"/>
      <c r="C83" s="3835"/>
      <c r="D83" s="3835"/>
      <c r="E83" s="3835"/>
      <c r="F83" s="3835"/>
      <c r="G83" s="3835"/>
      <c r="H83" s="383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813" t="s">
        <v>1359</v>
      </c>
      <c r="B84" s="3814"/>
      <c r="C84" s="2021"/>
      <c r="D84" s="2021" t="s">
        <v>1360</v>
      </c>
      <c r="E84" s="179" t="s">
        <v>1361</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1379</v>
      </c>
      <c r="C85" s="2546">
        <f ca="1">ROUND(D45/(1+'数据-取费表'!C42),0)</f>
        <v>104988</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1380</v>
      </c>
      <c r="C86" s="2546">
        <f ca="1">IF(H88="仅含出让金",C87+C90+C91+C92+C93+C94,C87+C91+C92+C93+C94)</f>
        <v>630</v>
      </c>
      <c r="D86" s="2558"/>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1395</v>
      </c>
      <c r="C87" s="2553">
        <f>C88+C89</f>
        <v>0</v>
      </c>
      <c r="D87" s="2554"/>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1396</v>
      </c>
      <c r="C88" s="2559"/>
      <c r="D88" s="2554"/>
      <c r="E88" s="193" t="s">
        <v>1397</v>
      </c>
      <c r="F88" s="2327"/>
      <c r="G88" s="194" t="s">
        <v>1398</v>
      </c>
      <c r="H88" s="1824"/>
      <c r="I88" s="1821"/>
      <c r="J88" s="2518" t="s">
        <v>2268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1387</v>
      </c>
      <c r="C89" s="2553">
        <f>ROUND(C88*D89,0)</f>
        <v>0</v>
      </c>
      <c r="D89" s="2554">
        <f>'数据-取费表'!B48+'数据-取费表'!B49</f>
        <v>3.0499999999999999E-2</v>
      </c>
      <c r="E89" s="193" t="s">
        <v>1399</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1400</v>
      </c>
      <c r="C90" s="2559"/>
      <c r="D90" s="2554"/>
      <c r="E90" s="193" t="str">
        <f>IF(H88="-","土地取得成本中已包含该笔费用"," ")</f>
        <v xml:space="preserve"> </v>
      </c>
      <c r="F90" s="2327"/>
      <c r="G90" s="3875" t="s">
        <v>2113</v>
      </c>
      <c r="H90" s="3876"/>
      <c r="I90" s="1821"/>
      <c r="J90" s="2518" t="s">
        <v>2269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1401</v>
      </c>
      <c r="B91" s="170" t="s">
        <v>1402</v>
      </c>
      <c r="C91" s="2553">
        <f>IF(H91="——",成本法!C33,I91)</f>
        <v>0</v>
      </c>
      <c r="D91" s="2554"/>
      <c r="E91" s="3792" t="s">
        <v>1403</v>
      </c>
      <c r="F91" s="3793"/>
      <c r="G91" s="379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1404</v>
      </c>
      <c r="B92" s="170" t="s">
        <v>1405</v>
      </c>
      <c r="C92" s="2553">
        <f>ROUND((C87+C90+C91)*D92,0)</f>
        <v>0</v>
      </c>
      <c r="D92" s="2560"/>
      <c r="E92" s="3792" t="s">
        <v>1406</v>
      </c>
      <c r="F92" s="3793"/>
      <c r="G92" s="3793"/>
      <c r="H92" s="3802"/>
      <c r="I92" s="1821"/>
      <c r="J92" s="2519" t="s">
        <v>2270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1407</v>
      </c>
      <c r="B93" s="170" t="s">
        <v>1389</v>
      </c>
      <c r="C93" s="2553">
        <f ca="1">ROUND(D45*D93/(1+'数据-取费表'!C42),0)</f>
        <v>630</v>
      </c>
      <c r="D93" s="2554">
        <f>'数据-取费表'!B43</f>
        <v>6.000000000000001E-3</v>
      </c>
      <c r="E93" s="3792" t="s">
        <v>1390</v>
      </c>
      <c r="F93" s="3793"/>
      <c r="G93" s="3793"/>
      <c r="H93" s="380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1408</v>
      </c>
      <c r="B94" s="170" t="s">
        <v>1409</v>
      </c>
      <c r="C94" s="2559">
        <f>ROUND((C87+C90+C91)*D94,0)</f>
        <v>0</v>
      </c>
      <c r="D94" s="2554">
        <v>0.2</v>
      </c>
      <c r="E94" s="3803" t="s">
        <v>1410</v>
      </c>
      <c r="F94" s="3804"/>
      <c r="G94" s="3804"/>
      <c r="H94" s="380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1391</v>
      </c>
      <c r="C95" s="2546">
        <f ca="1">ROUND(C85-C86,0)</f>
        <v>104358</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1392</v>
      </c>
      <c r="C96" s="2555">
        <f ca="1">IF(C95&lt;=0,0,C95/C86)</f>
        <v>165.64761904761906</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1393</v>
      </c>
      <c r="C97" s="2556">
        <f ca="1">ROUND(IF(C95&lt;=0,0,IF(C96&gt;=200%,C95*60%-C86*35%,IF(C96&gt;=100%,C95*50%-C86*15%,IF(C96&gt;=50%,C95*40%-C86*5%,IF(C96&lt;50%,C95*30%,0))))),0)</f>
        <v>62394</v>
      </c>
      <c r="D97" s="255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1411</v>
      </c>
      <c r="B99" s="1747"/>
      <c r="C99" s="1747"/>
      <c r="D99" s="1747"/>
      <c r="E99" s="1578"/>
      <c r="F99" s="1578"/>
      <c r="G99" s="1578"/>
      <c r="H99" s="1577"/>
      <c r="I99" s="129"/>
    </row>
    <row r="100" spans="1:35" ht="18.75" customHeight="1">
      <c r="A100" s="3776" t="s">
        <v>1412</v>
      </c>
      <c r="B100" s="3777"/>
      <c r="C100" s="3777"/>
      <c r="D100" s="3794"/>
      <c r="E100" s="3777" t="s">
        <v>1413</v>
      </c>
      <c r="F100" s="3777"/>
      <c r="G100" s="3777"/>
      <c r="H100" s="3794"/>
      <c r="I100" s="129"/>
    </row>
    <row r="101" spans="1:35" ht="18.75" customHeight="1">
      <c r="A101" s="3855" t="s">
        <v>1414</v>
      </c>
      <c r="B101" s="3856"/>
      <c r="C101" s="2562" t="str">
        <f>C4</f>
        <v>比较法-办公</v>
      </c>
      <c r="D101" s="2563" t="str">
        <f>D4</f>
        <v>收益法（汇总）</v>
      </c>
      <c r="E101" s="3870" t="s">
        <v>1415</v>
      </c>
      <c r="F101" s="3826"/>
      <c r="G101" s="1827" t="s">
        <v>1416</v>
      </c>
      <c r="H101" s="2572">
        <f ca="1">H118</f>
        <v>196852</v>
      </c>
      <c r="I101" s="129"/>
    </row>
    <row r="102" spans="1:35" ht="18.75" customHeight="1">
      <c r="A102" s="3828" t="s">
        <v>1417</v>
      </c>
      <c r="B102" s="2561" t="s">
        <v>1416</v>
      </c>
      <c r="C102" s="2562">
        <f ca="1">IF(D32="楼面单价",ROUND(C19,0),C19)</f>
        <v>244252</v>
      </c>
      <c r="D102" s="2563">
        <f ca="1">IF(D32="楼面单价",ROUND(D19,0),D19)</f>
        <v>138918</v>
      </c>
      <c r="E102" s="3870"/>
      <c r="F102" s="3826"/>
      <c r="G102" s="1827" t="s">
        <v>1418</v>
      </c>
      <c r="H102" s="2533">
        <f ca="1">I118</f>
        <v>40404</v>
      </c>
      <c r="I102" s="129"/>
    </row>
    <row r="103" spans="1:35" ht="42.75" customHeight="1">
      <c r="A103" s="3828"/>
      <c r="B103" s="2561" t="s">
        <v>1418</v>
      </c>
      <c r="C103" s="2564">
        <f ca="1">C20</f>
        <v>50133</v>
      </c>
      <c r="D103" s="2565">
        <f ca="1">D20</f>
        <v>28513</v>
      </c>
      <c r="E103" s="3863" t="s">
        <v>1419</v>
      </c>
      <c r="F103" s="3864"/>
      <c r="G103" s="1828" t="s">
        <v>1420</v>
      </c>
      <c r="H103" s="2572">
        <f>IF(D36="正常操作",H104+H105+H106,H105+H106)</f>
        <v>0</v>
      </c>
      <c r="I103" s="129"/>
    </row>
    <row r="104" spans="1:35" ht="18.75" customHeight="1">
      <c r="A104" s="3828" t="s">
        <v>1421</v>
      </c>
      <c r="B104" s="2566" t="s">
        <v>1416</v>
      </c>
      <c r="C104" s="2567">
        <f ca="1">H118</f>
        <v>196852</v>
      </c>
      <c r="D104" s="2568"/>
      <c r="E104" s="1674" t="s">
        <v>1422</v>
      </c>
      <c r="F104" s="1666"/>
      <c r="G104" s="1828" t="s">
        <v>1420</v>
      </c>
      <c r="H104" s="2573">
        <f>IF(D36="同一抵押权人同一抵押物续贷",C36&amp;"（续贷，未扣减，详见特别提示）",C36)</f>
        <v>0</v>
      </c>
      <c r="I104" s="129"/>
    </row>
    <row r="105" spans="1:35" ht="18.75" customHeight="1" thickBot="1">
      <c r="A105" s="3829"/>
      <c r="B105" s="2569" t="s">
        <v>1418</v>
      </c>
      <c r="C105" s="2570">
        <f ca="1">I118</f>
        <v>40404</v>
      </c>
      <c r="D105" s="2571"/>
      <c r="E105" s="1674" t="s">
        <v>1423</v>
      </c>
      <c r="F105" s="1666"/>
      <c r="G105" s="1828" t="s">
        <v>1420</v>
      </c>
      <c r="H105" s="2574">
        <f>C37</f>
        <v>0</v>
      </c>
      <c r="I105" s="129"/>
    </row>
    <row r="106" spans="1:35" ht="18.75" customHeight="1">
      <c r="A106" s="1747" t="s">
        <v>1424</v>
      </c>
      <c r="B106" s="1747"/>
      <c r="C106" s="1747"/>
      <c r="D106" s="1747"/>
      <c r="E106" s="1829" t="s">
        <v>1425</v>
      </c>
      <c r="F106" s="1666"/>
      <c r="G106" s="1828" t="s">
        <v>1420</v>
      </c>
      <c r="H106" s="2574">
        <f>C38</f>
        <v>0</v>
      </c>
      <c r="I106" s="129"/>
    </row>
    <row r="107" spans="1:35" ht="18.75" customHeight="1">
      <c r="A107" s="129"/>
      <c r="B107" s="129"/>
      <c r="C107" s="129"/>
      <c r="D107" s="129"/>
      <c r="E107" s="3825" t="str">
        <f>IF(项目基本情况!E8="已注销","——","3.房地产抵押价值")</f>
        <v>3.房地产抵押价值</v>
      </c>
      <c r="F107" s="3826"/>
      <c r="G107" s="1827" t="s">
        <v>1416</v>
      </c>
      <c r="H107" s="2572">
        <f ca="1">IF(E107="——","——",H101-H103)</f>
        <v>196852</v>
      </c>
      <c r="I107" s="129"/>
    </row>
    <row r="108" spans="1:35" ht="18.75" customHeight="1">
      <c r="A108" s="129"/>
      <c r="B108" s="129"/>
      <c r="C108" s="129"/>
      <c r="D108" s="129"/>
      <c r="E108" s="3825"/>
      <c r="F108" s="3826"/>
      <c r="G108" s="1827" t="s">
        <v>1418</v>
      </c>
      <c r="H108" s="2533">
        <f ca="1">IF(H107=H101,H102,ROUND(H107*10000/'数据-汇总表'!E3,0))</f>
        <v>40404</v>
      </c>
      <c r="I108" s="129"/>
    </row>
    <row r="109" spans="1:35" ht="18.75" customHeight="1">
      <c r="A109" s="129"/>
      <c r="B109" s="129"/>
      <c r="C109" s="129"/>
      <c r="D109" s="129"/>
      <c r="E109" s="3825" t="str">
        <f>IF(项目基本情况!E8="已注销及未注销","4.抵押担保权已注销时的房地产抵押价值",IF(项目基本情况!E8="已注销","3.抵押担保权已注销时的房地产抵押价值","——"))</f>
        <v>——</v>
      </c>
      <c r="F109" s="3826"/>
      <c r="G109" s="1827" t="s">
        <v>1416</v>
      </c>
      <c r="H109" s="2575" t="str">
        <f>IF(E109="——","——",H101-H105-H106)</f>
        <v>——</v>
      </c>
      <c r="I109" s="129"/>
    </row>
    <row r="110" spans="1:35" ht="18.75" customHeight="1">
      <c r="A110" s="129"/>
      <c r="B110" s="129"/>
      <c r="C110" s="129"/>
      <c r="D110" s="129"/>
      <c r="E110" s="3825"/>
      <c r="F110" s="3826"/>
      <c r="G110" s="1827" t="s">
        <v>1418</v>
      </c>
      <c r="H110" s="2533" t="str">
        <f>IF(H109="——","——",ROUND(H109*10000/'数据-汇总表'!E3,0))</f>
        <v>——</v>
      </c>
      <c r="I110" s="129"/>
    </row>
    <row r="111" spans="1:35" ht="18.75" customHeight="1">
      <c r="A111" s="129"/>
      <c r="B111" s="129"/>
      <c r="C111" s="129"/>
      <c r="D111" s="129"/>
      <c r="E111" s="3857" t="str">
        <f>IF(项目基本情况!E9="抵押净值",IF(OR(项目基本情况!E8="已注销",项目基本情况!E8="房地产抵押价值"),"4.抵押净值","5.抵押净值"),"——")</f>
        <v>4.抵押净值</v>
      </c>
      <c r="F111" s="3827"/>
      <c r="G111" s="1827" t="s">
        <v>1416</v>
      </c>
      <c r="H111" s="2572">
        <f ca="1">IF(E111="——","——",N59)</f>
        <v>188390</v>
      </c>
      <c r="I111" s="129"/>
    </row>
    <row r="112" spans="1:35" ht="18.75" customHeight="1" thickBot="1">
      <c r="A112" s="129"/>
      <c r="B112" s="129"/>
      <c r="C112" s="129"/>
      <c r="D112" s="129"/>
      <c r="E112" s="3858"/>
      <c r="F112" s="3859"/>
      <c r="G112" s="1830" t="s">
        <v>1418</v>
      </c>
      <c r="H112" s="2576">
        <f ca="1">IF(E111="——","——",N61)</f>
        <v>38667</v>
      </c>
      <c r="I112" s="129"/>
    </row>
    <row r="113" spans="1:27" ht="18.75" customHeight="1">
      <c r="A113" s="129"/>
      <c r="B113" s="129"/>
      <c r="C113" s="129"/>
      <c r="D113" s="129"/>
      <c r="E113" s="3830" t="s">
        <v>1424</v>
      </c>
      <c r="F113" s="3830"/>
      <c r="G113" s="3830"/>
      <c r="H113" s="3830"/>
      <c r="I113" s="129"/>
    </row>
    <row r="114" spans="1:27" ht="3.75" customHeight="1">
      <c r="A114" s="1747"/>
      <c r="B114" s="1747"/>
      <c r="C114" s="1747"/>
      <c r="D114" s="1747"/>
      <c r="E114" s="1809"/>
      <c r="F114" s="1809"/>
      <c r="G114" s="1809"/>
      <c r="H114" s="1809"/>
      <c r="I114" s="1747"/>
    </row>
    <row r="115" spans="1:27" ht="18.75" customHeight="1">
      <c r="A115" s="3840" t="s">
        <v>1426</v>
      </c>
      <c r="B115" s="3841"/>
      <c r="C115" s="3841"/>
      <c r="D115" s="3841"/>
      <c r="E115" s="3841"/>
      <c r="F115" s="3841"/>
      <c r="G115" s="3841"/>
      <c r="H115" s="3841"/>
      <c r="I115" s="3842"/>
    </row>
    <row r="116" spans="1:27" ht="27" customHeight="1">
      <c r="A116" s="3796" t="s">
        <v>1427</v>
      </c>
      <c r="B116" s="3831" t="s">
        <v>1428</v>
      </c>
      <c r="C116" s="3831" t="s">
        <v>1429</v>
      </c>
      <c r="D116" s="3844" t="s">
        <v>1430</v>
      </c>
      <c r="E116" s="3845"/>
      <c r="F116" s="3839" t="s">
        <v>1431</v>
      </c>
      <c r="G116" s="3839"/>
      <c r="H116" s="3796" t="s">
        <v>1432</v>
      </c>
      <c r="I116" s="3796"/>
    </row>
    <row r="117" spans="1:27" ht="18.75" customHeight="1">
      <c r="A117" s="3796"/>
      <c r="B117" s="3832"/>
      <c r="C117" s="3832"/>
      <c r="D117" s="2329" t="s">
        <v>1433</v>
      </c>
      <c r="E117" s="2329" t="s">
        <v>1434</v>
      </c>
      <c r="F117" s="2329" t="s">
        <v>1433</v>
      </c>
      <c r="G117" s="2329" t="s">
        <v>1435</v>
      </c>
      <c r="H117" s="2329" t="s">
        <v>1433</v>
      </c>
      <c r="I117" s="2329" t="s">
        <v>1435</v>
      </c>
    </row>
    <row r="118" spans="1:27" ht="24.75" customHeight="1">
      <c r="A118" s="2577" t="str">
        <f>项目基本情况!S2</f>
        <v>北京市朝阳区东四环北路2号房地产</v>
      </c>
      <c r="B118" s="2329">
        <f>M18</f>
        <v>48720.729999999974</v>
      </c>
      <c r="C118" s="2329">
        <f>M19</f>
        <v>0</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196852</v>
      </c>
      <c r="I118" s="2329">
        <f ca="1">ROUND(IF(D32="楼面单价",C32,H118*10000/B118),0)</f>
        <v>40404</v>
      </c>
    </row>
    <row r="119" spans="1:27" ht="18.75" customHeight="1">
      <c r="A119" s="3796" t="s">
        <v>1436</v>
      </c>
      <c r="B119" s="3796"/>
      <c r="C119" s="3796"/>
      <c r="D119" s="3836" t="str">
        <f>NUMBERSTRING(INT(D118*10000),2)&amp;"元整"</f>
        <v>零元整</v>
      </c>
      <c r="E119" s="3838"/>
      <c r="F119" s="3836" t="str">
        <f>NUMBERSTRING(INT(F118*10000),2)&amp;"元整"</f>
        <v>零元整</v>
      </c>
      <c r="G119" s="3838"/>
      <c r="H119" s="3836" t="str">
        <f ca="1">NUMBERSTRING(INT(H118*10000),2)&amp;"元整"</f>
        <v>壹拾玖亿陆仟捌佰伍拾贰万元整</v>
      </c>
      <c r="I119" s="3838"/>
    </row>
    <row r="120" spans="1:27" ht="18.75" customHeight="1">
      <c r="A120" s="3860" t="str">
        <f>IF(项目基本情况!B9="房地产市场价值","",MID(E103,3,LEN(E103)-2))</f>
        <v/>
      </c>
      <c r="B120" s="3861"/>
      <c r="C120" s="3862"/>
      <c r="D120" s="3860">
        <f>H103</f>
        <v>0</v>
      </c>
      <c r="E120" s="3861"/>
      <c r="F120" s="3861"/>
      <c r="G120" s="3861"/>
      <c r="H120" s="3861"/>
      <c r="I120" s="3862"/>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836" t="s">
        <v>1436</v>
      </c>
      <c r="B121" s="3837"/>
      <c r="C121" s="3838"/>
      <c r="D121" s="3836" t="str">
        <f>IF(D120=0,"零元整",NUMBERSTRING(INT(D120*10000),2)&amp;"元整")</f>
        <v>零元整</v>
      </c>
      <c r="E121" s="3837"/>
      <c r="F121" s="3837"/>
      <c r="G121" s="3837"/>
      <c r="H121" s="3837"/>
      <c r="I121" s="3838"/>
      <c r="AA121" s="725"/>
    </row>
    <row r="122" spans="1:27" ht="18.75" customHeight="1">
      <c r="A122" s="3827" t="str">
        <f>IF(项目基本情况!B9="房地产市场价值","",MID(E107,3,LEN(E107)-2))</f>
        <v/>
      </c>
      <c r="B122" s="3827"/>
      <c r="C122" s="3827"/>
      <c r="D122" s="3860">
        <f ca="1">H107</f>
        <v>196852</v>
      </c>
      <c r="E122" s="3861"/>
      <c r="F122" s="3861"/>
      <c r="G122" s="3861"/>
      <c r="H122" s="3861"/>
      <c r="I122" s="3862"/>
      <c r="AA122" s="725"/>
    </row>
    <row r="123" spans="1:27" ht="18.75" customHeight="1">
      <c r="A123" s="3796" t="s">
        <v>1436</v>
      </c>
      <c r="B123" s="3796"/>
      <c r="C123" s="3796"/>
      <c r="D123" s="3836" t="str">
        <f ca="1">NUMBERSTRING(INT(D122*10000),2)&amp;"元整"</f>
        <v>壹拾玖亿陆仟捌佰伍拾贰万元整</v>
      </c>
      <c r="E123" s="3837"/>
      <c r="F123" s="3837"/>
      <c r="G123" s="3837"/>
      <c r="H123" s="3837"/>
      <c r="I123" s="3838"/>
      <c r="AA123" s="725"/>
    </row>
    <row r="124" spans="1:27" ht="18.75" customHeight="1">
      <c r="A124" s="3827" t="str">
        <f>IF(项目基本情况!B9="房地产市场价值","",MID(E109,3,LEN(E109)-2))</f>
        <v/>
      </c>
      <c r="B124" s="3827"/>
      <c r="C124" s="3827"/>
      <c r="D124" s="3860" t="str">
        <f>H109</f>
        <v>——</v>
      </c>
      <c r="E124" s="3861"/>
      <c r="F124" s="3861"/>
      <c r="G124" s="3861"/>
      <c r="H124" s="3861"/>
      <c r="I124" s="3862"/>
      <c r="AA124" s="725"/>
    </row>
    <row r="125" spans="1:27" ht="18.75" customHeight="1">
      <c r="A125" s="3796" t="s">
        <v>1436</v>
      </c>
      <c r="B125" s="3796"/>
      <c r="C125" s="3796"/>
      <c r="D125" s="3836" t="e">
        <f>NUMBERSTRING(INT(D124*10000),2)&amp;"元整"</f>
        <v>#VALUE!</v>
      </c>
      <c r="E125" s="3837"/>
      <c r="F125" s="3837"/>
      <c r="G125" s="3837"/>
      <c r="H125" s="3837"/>
      <c r="I125" s="3838"/>
      <c r="AA125" s="725"/>
    </row>
    <row r="126" spans="1:27" ht="18.75" customHeight="1">
      <c r="A126" s="3827" t="str">
        <f>IF(项目基本情况!B9="房地产市场价值","",MID(E111,3,LEN(E111)-2))</f>
        <v/>
      </c>
      <c r="B126" s="3827"/>
      <c r="C126" s="3827"/>
      <c r="D126" s="3860">
        <f ca="1">H111</f>
        <v>188390</v>
      </c>
      <c r="E126" s="3861"/>
      <c r="F126" s="3861"/>
      <c r="G126" s="3861"/>
      <c r="H126" s="3861"/>
      <c r="I126" s="3862"/>
      <c r="AA126" s="725"/>
    </row>
    <row r="127" spans="1:27" ht="18.75" customHeight="1">
      <c r="A127" s="3796" t="s">
        <v>1436</v>
      </c>
      <c r="B127" s="3796"/>
      <c r="C127" s="3796"/>
      <c r="D127" s="3836" t="str">
        <f ca="1">NUMBERSTRING(INT(D126*10000),2)&amp;"元整"</f>
        <v>壹拾捌亿捌仟叁佰玖拾万元整</v>
      </c>
      <c r="E127" s="3837"/>
      <c r="F127" s="3837"/>
      <c r="G127" s="3837"/>
      <c r="H127" s="3837"/>
      <c r="I127" s="3838"/>
      <c r="AA127" s="725"/>
    </row>
    <row r="128" spans="1:27" ht="21.75" customHeight="1">
      <c r="A128" s="3843" t="s">
        <v>1437</v>
      </c>
      <c r="B128" s="3843"/>
      <c r="C128" s="3843"/>
      <c r="D128" s="3843"/>
      <c r="E128" s="3843"/>
      <c r="F128" s="3843"/>
      <c r="G128" s="3843"/>
      <c r="H128" s="3843"/>
      <c r="I128" s="3843"/>
      <c r="AA128" s="725"/>
    </row>
    <row r="129" spans="1:35" ht="21.75" customHeight="1">
      <c r="A129" s="1831" t="s">
        <v>1438</v>
      </c>
      <c r="B129" s="1832"/>
      <c r="C129" s="1833" t="s">
        <v>1439</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1440</v>
      </c>
      <c r="G135" s="1848"/>
      <c r="H135" s="1848"/>
      <c r="I135" s="1849" t="s">
        <v>1441</v>
      </c>
    </row>
    <row r="136" spans="1:35" ht="21.75" customHeight="1">
      <c r="A136" s="725"/>
      <c r="B136" s="1850" t="s">
        <v>1442</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1443</v>
      </c>
    </row>
    <row r="139" spans="1:35" ht="21.75" customHeight="1">
      <c r="A139" s="725"/>
      <c r="B139" s="1850" t="s">
        <v>1444</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1443</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1445</v>
      </c>
      <c r="B1" s="1470"/>
      <c r="C1" s="1859" t="s">
        <v>1547</v>
      </c>
      <c r="D1" s="198"/>
      <c r="E1" s="198"/>
      <c r="F1" s="198"/>
      <c r="G1" s="1126">
        <f>MATCH(B1,'数据-取费表'!A6:A16,0)+5</f>
        <v>8</v>
      </c>
      <c r="H1" s="1061" t="str">
        <f>IF(ISERROR(FIND("住宅",B1)),"非住宅","住宅")</f>
        <v>非住宅</v>
      </c>
    </row>
    <row r="2" spans="1:8" s="200" customFormat="1" ht="18" customHeight="1">
      <c r="A2" s="201" t="s">
        <v>1446</v>
      </c>
      <c r="B2" s="3401">
        <f ca="1">ROUND(IF(D2="——",C52/10000,C52/10000-E2),4)</f>
        <v>36664.633099999999</v>
      </c>
      <c r="C2" s="199" t="s">
        <v>1447</v>
      </c>
      <c r="D2" s="1853" t="s">
        <v>43</v>
      </c>
      <c r="E2" s="1169" t="e">
        <f ca="1">SUMIF(INDIRECT("'"&amp;G2&amp;"'"&amp;"!A:A"),"承租人权益价值",INDIRECT("'"&amp;G2&amp;"'"&amp;"!c:c"))</f>
        <v>#REF!</v>
      </c>
      <c r="F2" s="1854" t="s">
        <v>1447</v>
      </c>
      <c r="G2" s="1855"/>
    </row>
    <row r="3" spans="1:8" s="200" customFormat="1" ht="18" customHeight="1" thickBot="1">
      <c r="A3" s="203" t="s">
        <v>1448</v>
      </c>
      <c r="B3" s="204">
        <f ca="1">ROUND(B2*10000/(IF(B1="",'数据-汇总表'!E3,INDIRECT("'数据-取费表'!k"&amp;$G$1))),0)</f>
        <v>7525</v>
      </c>
      <c r="C3" s="199" t="s">
        <v>1449</v>
      </c>
      <c r="D3" s="199"/>
      <c r="E3" s="199"/>
      <c r="F3" s="199"/>
      <c r="G3" s="199"/>
    </row>
    <row r="4" spans="1:8" s="208" customFormat="1" ht="15.75">
      <c r="A4" s="205" t="s">
        <v>1450</v>
      </c>
      <c r="B4" s="206"/>
      <c r="C4" s="206"/>
      <c r="D4" s="206"/>
      <c r="E4" s="206"/>
      <c r="F4" s="206"/>
      <c r="G4" s="207"/>
    </row>
    <row r="5" spans="1:8" s="214" customFormat="1" ht="13.5" customHeight="1">
      <c r="A5" s="255" t="s">
        <v>1451</v>
      </c>
      <c r="B5" s="210" t="s">
        <v>1452</v>
      </c>
      <c r="C5" s="211">
        <f ca="1">C6+C7+C8</f>
        <v>9744146</v>
      </c>
      <c r="D5" s="211" t="s">
        <v>1453</v>
      </c>
      <c r="E5" s="212" t="s">
        <v>1454</v>
      </c>
      <c r="F5" s="212" t="s">
        <v>1455</v>
      </c>
      <c r="G5" s="213"/>
    </row>
    <row r="6" spans="1:8" s="214" customFormat="1" ht="13.5" customHeight="1">
      <c r="A6" s="778" t="s">
        <v>1456</v>
      </c>
      <c r="B6" s="215" t="s">
        <v>1457</v>
      </c>
      <c r="C6" s="216"/>
      <c r="D6" s="217"/>
      <c r="E6" s="218"/>
      <c r="F6" s="218"/>
      <c r="G6" s="219"/>
    </row>
    <row r="7" spans="1:8" s="214" customFormat="1" ht="13.5" customHeight="1">
      <c r="A7" s="778" t="s">
        <v>1458</v>
      </c>
      <c r="B7" s="215" t="s">
        <v>1459</v>
      </c>
      <c r="C7" s="220">
        <f>ROUND(C6*F7,0)</f>
        <v>0</v>
      </c>
      <c r="D7" s="220"/>
      <c r="E7" s="218"/>
      <c r="F7" s="221">
        <f>IF(项目基本情况!B8="出让",0,'数据-取费表'!B48+'数据-取费表'!B49)</f>
        <v>3.0499999999999999E-2</v>
      </c>
      <c r="G7" s="219"/>
    </row>
    <row r="8" spans="1:8" s="223" customFormat="1">
      <c r="A8" s="778" t="s">
        <v>1460</v>
      </c>
      <c r="B8" s="215" t="s">
        <v>1461</v>
      </c>
      <c r="C8" s="220">
        <f ca="1">IF(G8="已包含在土地购买价格中",0,C9+C10)</f>
        <v>9744146</v>
      </c>
      <c r="D8" s="222"/>
      <c r="E8" s="220"/>
      <c r="F8" s="221"/>
      <c r="G8" s="1856"/>
    </row>
    <row r="9" spans="1:8" s="214" customFormat="1" ht="13.5" customHeight="1">
      <c r="A9" s="779" t="s">
        <v>355</v>
      </c>
      <c r="B9" s="224" t="s">
        <v>1462</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1464</v>
      </c>
      <c r="C10" s="225">
        <f ca="1">ROUND(D10*E10,0)</f>
        <v>9744146</v>
      </c>
      <c r="D10" s="845">
        <f ca="1">IF(B1="",'数据-汇总表'!E6,IF(INDIRECT("'数据-取费表'!c"&amp;$G$1)="住宅",INDIRECT("'数据-取费表'!s"&amp;$G$1),INDIRECT("'数据-取费表'!k"&amp;$G$1)+INDIRECT("'数据-取费表'!s"&amp;$G$1)))</f>
        <v>48720.729999999974</v>
      </c>
      <c r="E10" s="225">
        <f>'数据-取费表'!B28</f>
        <v>200</v>
      </c>
      <c r="F10" s="221"/>
      <c r="G10" s="226"/>
    </row>
    <row r="11" spans="1:8" s="214" customFormat="1" ht="13.5" hidden="1" customHeight="1">
      <c r="A11" s="227" t="s">
        <v>4</v>
      </c>
      <c r="B11" s="215" t="s">
        <v>1465</v>
      </c>
      <c r="C11" s="211"/>
      <c r="D11" s="847"/>
      <c r="E11" s="218"/>
      <c r="F11" s="218"/>
      <c r="G11" s="219"/>
    </row>
    <row r="12" spans="1:8" s="214" customFormat="1" ht="13.5" hidden="1" customHeight="1">
      <c r="A12" s="227" t="s">
        <v>5</v>
      </c>
      <c r="B12" s="215" t="s">
        <v>1548</v>
      </c>
      <c r="C12" s="211">
        <v>0</v>
      </c>
      <c r="D12" s="847"/>
      <c r="E12" s="228"/>
      <c r="F12" s="221">
        <v>3.0499999999999999E-2</v>
      </c>
      <c r="G12" s="219"/>
    </row>
    <row r="13" spans="1:8" s="214" customFormat="1" ht="13.5" hidden="1" customHeight="1">
      <c r="A13" s="227" t="s">
        <v>6</v>
      </c>
      <c r="B13" s="215" t="s">
        <v>1549</v>
      </c>
      <c r="C13" s="211"/>
      <c r="D13" s="847"/>
      <c r="E13" s="218"/>
      <c r="F13" s="218"/>
      <c r="G13" s="219"/>
    </row>
    <row r="14" spans="1:8" s="214" customFormat="1" ht="13.5" hidden="1" customHeight="1">
      <c r="A14" s="227" t="s">
        <v>7</v>
      </c>
      <c r="B14" s="215" t="s">
        <v>1461</v>
      </c>
      <c r="C14" s="211"/>
      <c r="D14" s="847"/>
      <c r="E14" s="218"/>
      <c r="F14" s="218"/>
      <c r="G14" s="219" t="s">
        <v>1550</v>
      </c>
    </row>
    <row r="15" spans="1:8" s="214" customFormat="1" ht="13.5" hidden="1" customHeight="1">
      <c r="A15" s="227" t="s">
        <v>8</v>
      </c>
      <c r="B15" s="215" t="s">
        <v>1551</v>
      </c>
      <c r="C15" s="220"/>
      <c r="D15" s="847"/>
      <c r="E15" s="218"/>
      <c r="F15" s="218"/>
      <c r="G15" s="219" t="s">
        <v>1552</v>
      </c>
    </row>
    <row r="16" spans="1:8" s="214" customFormat="1" ht="13.5" hidden="1" customHeight="1">
      <c r="A16" s="227" t="s">
        <v>9</v>
      </c>
      <c r="B16" s="215" t="s">
        <v>1461</v>
      </c>
      <c r="C16" s="220"/>
      <c r="D16" s="847"/>
      <c r="E16" s="218"/>
      <c r="F16" s="218"/>
      <c r="G16" s="219"/>
    </row>
    <row r="17" spans="1:7" s="214" customFormat="1" ht="13.5" hidden="1" customHeight="1">
      <c r="A17" s="227" t="s">
        <v>10</v>
      </c>
      <c r="B17" s="215" t="s">
        <v>1553</v>
      </c>
      <c r="C17" s="229"/>
      <c r="D17" s="848"/>
      <c r="E17" s="229"/>
      <c r="F17" s="229"/>
      <c r="G17" s="219" t="s">
        <v>1552</v>
      </c>
    </row>
    <row r="18" spans="1:7" s="214" customFormat="1" ht="13.5" hidden="1" customHeight="1">
      <c r="A18" s="227" t="s">
        <v>11</v>
      </c>
      <c r="B18" s="215" t="s">
        <v>1554</v>
      </c>
      <c r="C18" s="220">
        <v>0</v>
      </c>
      <c r="D18" s="847"/>
      <c r="E18" s="218"/>
      <c r="F18" s="221">
        <v>3.0499999999999999E-2</v>
      </c>
      <c r="G18" s="219" t="s">
        <v>1555</v>
      </c>
    </row>
    <row r="19" spans="1:7" s="223" customFormat="1" ht="13.5" customHeight="1">
      <c r="A19" s="255" t="s">
        <v>1556</v>
      </c>
      <c r="B19" s="210" t="s">
        <v>1557</v>
      </c>
      <c r="C19" s="211">
        <f ca="1">IF(G19="已包含在土地取得成本中","0",ROUND(D19*E19,0))</f>
        <v>9744146</v>
      </c>
      <c r="D19" s="849">
        <f ca="1">D9+D10</f>
        <v>48720.729999999974</v>
      </c>
      <c r="E19" s="211">
        <f>'数据-取费表'!B31</f>
        <v>200</v>
      </c>
      <c r="F19" s="231"/>
      <c r="G19" s="1856"/>
    </row>
    <row r="20" spans="1:7" s="214" customFormat="1" ht="13.5" customHeight="1">
      <c r="A20" s="255" t="s">
        <v>1558</v>
      </c>
      <c r="B20" s="210" t="s">
        <v>1559</v>
      </c>
      <c r="C20" s="232">
        <f ca="1">ROUND((C5+C19)*F20,0)</f>
        <v>389766</v>
      </c>
      <c r="D20" s="232"/>
      <c r="E20" s="232"/>
      <c r="F20" s="233">
        <f>'数据-取费表'!B37</f>
        <v>0.02</v>
      </c>
      <c r="G20" s="234" t="s">
        <v>1560</v>
      </c>
    </row>
    <row r="21" spans="1:7" s="214" customFormat="1" ht="13.5" customHeight="1">
      <c r="A21" s="255" t="s">
        <v>1561</v>
      </c>
      <c r="B21" s="210" t="s">
        <v>1562</v>
      </c>
      <c r="C21" s="235">
        <f>F21</f>
        <v>0.02</v>
      </c>
      <c r="D21" s="236" t="s">
        <v>1563</v>
      </c>
      <c r="E21" s="232"/>
      <c r="F21" s="233">
        <f>'数据-取费表'!B38</f>
        <v>0.02</v>
      </c>
      <c r="G21" s="234" t="s">
        <v>1564</v>
      </c>
    </row>
    <row r="22" spans="1:7" s="214" customFormat="1" ht="13.5" customHeight="1">
      <c r="A22" s="255" t="s">
        <v>1565</v>
      </c>
      <c r="B22" s="210" t="s">
        <v>1566</v>
      </c>
      <c r="C22" s="1127">
        <f ca="1">ROUND(SUM(C23:C25),0)</f>
        <v>1381335</v>
      </c>
      <c r="D22" s="235">
        <f ca="1">C26</f>
        <v>6.9999999999999999E-4</v>
      </c>
      <c r="E22" s="236" t="s">
        <v>1563</v>
      </c>
      <c r="F22" s="237">
        <f ca="1">'数据-取费表'!B40</f>
        <v>3.4500000000000003E-2</v>
      </c>
      <c r="G22" s="234" t="str">
        <f>IF('数据-取费表'!B22&lt;=1,"单利计息","复利计息")</f>
        <v>复利计息</v>
      </c>
    </row>
    <row r="23" spans="1:7" s="214" customFormat="1" ht="13.5" customHeight="1">
      <c r="A23" s="780" t="s">
        <v>1456</v>
      </c>
      <c r="B23" s="215" t="s">
        <v>1567</v>
      </c>
      <c r="C23" s="1128">
        <f ca="1">ROUND(IF('数据-取费表'!B22&lt;=1,C5*F22*'数据-取费表'!B22,C5*(POWER((1+F22),'数据-取费表'!B22)-1)),0)</f>
        <v>683944</v>
      </c>
      <c r="D23" s="238"/>
      <c r="E23" s="238"/>
      <c r="F23" s="239"/>
      <c r="G23" s="240" t="s">
        <v>1568</v>
      </c>
    </row>
    <row r="24" spans="1:7" s="214" customFormat="1" ht="13.5" customHeight="1">
      <c r="A24" s="780" t="s">
        <v>1458</v>
      </c>
      <c r="B24" s="215" t="s">
        <v>1569</v>
      </c>
      <c r="C24" s="1128">
        <f ca="1">ROUND(IF('数据-取费表'!B22&lt;=1,C19*F22*('数据-取费表'!B19/2+'数据-取费表'!B20),C19*(POWER((1+F22),('数据-取费表'!B19/2+'数据-取费表'!B20))-1)),0)</f>
        <v>683944</v>
      </c>
      <c r="D24" s="238"/>
      <c r="E24" s="238"/>
      <c r="F24" s="239"/>
      <c r="G24" s="240" t="s">
        <v>1570</v>
      </c>
    </row>
    <row r="25" spans="1:7" s="214" customFormat="1" ht="24">
      <c r="A25" s="780" t="s">
        <v>1460</v>
      </c>
      <c r="B25" s="215" t="s">
        <v>1571</v>
      </c>
      <c r="C25" s="1128">
        <f ca="1">ROUND(IF('数据-取费表'!B22&lt;=1,C20*F22*'数据-取费表'!B22/2,C20*(POWER((1+F22),'数据-取费表'!B22/2)-1)),0)</f>
        <v>13447</v>
      </c>
      <c r="D25" s="238"/>
      <c r="E25" s="241"/>
      <c r="F25" s="239"/>
      <c r="G25" s="242" t="s">
        <v>1572</v>
      </c>
    </row>
    <row r="26" spans="1:7" s="214" customFormat="1">
      <c r="A26" s="780" t="s">
        <v>350</v>
      </c>
      <c r="B26" s="215" t="s">
        <v>1495</v>
      </c>
      <c r="C26" s="238">
        <f ca="1">ROUND(IF('数据-取费表'!B22&lt;=1,F21*F22*'数据-取费表'!B22/2,F21*(POWER((1+F22),'数据-取费表'!B22/2)-1)),4)</f>
        <v>6.9999999999999999E-4</v>
      </c>
      <c r="D26" s="238"/>
      <c r="E26" s="241"/>
      <c r="F26" s="239"/>
      <c r="G26" s="243"/>
    </row>
    <row r="27" spans="1:7" s="214" customFormat="1" ht="24.75">
      <c r="A27" s="255" t="s">
        <v>1496</v>
      </c>
      <c r="B27" s="244" t="s">
        <v>1497</v>
      </c>
      <c r="C27" s="245">
        <f ca="1">C28</f>
        <v>2782928</v>
      </c>
      <c r="D27" s="235">
        <f ca="1">C29</f>
        <v>2.8E-3</v>
      </c>
      <c r="E27" s="236" t="s">
        <v>1498</v>
      </c>
      <c r="F27" s="246">
        <f ca="1">IF(B1="",'数据-取费表'!Q16,INDIRECT("'数据-取费表'!q"&amp;$G$1))</f>
        <v>0.14000000000000001</v>
      </c>
      <c r="G27" s="247" t="s">
        <v>1499</v>
      </c>
    </row>
    <row r="28" spans="1:7" s="214" customFormat="1" ht="13.5" customHeight="1">
      <c r="A28" s="780" t="s">
        <v>346</v>
      </c>
      <c r="B28" s="248" t="s">
        <v>1500</v>
      </c>
      <c r="C28" s="249">
        <f ca="1">ROUND((C5+C19+C20)*F27,0)</f>
        <v>2782928</v>
      </c>
      <c r="D28" s="235"/>
      <c r="E28" s="236"/>
      <c r="F28" s="246"/>
      <c r="G28" s="247"/>
    </row>
    <row r="29" spans="1:7" s="214" customFormat="1" ht="13.5" customHeight="1">
      <c r="A29" s="780" t="s">
        <v>347</v>
      </c>
      <c r="B29" s="248" t="s">
        <v>1501</v>
      </c>
      <c r="C29" s="238">
        <f ca="1">ROUND(C21*F27,4)</f>
        <v>2.8E-3</v>
      </c>
      <c r="D29" s="235"/>
      <c r="E29" s="236"/>
      <c r="F29" s="246"/>
      <c r="G29" s="247"/>
    </row>
    <row r="30" spans="1:7" s="214" customFormat="1" ht="13.5" customHeight="1">
      <c r="A30" s="255" t="s">
        <v>1502</v>
      </c>
      <c r="B30" s="210" t="s">
        <v>1503</v>
      </c>
      <c r="C30" s="235">
        <f>ROUND(F30/(1+'数据-取费表'!C42),4)</f>
        <v>5.33E-2</v>
      </c>
      <c r="D30" s="236" t="s">
        <v>1498</v>
      </c>
      <c r="E30" s="241"/>
      <c r="F30" s="237">
        <f>'数据-取费表'!B41</f>
        <v>5.6000000000000001E-2</v>
      </c>
      <c r="G30" s="234" t="s">
        <v>1504</v>
      </c>
    </row>
    <row r="31" spans="1:7" ht="16.5" customHeight="1">
      <c r="A31" s="209">
        <v>1</v>
      </c>
      <c r="B31" s="210" t="s">
        <v>1505</v>
      </c>
      <c r="C31" s="211">
        <f ca="1">ROUND((C5+C19+C20+C22+C27)/(1-C21-D22-D27-C30),0)</f>
        <v>26042375</v>
      </c>
      <c r="D31" s="230"/>
      <c r="E31" s="211"/>
      <c r="F31" s="250"/>
      <c r="G31" s="234" t="s">
        <v>1506</v>
      </c>
    </row>
    <row r="32" spans="1:7" s="208" customFormat="1" ht="15.75">
      <c r="A32" s="252" t="s">
        <v>1573</v>
      </c>
      <c r="B32" s="253"/>
      <c r="C32" s="253"/>
      <c r="D32" s="253"/>
      <c r="E32" s="253"/>
      <c r="F32" s="253"/>
      <c r="G32" s="254"/>
    </row>
    <row r="33" spans="1:7" s="214" customFormat="1" ht="13.5" customHeight="1">
      <c r="A33" s="255" t="s">
        <v>337</v>
      </c>
      <c r="B33" s="210" t="s">
        <v>1574</v>
      </c>
      <c r="C33" s="256">
        <f ca="1">SUM(C34:C38)</f>
        <v>308797209</v>
      </c>
      <c r="D33" s="232"/>
      <c r="E33" s="212"/>
      <c r="F33" s="241"/>
      <c r="G33" s="234"/>
    </row>
    <row r="34" spans="1:7" s="258" customFormat="1" ht="13.5" customHeight="1">
      <c r="A34" s="780" t="s">
        <v>346</v>
      </c>
      <c r="B34" s="215" t="s">
        <v>1509</v>
      </c>
      <c r="C34" s="220">
        <f ca="1">ROUND(IF(B1="",SUMPRODUCT('数据-取费表'!K6:K14,'数据-取费表'!L6:L14),INDIRECT("'数据-取费表'!l"&amp;$G$1)*INDIRECT("'数据-取费表'!k"&amp;$G$1)+'数据-取费表'!L14*INDIRECT("'数据-取费表'!S"&amp;$G$1)),0)</f>
        <v>286175180</v>
      </c>
      <c r="D34" s="217"/>
      <c r="E34" s="220"/>
      <c r="F34" s="257"/>
      <c r="G34" s="219"/>
    </row>
    <row r="35" spans="1:7" ht="13.5" customHeight="1">
      <c r="A35" s="780" t="s">
        <v>351</v>
      </c>
      <c r="B35" s="215" t="s">
        <v>1511</v>
      </c>
      <c r="C35" s="220">
        <f ca="1">ROUND(C34*F35,0)</f>
        <v>8585255</v>
      </c>
      <c r="D35" s="220"/>
      <c r="E35" s="220"/>
      <c r="F35" s="259">
        <f>'数据-取费表'!B33</f>
        <v>0.03</v>
      </c>
      <c r="G35" s="219" t="s">
        <v>1512</v>
      </c>
    </row>
    <row r="36" spans="1:7" ht="24">
      <c r="A36" s="780" t="s">
        <v>352</v>
      </c>
      <c r="B36" s="215" t="s">
        <v>1513</v>
      </c>
      <c r="C36" s="220">
        <f ca="1">ROUND(IF(B1="",SUM('数据-取费表'!AP6:AP13)*F36,IF(INDIRECT("'数据-取费表'!c"&amp;$G$1)="住宅",INDIRECT("'数据-取费表'!k"&amp;$G$1)*INDIRECT("'数据-取费表'!l"&amp;$G$1)*F36,0)),0)</f>
        <v>0</v>
      </c>
      <c r="D36" s="220"/>
      <c r="E36" s="220"/>
      <c r="F36" s="259">
        <f>'数据-取费表'!B34</f>
        <v>0</v>
      </c>
      <c r="G36" s="260" t="s">
        <v>1514</v>
      </c>
    </row>
    <row r="37" spans="1:7" s="258" customFormat="1" ht="13.5" customHeight="1">
      <c r="A37" s="780" t="s">
        <v>353</v>
      </c>
      <c r="B37" s="215" t="s">
        <v>1515</v>
      </c>
      <c r="C37" s="249">
        <f ca="1">ROUND(E37*D37,0)</f>
        <v>9744146</v>
      </c>
      <c r="D37" s="217">
        <f ca="1">D19</f>
        <v>48720.729999999974</v>
      </c>
      <c r="E37" s="249">
        <f>'数据-取费表'!B35</f>
        <v>200</v>
      </c>
      <c r="F37" s="259"/>
      <c r="G37" s="261"/>
    </row>
    <row r="38" spans="1:7" ht="13.5" customHeight="1">
      <c r="A38" s="780" t="s">
        <v>354</v>
      </c>
      <c r="B38" s="215" t="s">
        <v>1517</v>
      </c>
      <c r="C38" s="220">
        <f ca="1">ROUND(C34*F38,0)</f>
        <v>4292628</v>
      </c>
      <c r="D38" s="220"/>
      <c r="E38" s="220"/>
      <c r="F38" s="259">
        <f>'数据-取费表'!B36</f>
        <v>1.4999999999999999E-2</v>
      </c>
      <c r="G38" s="219" t="s">
        <v>1512</v>
      </c>
    </row>
    <row r="39" spans="1:7" s="214" customFormat="1" ht="13.5" customHeight="1">
      <c r="A39" s="255" t="s">
        <v>1518</v>
      </c>
      <c r="B39" s="210" t="s">
        <v>1519</v>
      </c>
      <c r="C39" s="232">
        <f ca="1">ROUND(C33*F20,0)</f>
        <v>6175944</v>
      </c>
      <c r="D39" s="232"/>
      <c r="E39" s="232"/>
      <c r="F39" s="233">
        <f>F20</f>
        <v>0.02</v>
      </c>
      <c r="G39" s="234" t="s">
        <v>1520</v>
      </c>
    </row>
    <row r="40" spans="1:7" s="214" customFormat="1" ht="13.5" customHeight="1">
      <c r="A40" s="255" t="s">
        <v>1521</v>
      </c>
      <c r="B40" s="210" t="s">
        <v>1522</v>
      </c>
      <c r="C40" s="1327">
        <f>F21</f>
        <v>0.02</v>
      </c>
      <c r="D40" s="236" t="s">
        <v>1523</v>
      </c>
      <c r="E40" s="232"/>
      <c r="F40" s="233">
        <f>F21</f>
        <v>0.02</v>
      </c>
      <c r="G40" s="234" t="s">
        <v>1524</v>
      </c>
    </row>
    <row r="41" spans="1:7" s="214" customFormat="1" ht="13.5" customHeight="1">
      <c r="A41" s="255" t="s">
        <v>1525</v>
      </c>
      <c r="B41" s="210" t="s">
        <v>1526</v>
      </c>
      <c r="C41" s="232">
        <f ca="1">ROUND(SUM(C42:C43),0)</f>
        <v>10866574</v>
      </c>
      <c r="D41" s="235">
        <f ca="1">C44</f>
        <v>6.9999999999999999E-4</v>
      </c>
      <c r="E41" s="236" t="s">
        <v>1523</v>
      </c>
      <c r="F41" s="237">
        <f ca="1">F22</f>
        <v>3.4500000000000003E-2</v>
      </c>
      <c r="G41" s="234" t="str">
        <f>IF('数据-取费表'!B22&lt;=1,"单利计息","复利计息")</f>
        <v>复利计息</v>
      </c>
    </row>
    <row r="42" spans="1:7" ht="13.5" customHeight="1">
      <c r="A42" s="780" t="s">
        <v>346</v>
      </c>
      <c r="B42" s="215" t="s">
        <v>1527</v>
      </c>
      <c r="C42" s="238">
        <f ca="1">ROUND(IF('数据-取费表'!B22&lt;=1,C33*F22*'数据-取费表'!B20/2,C33*(POWER((1+F22),'数据-取费表'!B20/2)-1)),0)</f>
        <v>10653504</v>
      </c>
      <c r="D42" s="238"/>
      <c r="E42" s="238"/>
      <c r="F42" s="239"/>
      <c r="G42" s="3877" t="s">
        <v>1575</v>
      </c>
    </row>
    <row r="43" spans="1:7" ht="13.5" customHeight="1">
      <c r="A43" s="780" t="s">
        <v>347</v>
      </c>
      <c r="B43" s="215" t="s">
        <v>1529</v>
      </c>
      <c r="C43" s="238">
        <f ca="1">ROUND(IF('数据-取费表'!B22&lt;=1,C39*F22*'数据-取费表'!B20/2,C39*(POWER((1+F22),'数据-取费表'!B20/2)-1)),0)</f>
        <v>213070</v>
      </c>
      <c r="D43" s="238"/>
      <c r="E43" s="238"/>
      <c r="F43" s="239"/>
      <c r="G43" s="3878"/>
    </row>
    <row r="44" spans="1:7" ht="13.5" customHeight="1">
      <c r="A44" s="780" t="s">
        <v>348</v>
      </c>
      <c r="B44" s="215" t="s">
        <v>1530</v>
      </c>
      <c r="C44" s="238">
        <f ca="1">ROUND(IF('数据-取费表'!B22&lt;=1,C40*F22*'数据-取费表'!B20/2,C40*(POWER((1+F22),'数据-取费表'!B20/2)-1)),4)</f>
        <v>6.9999999999999999E-4</v>
      </c>
      <c r="D44" s="238"/>
      <c r="E44" s="238"/>
      <c r="F44" s="239"/>
      <c r="G44" s="3879"/>
    </row>
    <row r="45" spans="1:7" s="214" customFormat="1" ht="13.5" customHeight="1">
      <c r="A45" s="255" t="s">
        <v>1531</v>
      </c>
      <c r="B45" s="244" t="s">
        <v>1497</v>
      </c>
      <c r="C45" s="245">
        <f ca="1">C46</f>
        <v>44096241</v>
      </c>
      <c r="D45" s="235">
        <f ca="1">C47</f>
        <v>2.8E-3</v>
      </c>
      <c r="E45" s="236" t="s">
        <v>1523</v>
      </c>
      <c r="F45" s="246">
        <f ca="1">F27</f>
        <v>0.14000000000000001</v>
      </c>
      <c r="G45" s="247" t="s">
        <v>1532</v>
      </c>
    </row>
    <row r="46" spans="1:7" s="214" customFormat="1" ht="13.5" customHeight="1">
      <c r="A46" s="780" t="s">
        <v>346</v>
      </c>
      <c r="B46" s="248" t="s">
        <v>1533</v>
      </c>
      <c r="C46" s="249">
        <f ca="1">ROUND((C33+C39)*F27,0)</f>
        <v>44096241</v>
      </c>
      <c r="D46" s="263"/>
      <c r="E46" s="236"/>
      <c r="F46" s="246"/>
      <c r="G46" s="247"/>
    </row>
    <row r="47" spans="1:7" s="214" customFormat="1" ht="13.5" customHeight="1">
      <c r="A47" s="780" t="s">
        <v>347</v>
      </c>
      <c r="B47" s="248" t="s">
        <v>1534</v>
      </c>
      <c r="C47" s="238">
        <f ca="1">ROUND(C40*F27,4)</f>
        <v>2.8E-3</v>
      </c>
      <c r="D47" s="263"/>
      <c r="E47" s="236"/>
      <c r="F47" s="246"/>
      <c r="G47" s="247"/>
    </row>
    <row r="48" spans="1:7" s="214" customFormat="1" ht="13.5" customHeight="1">
      <c r="A48" s="255" t="s">
        <v>1496</v>
      </c>
      <c r="B48" s="210" t="s">
        <v>1535</v>
      </c>
      <c r="C48" s="262">
        <f>ROUND(F30/(1+'数据-取费表'!C42),4)</f>
        <v>5.33E-2</v>
      </c>
      <c r="D48" s="236" t="s">
        <v>1523</v>
      </c>
      <c r="E48" s="232"/>
      <c r="F48" s="237">
        <f>F30</f>
        <v>5.6000000000000001E-2</v>
      </c>
      <c r="G48" s="234" t="s">
        <v>1536</v>
      </c>
    </row>
    <row r="49" spans="1:7" ht="16.5" customHeight="1">
      <c r="A49" s="255" t="s">
        <v>1502</v>
      </c>
      <c r="B49" s="210" t="s">
        <v>1576</v>
      </c>
      <c r="C49" s="232">
        <f ca="1">ROUND((C33+C39+C41+C45)/(1-C40-D41-D45-C48),0)</f>
        <v>400710537</v>
      </c>
      <c r="D49" s="232"/>
      <c r="E49" s="232"/>
      <c r="F49" s="264"/>
      <c r="G49" s="234" t="s">
        <v>1538</v>
      </c>
    </row>
    <row r="50" spans="1:7" s="258" customFormat="1">
      <c r="A50" s="255" t="s">
        <v>1539</v>
      </c>
      <c r="B50" s="210" t="s">
        <v>1540</v>
      </c>
      <c r="C50" s="232"/>
      <c r="D50" s="232"/>
      <c r="E50" s="232"/>
      <c r="F50" s="264">
        <f>IF('数据-取费表'!B24=0,'数据-取费表'!N16,1)</f>
        <v>0.85</v>
      </c>
      <c r="G50" s="247"/>
    </row>
    <row r="51" spans="1:7" ht="16.5" customHeight="1">
      <c r="A51" s="255" t="s">
        <v>1542</v>
      </c>
      <c r="B51" s="210" t="s">
        <v>1577</v>
      </c>
      <c r="C51" s="232">
        <f ca="1">ROUND(C49*F50,0)</f>
        <v>340603956</v>
      </c>
      <c r="D51" s="232"/>
      <c r="E51" s="232"/>
      <c r="F51" s="264"/>
      <c r="G51" s="234" t="s">
        <v>1544</v>
      </c>
    </row>
    <row r="52" spans="1:7" s="208" customFormat="1" ht="16.5" thickBot="1">
      <c r="A52" s="265" t="s">
        <v>1545</v>
      </c>
      <c r="B52" s="266"/>
      <c r="C52" s="267">
        <f ca="1">C31+C51</f>
        <v>366646331</v>
      </c>
      <c r="D52" s="266"/>
      <c r="E52" s="266"/>
      <c r="F52" s="266"/>
      <c r="G52" s="268"/>
    </row>
    <row r="55" spans="1:7" ht="15">
      <c r="B55" s="270" t="s">
        <v>1546</v>
      </c>
      <c r="C55" s="271"/>
    </row>
    <row r="56" spans="1:7">
      <c r="B56" s="273" t="s">
        <v>802</v>
      </c>
      <c r="C56" s="275">
        <f ca="1">1-C57</f>
        <v>7.0999999999999952E-2</v>
      </c>
    </row>
    <row r="57" spans="1:7">
      <c r="B57" s="273" t="s">
        <v>803</v>
      </c>
      <c r="C57" s="274">
        <f ca="1">ROUND(C51/C52,3)</f>
        <v>0.92900000000000005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693" t="str">
        <f>项目基本情况!B1</f>
        <v>北京市朝阳区东四环北路2号房地产市场价值预评估</v>
      </c>
      <c r="C37" s="3693"/>
      <c r="D37" s="3693"/>
      <c r="E37" s="3693"/>
      <c r="F37" s="3693"/>
      <c r="G37" s="3693"/>
      <c r="H37" s="3693"/>
      <c r="I37" s="369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吴薇（注册号：1419970001)、郑燚（注册号：1120070131)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1578</v>
      </c>
      <c r="B1" s="1191"/>
      <c r="C1" s="1192"/>
      <c r="D1" s="1190"/>
      <c r="E1" s="2783"/>
      <c r="F1" s="2783"/>
      <c r="G1" s="2648"/>
      <c r="H1" s="2783"/>
      <c r="I1" s="2783"/>
      <c r="J1" s="2783"/>
      <c r="K1" s="2784">
        <f>MATCH(C1,'数据-取费表'!A6:A16,0)+5</f>
        <v>8</v>
      </c>
    </row>
    <row r="2" spans="1:33" ht="18" customHeight="1">
      <c r="A2" s="201" t="s">
        <v>1446</v>
      </c>
      <c r="B2" s="204">
        <f ca="1">C32</f>
        <v>0</v>
      </c>
      <c r="C2" s="276" t="s">
        <v>1579</v>
      </c>
      <c r="D2" s="276"/>
      <c r="E2" s="2783"/>
      <c r="F2" s="2783"/>
      <c r="G2" s="2783"/>
      <c r="H2" s="2783"/>
      <c r="I2" s="2783"/>
      <c r="J2" s="2783"/>
      <c r="K2" s="2783"/>
    </row>
    <row r="3" spans="1:33" ht="18" customHeight="1" thickBot="1">
      <c r="A3" s="203" t="s">
        <v>1448</v>
      </c>
      <c r="B3" s="204">
        <f ca="1">ROUND(B2*10000/IF(C1="",'数据-汇总表'!E3,INDIRECT("'数据-取费表'!K"&amp;$K$1)),0)</f>
        <v>0</v>
      </c>
      <c r="C3" s="276" t="s">
        <v>1580</v>
      </c>
      <c r="D3" s="276"/>
      <c r="E3" s="2783"/>
      <c r="F3" s="2783"/>
      <c r="G3" s="2783"/>
      <c r="H3" s="2783"/>
      <c r="I3" s="2783"/>
      <c r="J3" s="2783"/>
      <c r="K3" s="2783"/>
    </row>
    <row r="4" spans="1:33" s="785" customFormat="1" ht="16.5" customHeight="1">
      <c r="A4" s="782" t="s">
        <v>1581</v>
      </c>
      <c r="B4" s="783"/>
      <c r="C4" s="824">
        <f>SUM(C8:K8)</f>
        <v>0</v>
      </c>
      <c r="D4" s="783"/>
      <c r="E4" s="783"/>
      <c r="F4" s="783"/>
      <c r="G4" s="783"/>
      <c r="H4" s="783"/>
      <c r="I4" s="783"/>
      <c r="J4" s="783"/>
      <c r="K4" s="784"/>
    </row>
    <row r="5" spans="1:33" s="789" customFormat="1" ht="15">
      <c r="A5" s="786" t="s">
        <v>1582</v>
      </c>
      <c r="B5" s="787" t="s">
        <v>1583</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1584</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1585</v>
      </c>
      <c r="B7" s="131" t="s">
        <v>1586</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1587</v>
      </c>
      <c r="B8" s="164" t="s">
        <v>1588</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1589</v>
      </c>
      <c r="B9" s="783"/>
      <c r="C9" s="783"/>
      <c r="D9" s="783"/>
      <c r="E9" s="783"/>
      <c r="F9" s="783"/>
      <c r="G9" s="783"/>
      <c r="H9" s="783"/>
      <c r="I9" s="783"/>
      <c r="J9" s="783"/>
      <c r="K9" s="784"/>
    </row>
    <row r="10" spans="1:33" s="799" customFormat="1" ht="13.5" customHeight="1">
      <c r="A10" s="786" t="s">
        <v>1590</v>
      </c>
      <c r="B10" s="5" t="s">
        <v>1591</v>
      </c>
      <c r="C10" s="795" t="s">
        <v>1592</v>
      </c>
      <c r="D10" s="796" t="s">
        <v>1593</v>
      </c>
      <c r="E10" s="796" t="s">
        <v>1594</v>
      </c>
      <c r="F10" s="796" t="s">
        <v>1595</v>
      </c>
      <c r="G10" s="5"/>
      <c r="H10" s="797"/>
      <c r="I10" s="797"/>
      <c r="J10" s="797"/>
      <c r="K10" s="798"/>
    </row>
    <row r="11" spans="1:33" s="803" customFormat="1" ht="13.5" customHeight="1">
      <c r="A11" s="800" t="s">
        <v>635</v>
      </c>
      <c r="B11" s="801" t="s">
        <v>1596</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1597</v>
      </c>
      <c r="C12" s="21">
        <f ca="1">ROUND(C11*F12,0)</f>
        <v>0</v>
      </c>
      <c r="D12" s="802"/>
      <c r="E12" s="329"/>
      <c r="F12" s="812">
        <f>'数据-取费表'!B33</f>
        <v>0.03</v>
      </c>
      <c r="G12" s="5" t="s">
        <v>1598</v>
      </c>
      <c r="H12" s="797"/>
      <c r="I12" s="797"/>
      <c r="J12" s="797"/>
      <c r="K12" s="798"/>
    </row>
    <row r="13" spans="1:33" s="803" customFormat="1" ht="13.5" customHeight="1">
      <c r="A13" s="800" t="s">
        <v>637</v>
      </c>
      <c r="B13" s="801" t="s">
        <v>1599</v>
      </c>
      <c r="C13" s="21">
        <f ca="1">ROUND(IF(C1="",SUMIF('数据-取费表'!C:C,"住宅",'数据-取费表'!P:P)*F13,IF(INDIRECT("'数据-取费表'!c"&amp;$K$1)="住宅",INDIRECT("'数据-取费表'!P"&amp;$K$1)*F13,0)),0)</f>
        <v>0</v>
      </c>
      <c r="D13" s="846"/>
      <c r="E13" s="329"/>
      <c r="F13" s="812">
        <f>'数据-取费表'!B34</f>
        <v>0</v>
      </c>
      <c r="G13" s="5" t="s">
        <v>1600</v>
      </c>
      <c r="H13" s="797"/>
      <c r="I13" s="797"/>
      <c r="J13" s="797"/>
      <c r="K13" s="798"/>
    </row>
    <row r="14" spans="1:33" s="805" customFormat="1" ht="13.5" customHeight="1">
      <c r="A14" s="800" t="s">
        <v>638</v>
      </c>
      <c r="B14" s="801" t="s">
        <v>1601</v>
      </c>
      <c r="C14" s="21">
        <f ca="1">ROUND(D14*E14*F11/10000,0)</f>
        <v>0</v>
      </c>
      <c r="D14" s="846">
        <f ca="1">IF(C1="",'数据-汇总表'!E3,INDIRECT("'数据-取费表'!K"&amp;$K$1)+INDIRECT("'数据-取费表'!S"&amp;$K$1))</f>
        <v>48720.729999999974</v>
      </c>
      <c r="E14" s="21">
        <f>'数据-取费表'!B35</f>
        <v>200</v>
      </c>
      <c r="F14" s="804"/>
      <c r="G14" s="5" t="s">
        <v>1602</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1603</v>
      </c>
      <c r="C15" s="811">
        <f ca="1">ROUND(C11*F15,0)</f>
        <v>0</v>
      </c>
      <c r="D15" s="806"/>
      <c r="E15" s="811"/>
      <c r="F15" s="812">
        <f>'数据-取费表'!B36</f>
        <v>1.4999999999999999E-2</v>
      </c>
      <c r="G15" s="131" t="s">
        <v>1604</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1605</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1606</v>
      </c>
      <c r="C17" s="21">
        <f ca="1">ROUND(D17*E17/10000,0)</f>
        <v>0</v>
      </c>
      <c r="D17" s="846">
        <f ca="1">D14</f>
        <v>48720.729999999974</v>
      </c>
      <c r="E17" s="21">
        <f>'数据-取费表'!B32</f>
        <v>0</v>
      </c>
      <c r="F17" s="806"/>
      <c r="G17" s="131" t="s">
        <v>1607</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1608</v>
      </c>
      <c r="C18" s="21">
        <f ca="1">C19+C20-IF(C1="",'数据-取费表'!B29,IF(G18="已全部缴纳",C19+C20,H18))</f>
        <v>0</v>
      </c>
      <c r="D18" s="846"/>
      <c r="E18" s="21"/>
      <c r="F18" s="804"/>
      <c r="G18" s="1862"/>
      <c r="H18" s="1187"/>
      <c r="I18" s="1863" t="s">
        <v>1609</v>
      </c>
      <c r="J18" s="807"/>
      <c r="K18" s="808"/>
    </row>
    <row r="19" spans="1:33" s="803" customFormat="1" ht="13.5" customHeight="1">
      <c r="A19" s="800" t="s">
        <v>360</v>
      </c>
      <c r="B19" s="801" t="s">
        <v>1610</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1611</v>
      </c>
      <c r="C20" s="21">
        <f ca="1">ROUND(D20*E20/10000,0)</f>
        <v>974</v>
      </c>
      <c r="D20" s="846">
        <f ca="1">IF(C1="",'数据-汇总表'!E6,IF(INDIRECT("'数据-取费表'!c"&amp;$K$1)="住宅",INDIRECT("'数据-取费表'!s"&amp;$K$1),INDIRECT("'数据-取费表'!k"&amp;$K$1)+INDIRECT("'数据-取费表'!s"&amp;$K$1)))</f>
        <v>48720.729999999974</v>
      </c>
      <c r="E20" s="21">
        <f>'数据-取费表'!B28</f>
        <v>200</v>
      </c>
      <c r="F20" s="804"/>
      <c r="G20" s="12"/>
      <c r="H20" s="809"/>
      <c r="I20" s="809"/>
      <c r="J20" s="809"/>
      <c r="K20" s="810"/>
    </row>
    <row r="21" spans="1:33" s="803" customFormat="1" ht="13.5" customHeight="1">
      <c r="A21" s="790" t="s">
        <v>357</v>
      </c>
      <c r="B21" s="813" t="s">
        <v>1612</v>
      </c>
      <c r="C21" s="814">
        <f ca="1">C16+C17+C18</f>
        <v>0</v>
      </c>
      <c r="D21" s="815"/>
      <c r="E21" s="281"/>
      <c r="F21" s="281"/>
      <c r="G21" s="131" t="s">
        <v>1613</v>
      </c>
      <c r="H21" s="807"/>
      <c r="I21" s="807"/>
      <c r="J21" s="807"/>
      <c r="K21" s="808"/>
    </row>
    <row r="22" spans="1:33" s="803" customFormat="1" ht="13.5" customHeight="1">
      <c r="A22" s="790" t="s">
        <v>1585</v>
      </c>
      <c r="B22" s="813" t="s">
        <v>1614</v>
      </c>
      <c r="C22" s="814">
        <f ca="1">ROUND(C21*F22,0)</f>
        <v>0</v>
      </c>
      <c r="D22" s="281"/>
      <c r="E22" s="281"/>
      <c r="F22" s="816">
        <f>'数据-取费表'!B37</f>
        <v>0.02</v>
      </c>
      <c r="G22" s="5" t="s">
        <v>1615</v>
      </c>
      <c r="H22" s="797"/>
      <c r="I22" s="797"/>
      <c r="J22" s="797"/>
      <c r="K22" s="798"/>
    </row>
    <row r="23" spans="1:33" s="803" customFormat="1" ht="13.5" customHeight="1">
      <c r="A23" s="790" t="s">
        <v>1587</v>
      </c>
      <c r="B23" s="813" t="s">
        <v>1616</v>
      </c>
      <c r="C23" s="814">
        <f ca="1">ROUND(C4*F23*F11,0)</f>
        <v>0</v>
      </c>
      <c r="D23" s="281"/>
      <c r="E23" s="281"/>
      <c r="F23" s="816">
        <f>'数据-取费表'!B38</f>
        <v>0.02</v>
      </c>
      <c r="G23" s="5" t="s">
        <v>1617</v>
      </c>
      <c r="H23" s="797"/>
      <c r="I23" s="797"/>
      <c r="J23" s="797"/>
      <c r="K23" s="798"/>
    </row>
    <row r="24" spans="1:33" s="803" customFormat="1" ht="13.5" customHeight="1">
      <c r="A24" s="790" t="s">
        <v>1618</v>
      </c>
      <c r="B24" s="813" t="s">
        <v>1619</v>
      </c>
      <c r="C24" s="280">
        <f>ROUND(F24/(1+'数据-取费表'!C42),4)</f>
        <v>2.9000000000000001E-2</v>
      </c>
      <c r="D24" s="281" t="s">
        <v>12</v>
      </c>
      <c r="E24" s="281"/>
      <c r="F24" s="816">
        <f>IF(项目基本情况!B8="出让",0,'数据-取费表'!B48+'数据-取费表'!B49)</f>
        <v>3.0499999999999999E-2</v>
      </c>
      <c r="G24" s="5" t="s">
        <v>1620</v>
      </c>
      <c r="H24" s="818"/>
      <c r="I24" s="818"/>
      <c r="J24" s="818"/>
      <c r="K24" s="819"/>
    </row>
    <row r="25" spans="1:33" s="803" customFormat="1" ht="13.5" customHeight="1">
      <c r="A25" s="790" t="s">
        <v>1621</v>
      </c>
      <c r="B25" s="815" t="s">
        <v>1622</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1623</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1624</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1625</v>
      </c>
      <c r="B28" s="1865" t="s">
        <v>1626</v>
      </c>
      <c r="C28" s="287">
        <f ca="1">C30</f>
        <v>0</v>
      </c>
      <c r="D28" s="280">
        <f ca="1">C29</f>
        <v>0</v>
      </c>
      <c r="E28" s="282" t="s">
        <v>12</v>
      </c>
      <c r="F28" s="288">
        <f ca="1">IF(C1="",'数据-取费表'!Q16,INDIRECT("'数据-取费表'!q"&amp;$K$1))</f>
        <v>0.14000000000000001</v>
      </c>
      <c r="G28" s="817"/>
      <c r="H28" s="818"/>
      <c r="I28" s="818"/>
      <c r="J28" s="818"/>
      <c r="K28" s="819"/>
    </row>
    <row r="29" spans="1:33" s="291" customFormat="1" ht="13.5" customHeight="1">
      <c r="A29" s="800" t="s">
        <v>358</v>
      </c>
      <c r="B29" s="822" t="s">
        <v>1627</v>
      </c>
      <c r="C29" s="284">
        <f ca="1">ROUND((1+C24)*F28*'数据-取费表'!B24/'数据-取费表'!B20,4)</f>
        <v>0</v>
      </c>
      <c r="D29" s="284"/>
      <c r="E29" s="285"/>
      <c r="F29" s="290"/>
      <c r="G29" s="131" t="s">
        <v>1628</v>
      </c>
      <c r="H29" s="807"/>
      <c r="I29" s="807"/>
      <c r="J29" s="807"/>
      <c r="K29" s="808"/>
    </row>
    <row r="30" spans="1:33" s="291" customFormat="1" ht="13.5" customHeight="1">
      <c r="A30" s="800" t="s">
        <v>359</v>
      </c>
      <c r="B30" s="822" t="s">
        <v>1629</v>
      </c>
      <c r="C30" s="292">
        <f ca="1">ROUND((C21+C22+C23)*F28,0)</f>
        <v>0</v>
      </c>
      <c r="D30" s="284"/>
      <c r="E30" s="285"/>
      <c r="F30" s="290"/>
      <c r="G30" s="131"/>
      <c r="H30" s="807"/>
      <c r="I30" s="807"/>
      <c r="J30" s="807"/>
      <c r="K30" s="808"/>
    </row>
    <row r="31" spans="1:33" s="803" customFormat="1" ht="13.5" customHeight="1" thickBot="1">
      <c r="A31" s="1866" t="s">
        <v>1630</v>
      </c>
      <c r="B31" s="833" t="s">
        <v>1631</v>
      </c>
      <c r="C31" s="834">
        <f>ROUND(C4*F31/(1+'数据-取费表'!C42),0)</f>
        <v>0</v>
      </c>
      <c r="D31" s="835"/>
      <c r="E31" s="836"/>
      <c r="F31" s="837">
        <f>'数据-取费表'!B41</f>
        <v>5.6000000000000001E-2</v>
      </c>
      <c r="G31" s="838" t="s">
        <v>1632</v>
      </c>
      <c r="H31" s="839"/>
      <c r="I31" s="839"/>
      <c r="J31" s="839"/>
      <c r="K31" s="840"/>
    </row>
    <row r="32" spans="1:33" s="799" customFormat="1" ht="13.5" customHeight="1" thickBot="1">
      <c r="A32" s="828" t="s">
        <v>1633</v>
      </c>
      <c r="B32" s="829"/>
      <c r="C32" s="830">
        <f ca="1">ROUND((C4-C21-C22-C23-C25-C28-C31)/(1+C24+D25+D28),0)</f>
        <v>0</v>
      </c>
      <c r="D32" s="829"/>
      <c r="E32" s="829"/>
      <c r="F32" s="829"/>
      <c r="G32" s="831" t="s">
        <v>1634</v>
      </c>
      <c r="H32" s="829"/>
      <c r="I32" s="829"/>
      <c r="J32" s="829"/>
      <c r="K32" s="83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8</v>
      </c>
      <c r="H1" s="2669"/>
      <c r="I1" s="2670"/>
      <c r="J1" s="2670"/>
      <c r="K1" s="2671"/>
      <c r="L1" s="2670"/>
      <c r="M1" s="267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02" t="e">
        <f ca="1">ROUND(D2/10000,4)</f>
        <v>#DIV/0!</v>
      </c>
      <c r="C2" s="1387" t="s">
        <v>879</v>
      </c>
      <c r="D2" s="1471" t="e">
        <f ca="1">C40+J29+L46</f>
        <v>#DIV/0!</v>
      </c>
      <c r="E2" s="1388" t="s">
        <v>880</v>
      </c>
      <c r="F2" s="1389"/>
      <c r="G2" s="2683"/>
      <c r="H2" s="2672"/>
      <c r="I2" s="2672"/>
      <c r="J2" s="2672"/>
      <c r="K2" s="2673"/>
      <c r="L2" s="2672"/>
      <c r="M2" s="2672"/>
    </row>
    <row r="3" spans="1:37" ht="18" customHeight="1" thickBot="1">
      <c r="A3" s="1390" t="s">
        <v>881</v>
      </c>
      <c r="B3" s="1391">
        <f ca="1">IF(ISERROR(D2/F43),0,ROUND(D2/F43,0))</f>
        <v>0</v>
      </c>
      <c r="C3" s="1387" t="s">
        <v>882</v>
      </c>
      <c r="D3" s="1387"/>
      <c r="E3" s="1388"/>
      <c r="F3" s="1389"/>
      <c r="G3" s="2683"/>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880" t="s">
        <v>694</v>
      </c>
      <c r="C6" s="1074">
        <f ca="1">ROUND(F6*F8*F7*(1-F9),0)</f>
        <v>0</v>
      </c>
      <c r="D6" s="155" t="s">
        <v>2090</v>
      </c>
      <c r="E6" s="302" t="s">
        <v>696</v>
      </c>
      <c r="F6" s="303">
        <f ca="1">INDIRECT("'数据-取费表'!u"&amp;$G$1)</f>
        <v>0</v>
      </c>
      <c r="G6" s="1384"/>
      <c r="H6" s="1069" t="s">
        <v>398</v>
      </c>
      <c r="I6" s="3880" t="s">
        <v>694</v>
      </c>
      <c r="J6" s="301">
        <f ca="1">ROUND(M6*M8*M7*(1-M9),0)</f>
        <v>0</v>
      </c>
      <c r="K6" s="1376" t="s">
        <v>2091</v>
      </c>
      <c r="L6" s="302" t="s">
        <v>696</v>
      </c>
      <c r="M6" s="303">
        <f ca="1">INDIRECT("'数据-取费表'!z"&amp;$G$1)</f>
        <v>0</v>
      </c>
    </row>
    <row r="7" spans="1:37" ht="18" customHeight="1">
      <c r="A7" s="1073"/>
      <c r="B7" s="3881"/>
      <c r="C7" s="1075"/>
      <c r="D7" s="307"/>
      <c r="E7" s="1076" t="s">
        <v>697</v>
      </c>
      <c r="F7" s="303">
        <f ca="1">IF(INDIRECT("'数据-取费表'!ah"&amp;$G$1)="",INDIRECT("'数据-取费表'!k"&amp;$G$1),INDIRECT("'数据-取费表'!ah"&amp;$G$1))</f>
        <v>0</v>
      </c>
      <c r="G7" s="1384"/>
      <c r="H7" s="304"/>
      <c r="I7" s="3881"/>
      <c r="J7" s="306"/>
      <c r="K7" s="307"/>
      <c r="L7" s="302" t="s">
        <v>697</v>
      </c>
      <c r="M7" s="303">
        <f ca="1">F7</f>
        <v>0</v>
      </c>
    </row>
    <row r="8" spans="1:37" ht="18" customHeight="1">
      <c r="A8" s="304"/>
      <c r="B8" s="3881"/>
      <c r="C8" s="306"/>
      <c r="D8" s="307"/>
      <c r="E8" s="302" t="s">
        <v>698</v>
      </c>
      <c r="F8" s="303">
        <f ca="1">INDIRECT("'数据-取费表'!ai"&amp;$G$1)</f>
        <v>0</v>
      </c>
      <c r="G8" s="1384"/>
      <c r="H8" s="304"/>
      <c r="I8" s="3881"/>
      <c r="J8" s="306"/>
      <c r="K8" s="307"/>
      <c r="L8" s="302" t="s">
        <v>698</v>
      </c>
      <c r="M8" s="303">
        <f ca="1">INDIRECT("'数据-取费表'!ai"&amp;$G$1)</f>
        <v>0</v>
      </c>
    </row>
    <row r="9" spans="1:37" ht="18" customHeight="1">
      <c r="A9" s="304"/>
      <c r="B9" s="3882"/>
      <c r="C9" s="306"/>
      <c r="D9" s="307"/>
      <c r="E9" s="302" t="s">
        <v>699</v>
      </c>
      <c r="F9" s="312">
        <f ca="1">INDIRECT("'数据-取费表'!w"&amp;$G$1)</f>
        <v>0</v>
      </c>
      <c r="G9" s="1384"/>
      <c r="H9" s="304"/>
      <c r="I9" s="388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2100</v>
      </c>
      <c r="E10" s="313" t="s">
        <v>701</v>
      </c>
      <c r="F10" s="1116"/>
      <c r="G10" s="1384"/>
      <c r="H10" s="1069" t="s">
        <v>402</v>
      </c>
      <c r="I10" s="1365" t="s">
        <v>700</v>
      </c>
      <c r="J10" s="301">
        <f ca="1">ROUND(IF(M10="押一",J6/12*M11,IF(M10="押二",J6/12*2*M11,IF(M10="押三",J6/12*3*M11,J11*M11))),0)</f>
        <v>0</v>
      </c>
      <c r="K10" s="1377" t="s">
        <v>2102</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3320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74"/>
      <c r="I30" s="1398"/>
      <c r="J30" s="1399"/>
      <c r="K30" s="2472"/>
      <c r="L30" s="2675"/>
      <c r="M30" s="2676"/>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785" t="s">
        <v>2290</v>
      </c>
      <c r="I31" s="1398"/>
      <c r="J31" s="1399"/>
      <c r="K31" s="2472"/>
      <c r="L31" s="2675"/>
      <c r="M31" s="2676"/>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74"/>
      <c r="I32" s="1398"/>
      <c r="J32" s="1399"/>
      <c r="K32" s="2472"/>
      <c r="L32" s="2675"/>
      <c r="M32" s="2676"/>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3320</v>
      </c>
      <c r="E33" s="302" t="s">
        <v>712</v>
      </c>
      <c r="F33" s="322">
        <f>IF(D33="按票据","——",IF(D33="按租金收入计税",'数据-取费表'!B51,'数据-取费表'!B50))</f>
        <v>0.12</v>
      </c>
      <c r="G33" s="1384"/>
      <c r="H33" s="2677"/>
      <c r="I33" s="1398"/>
      <c r="J33" s="1399"/>
      <c r="K33" s="2678"/>
      <c r="L33" s="2677"/>
      <c r="M33" s="2677"/>
    </row>
    <row r="34" spans="1:18" ht="18" customHeight="1">
      <c r="A34" s="1069" t="s">
        <v>680</v>
      </c>
      <c r="B34" s="155" t="s">
        <v>730</v>
      </c>
      <c r="C34" s="22">
        <f ca="1">IF(项目基本情况!B11="自然人","——",ROUND(F34*F35,0))</f>
        <v>0</v>
      </c>
      <c r="D34" s="324" t="s">
        <v>731</v>
      </c>
      <c r="E34" s="302" t="s">
        <v>732</v>
      </c>
      <c r="F34" s="325">
        <f>'数据-取费表'!B52</f>
        <v>12</v>
      </c>
      <c r="G34" s="1384"/>
      <c r="H34" s="2674"/>
      <c r="I34" s="1398"/>
      <c r="J34" s="1399"/>
      <c r="K34" s="2679"/>
      <c r="L34" s="2680"/>
      <c r="M34" s="2680"/>
    </row>
    <row r="35" spans="1:18" ht="18" customHeight="1">
      <c r="A35" s="1103"/>
      <c r="B35" s="1101"/>
      <c r="C35" s="26"/>
      <c r="D35" s="327"/>
      <c r="E35" s="302" t="s">
        <v>736</v>
      </c>
      <c r="F35" s="303">
        <f ca="1">INDIRECT("'数据-取费表'!r"&amp;$G$1)</f>
        <v>0</v>
      </c>
      <c r="G35" s="1384"/>
      <c r="H35" s="2674"/>
      <c r="I35" s="1398"/>
      <c r="J35" s="1399"/>
      <c r="K35" s="2678"/>
      <c r="L35" s="2677"/>
      <c r="M35" s="2677"/>
    </row>
    <row r="36" spans="1:18" ht="18" customHeight="1">
      <c r="A36" s="1102" t="s">
        <v>402</v>
      </c>
      <c r="B36" s="302" t="s">
        <v>738</v>
      </c>
      <c r="C36" s="21">
        <f ca="1">ROUND(C29*F36,0)</f>
        <v>0</v>
      </c>
      <c r="D36" s="1344" t="s">
        <v>771</v>
      </c>
      <c r="E36" s="302" t="s">
        <v>712</v>
      </c>
      <c r="F36" s="328">
        <f ca="1">INDIRECT("'数据-取费表'!Ak"&amp;$G$1)</f>
        <v>0</v>
      </c>
      <c r="G36" s="1384"/>
      <c r="H36" s="2677"/>
      <c r="I36" s="1398"/>
      <c r="J36" s="1399"/>
      <c r="K36" s="2522"/>
      <c r="L36" s="2677"/>
      <c r="M36" s="2677"/>
    </row>
    <row r="37" spans="1:18" ht="18" customHeight="1">
      <c r="A37" s="982" t="s">
        <v>437</v>
      </c>
      <c r="B37" s="302" t="s">
        <v>742</v>
      </c>
      <c r="C37" s="21">
        <f ca="1">ROUND(C13*F37,0)</f>
        <v>0</v>
      </c>
      <c r="D37" s="1344" t="s">
        <v>743</v>
      </c>
      <c r="E37" s="302" t="s">
        <v>744</v>
      </c>
      <c r="F37" s="330">
        <f ca="1">INDIRECT("'数据-取费表'!Al"&amp;$G$1)</f>
        <v>0</v>
      </c>
      <c r="G37" s="1384"/>
      <c r="H37" s="2677"/>
      <c r="I37" s="1398"/>
      <c r="J37" s="1399"/>
      <c r="K37" s="2522"/>
      <c r="L37" s="2677"/>
      <c r="M37" s="2677"/>
    </row>
    <row r="38" spans="1:18" ht="18" customHeight="1" thickBot="1">
      <c r="A38" s="1089" t="s">
        <v>684</v>
      </c>
      <c r="B38" s="1090" t="s">
        <v>728</v>
      </c>
      <c r="C38" s="1091">
        <f ca="1">ROUND(C5*F38,0)</f>
        <v>0</v>
      </c>
      <c r="D38" s="1092" t="s">
        <v>748</v>
      </c>
      <c r="E38" s="1090" t="s">
        <v>744</v>
      </c>
      <c r="F38" s="1086">
        <f ca="1">INDIRECT("'数据-取费表'!Am"&amp;$G$1)</f>
        <v>0</v>
      </c>
      <c r="G38" s="1384"/>
      <c r="H38" s="2677"/>
      <c r="I38" s="1398"/>
      <c r="J38" s="1399"/>
      <c r="K38" s="2681"/>
      <c r="L38" s="2677"/>
      <c r="M38" s="2677"/>
    </row>
    <row r="39" spans="1:18" ht="24.6" customHeight="1" thickTop="1">
      <c r="A39" s="1079" t="s">
        <v>394</v>
      </c>
      <c r="B39" s="1094" t="s">
        <v>772</v>
      </c>
      <c r="C39" s="310">
        <f ca="1">C5-C30</f>
        <v>0</v>
      </c>
      <c r="D39" s="1095" t="s">
        <v>773</v>
      </c>
      <c r="E39" s="1096"/>
      <c r="F39" s="1097"/>
      <c r="G39" s="1384"/>
      <c r="H39" s="2677"/>
      <c r="I39" s="1398"/>
      <c r="J39" s="1399"/>
      <c r="K39" s="2681"/>
      <c r="L39" s="2677"/>
      <c r="M39" s="2677"/>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81"/>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22"/>
      <c r="L41" s="1191"/>
      <c r="M41" s="1191"/>
    </row>
    <row r="42" spans="1:18" ht="18" customHeight="1">
      <c r="A42" s="308"/>
      <c r="B42" s="309"/>
      <c r="C42" s="310"/>
      <c r="D42" s="327"/>
      <c r="E42" s="302" t="s">
        <v>766</v>
      </c>
      <c r="F42" s="312">
        <f ca="1">INDIRECT("'数据-取费表'!v"&amp;$G$1)</f>
        <v>0</v>
      </c>
      <c r="G42" s="1384"/>
      <c r="H42" s="1191"/>
      <c r="I42" s="1398"/>
      <c r="J42" s="1399"/>
      <c r="K42" s="2522"/>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22"/>
      <c r="L43" s="1191"/>
      <c r="M43" s="1191"/>
    </row>
    <row r="44" spans="1:18" s="1384" customFormat="1" ht="18" customHeight="1">
      <c r="A44" s="1400"/>
      <c r="B44" s="1400"/>
      <c r="C44" s="1401"/>
      <c r="D44" s="1400"/>
      <c r="E44" s="1400"/>
      <c r="F44" s="1400"/>
      <c r="K44" s="1402"/>
    </row>
    <row r="45" spans="1:18" s="1384" customFormat="1" ht="18" customHeight="1" thickBot="1">
      <c r="A45" s="3408" t="s">
        <v>3336</v>
      </c>
      <c r="B45" s="1400"/>
      <c r="C45" s="1472" t="e">
        <f ca="1">ROUND((C68-C40)/10000,4)</f>
        <v>#DIV/0!</v>
      </c>
      <c r="D45" s="3409" t="s">
        <v>3337</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2103</v>
      </c>
      <c r="E53" s="313" t="s">
        <v>701</v>
      </c>
      <c r="F53" s="1116"/>
      <c r="I53" s="1439" t="s">
        <v>836</v>
      </c>
      <c r="J53" s="2168">
        <f ca="1">IF(M47="住宅",IF(D1="——",MAX(J51,L48),MAX(J51,L48-'数据-取费表'!B24)),IF(D1="——",MIN(J51,L48),MIN(J51,L48-'数据-取费表'!B24)))</f>
        <v>0</v>
      </c>
      <c r="K53" s="3883" t="s">
        <v>837</v>
      </c>
      <c r="L53" s="3884"/>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3320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12</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1" priority="4">
      <formula>$L$48&gt;$J$51</formula>
    </cfRule>
  </conditionalFormatting>
  <conditionalFormatting sqref="I55 I60">
    <cfRule type="expression" dxfId="170" priority="5">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19" customWidth="1"/>
    <col min="2" max="2" width="8.875" style="2819"/>
    <col min="3" max="5" width="12.875" style="2819" customWidth="1"/>
    <col min="6" max="6" width="47.5" style="2819" customWidth="1"/>
    <col min="7" max="7" width="13" style="2978" customWidth="1"/>
    <col min="8" max="8" width="8.875" style="2813"/>
    <col min="9" max="9" width="8.875" style="2814"/>
    <col min="10" max="10" width="5.75" style="2979" customWidth="1"/>
    <col min="11" max="11" width="11.75" style="2979" customWidth="1"/>
    <col min="12" max="13" width="10.75" style="2979" customWidth="1"/>
    <col min="14" max="14" width="10" style="2979" customWidth="1"/>
    <col min="15" max="16" width="10.5" style="2979" bestFit="1" customWidth="1"/>
    <col min="17" max="17" width="10" style="2979" customWidth="1"/>
    <col min="18" max="18" width="10.125" style="2979" customWidth="1"/>
    <col min="19" max="19" width="10" style="2979" customWidth="1"/>
    <col min="20" max="20" width="26.125" style="2979" customWidth="1"/>
    <col min="21" max="21" width="8.875" style="2979"/>
    <col min="22" max="22" width="8.875" style="2814"/>
    <col min="23" max="256" width="8.875" style="2819"/>
    <col min="257" max="257" width="9.5" style="2819" customWidth="1"/>
    <col min="258" max="258" width="8.875" style="2819"/>
    <col min="259" max="261" width="12.875" style="2819" customWidth="1"/>
    <col min="262" max="262" width="47.5" style="2819" customWidth="1"/>
    <col min="263" max="263" width="13" style="2819" customWidth="1"/>
    <col min="264" max="265" width="8.875" style="2819"/>
    <col min="266" max="266" width="5.75" style="2819" customWidth="1"/>
    <col min="267" max="267" width="11.75" style="2819" customWidth="1"/>
    <col min="268" max="269" width="10.75" style="2819" customWidth="1"/>
    <col min="270" max="270" width="10" style="2819" customWidth="1"/>
    <col min="271" max="272" width="10.5" style="2819" bestFit="1" customWidth="1"/>
    <col min="273" max="273" width="10" style="2819" customWidth="1"/>
    <col min="274" max="274" width="10.125" style="2819" customWidth="1"/>
    <col min="275" max="275" width="10" style="2819" customWidth="1"/>
    <col min="276" max="276" width="26.125" style="2819" customWidth="1"/>
    <col min="277" max="512" width="8.875" style="2819"/>
    <col min="513" max="513" width="9.5" style="2819" customWidth="1"/>
    <col min="514" max="514" width="8.875" style="2819"/>
    <col min="515" max="517" width="12.875" style="2819" customWidth="1"/>
    <col min="518" max="518" width="47.5" style="2819" customWidth="1"/>
    <col min="519" max="519" width="13" style="2819" customWidth="1"/>
    <col min="520" max="521" width="8.875" style="2819"/>
    <col min="522" max="522" width="5.75" style="2819" customWidth="1"/>
    <col min="523" max="523" width="11.75" style="2819" customWidth="1"/>
    <col min="524" max="525" width="10.75" style="2819" customWidth="1"/>
    <col min="526" max="526" width="10" style="2819" customWidth="1"/>
    <col min="527" max="528" width="10.5" style="2819" bestFit="1" customWidth="1"/>
    <col min="529" max="529" width="10" style="2819" customWidth="1"/>
    <col min="530" max="530" width="10.125" style="2819" customWidth="1"/>
    <col min="531" max="531" width="10" style="2819" customWidth="1"/>
    <col min="532" max="532" width="26.125" style="2819" customWidth="1"/>
    <col min="533" max="768" width="8.875" style="2819"/>
    <col min="769" max="769" width="9.5" style="2819" customWidth="1"/>
    <col min="770" max="770" width="8.875" style="2819"/>
    <col min="771" max="773" width="12.875" style="2819" customWidth="1"/>
    <col min="774" max="774" width="47.5" style="2819" customWidth="1"/>
    <col min="775" max="775" width="13" style="2819" customWidth="1"/>
    <col min="776" max="777" width="8.875" style="2819"/>
    <col min="778" max="778" width="5.75" style="2819" customWidth="1"/>
    <col min="779" max="779" width="11.75" style="2819" customWidth="1"/>
    <col min="780" max="781" width="10.75" style="2819" customWidth="1"/>
    <col min="782" max="782" width="10" style="2819" customWidth="1"/>
    <col min="783" max="784" width="10.5" style="2819" bestFit="1" customWidth="1"/>
    <col min="785" max="785" width="10" style="2819" customWidth="1"/>
    <col min="786" max="786" width="10.125" style="2819" customWidth="1"/>
    <col min="787" max="787" width="10" style="2819" customWidth="1"/>
    <col min="788" max="788" width="26.125" style="2819" customWidth="1"/>
    <col min="789" max="1024" width="8.875" style="2819"/>
    <col min="1025" max="1025" width="9.5" style="2819" customWidth="1"/>
    <col min="1026" max="1026" width="8.875" style="2819"/>
    <col min="1027" max="1029" width="12.875" style="2819" customWidth="1"/>
    <col min="1030" max="1030" width="47.5" style="2819" customWidth="1"/>
    <col min="1031" max="1031" width="13" style="2819" customWidth="1"/>
    <col min="1032" max="1033" width="8.875" style="2819"/>
    <col min="1034" max="1034" width="5.75" style="2819" customWidth="1"/>
    <col min="1035" max="1035" width="11.75" style="2819" customWidth="1"/>
    <col min="1036" max="1037" width="10.75" style="2819" customWidth="1"/>
    <col min="1038" max="1038" width="10" style="2819" customWidth="1"/>
    <col min="1039" max="1040" width="10.5" style="2819" bestFit="1" customWidth="1"/>
    <col min="1041" max="1041" width="10" style="2819" customWidth="1"/>
    <col min="1042" max="1042" width="10.125" style="2819" customWidth="1"/>
    <col min="1043" max="1043" width="10" style="2819" customWidth="1"/>
    <col min="1044" max="1044" width="26.125" style="2819" customWidth="1"/>
    <col min="1045" max="1280" width="8.875" style="2819"/>
    <col min="1281" max="1281" width="9.5" style="2819" customWidth="1"/>
    <col min="1282" max="1282" width="8.875" style="2819"/>
    <col min="1283" max="1285" width="12.875" style="2819" customWidth="1"/>
    <col min="1286" max="1286" width="47.5" style="2819" customWidth="1"/>
    <col min="1287" max="1287" width="13" style="2819" customWidth="1"/>
    <col min="1288" max="1289" width="8.875" style="2819"/>
    <col min="1290" max="1290" width="5.75" style="2819" customWidth="1"/>
    <col min="1291" max="1291" width="11.75" style="2819" customWidth="1"/>
    <col min="1292" max="1293" width="10.75" style="2819" customWidth="1"/>
    <col min="1294" max="1294" width="10" style="2819" customWidth="1"/>
    <col min="1295" max="1296" width="10.5" style="2819" bestFit="1" customWidth="1"/>
    <col min="1297" max="1297" width="10" style="2819" customWidth="1"/>
    <col min="1298" max="1298" width="10.125" style="2819" customWidth="1"/>
    <col min="1299" max="1299" width="10" style="2819" customWidth="1"/>
    <col min="1300" max="1300" width="26.125" style="2819" customWidth="1"/>
    <col min="1301" max="1536" width="8.875" style="2819"/>
    <col min="1537" max="1537" width="9.5" style="2819" customWidth="1"/>
    <col min="1538" max="1538" width="8.875" style="2819"/>
    <col min="1539" max="1541" width="12.875" style="2819" customWidth="1"/>
    <col min="1542" max="1542" width="47.5" style="2819" customWidth="1"/>
    <col min="1543" max="1543" width="13" style="2819" customWidth="1"/>
    <col min="1544" max="1545" width="8.875" style="2819"/>
    <col min="1546" max="1546" width="5.75" style="2819" customWidth="1"/>
    <col min="1547" max="1547" width="11.75" style="2819" customWidth="1"/>
    <col min="1548" max="1549" width="10.75" style="2819" customWidth="1"/>
    <col min="1550" max="1550" width="10" style="2819" customWidth="1"/>
    <col min="1551" max="1552" width="10.5" style="2819" bestFit="1" customWidth="1"/>
    <col min="1553" max="1553" width="10" style="2819" customWidth="1"/>
    <col min="1554" max="1554" width="10.125" style="2819" customWidth="1"/>
    <col min="1555" max="1555" width="10" style="2819" customWidth="1"/>
    <col min="1556" max="1556" width="26.125" style="2819" customWidth="1"/>
    <col min="1557" max="1792" width="8.875" style="2819"/>
    <col min="1793" max="1793" width="9.5" style="2819" customWidth="1"/>
    <col min="1794" max="1794" width="8.875" style="2819"/>
    <col min="1795" max="1797" width="12.875" style="2819" customWidth="1"/>
    <col min="1798" max="1798" width="47.5" style="2819" customWidth="1"/>
    <col min="1799" max="1799" width="13" style="2819" customWidth="1"/>
    <col min="1800" max="1801" width="8.875" style="2819"/>
    <col min="1802" max="1802" width="5.75" style="2819" customWidth="1"/>
    <col min="1803" max="1803" width="11.75" style="2819" customWidth="1"/>
    <col min="1804" max="1805" width="10.75" style="2819" customWidth="1"/>
    <col min="1806" max="1806" width="10" style="2819" customWidth="1"/>
    <col min="1807" max="1808" width="10.5" style="2819" bestFit="1" customWidth="1"/>
    <col min="1809" max="1809" width="10" style="2819" customWidth="1"/>
    <col min="1810" max="1810" width="10.125" style="2819" customWidth="1"/>
    <col min="1811" max="1811" width="10" style="2819" customWidth="1"/>
    <col min="1812" max="1812" width="26.125" style="2819" customWidth="1"/>
    <col min="1813" max="2048" width="8.875" style="2819"/>
    <col min="2049" max="2049" width="9.5" style="2819" customWidth="1"/>
    <col min="2050" max="2050" width="8.875" style="2819"/>
    <col min="2051" max="2053" width="12.875" style="2819" customWidth="1"/>
    <col min="2054" max="2054" width="47.5" style="2819" customWidth="1"/>
    <col min="2055" max="2055" width="13" style="2819" customWidth="1"/>
    <col min="2056" max="2057" width="8.875" style="2819"/>
    <col min="2058" max="2058" width="5.75" style="2819" customWidth="1"/>
    <col min="2059" max="2059" width="11.75" style="2819" customWidth="1"/>
    <col min="2060" max="2061" width="10.75" style="2819" customWidth="1"/>
    <col min="2062" max="2062" width="10" style="2819" customWidth="1"/>
    <col min="2063" max="2064" width="10.5" style="2819" bestFit="1" customWidth="1"/>
    <col min="2065" max="2065" width="10" style="2819" customWidth="1"/>
    <col min="2066" max="2066" width="10.125" style="2819" customWidth="1"/>
    <col min="2067" max="2067" width="10" style="2819" customWidth="1"/>
    <col min="2068" max="2068" width="26.125" style="2819" customWidth="1"/>
    <col min="2069" max="2304" width="8.875" style="2819"/>
    <col min="2305" max="2305" width="9.5" style="2819" customWidth="1"/>
    <col min="2306" max="2306" width="8.875" style="2819"/>
    <col min="2307" max="2309" width="12.875" style="2819" customWidth="1"/>
    <col min="2310" max="2310" width="47.5" style="2819" customWidth="1"/>
    <col min="2311" max="2311" width="13" style="2819" customWidth="1"/>
    <col min="2312" max="2313" width="8.875" style="2819"/>
    <col min="2314" max="2314" width="5.75" style="2819" customWidth="1"/>
    <col min="2315" max="2315" width="11.75" style="2819" customWidth="1"/>
    <col min="2316" max="2317" width="10.75" style="2819" customWidth="1"/>
    <col min="2318" max="2318" width="10" style="2819" customWidth="1"/>
    <col min="2319" max="2320" width="10.5" style="2819" bestFit="1" customWidth="1"/>
    <col min="2321" max="2321" width="10" style="2819" customWidth="1"/>
    <col min="2322" max="2322" width="10.125" style="2819" customWidth="1"/>
    <col min="2323" max="2323" width="10" style="2819" customWidth="1"/>
    <col min="2324" max="2324" width="26.125" style="2819" customWidth="1"/>
    <col min="2325" max="2560" width="8.875" style="2819"/>
    <col min="2561" max="2561" width="9.5" style="2819" customWidth="1"/>
    <col min="2562" max="2562" width="8.875" style="2819"/>
    <col min="2563" max="2565" width="12.875" style="2819" customWidth="1"/>
    <col min="2566" max="2566" width="47.5" style="2819" customWidth="1"/>
    <col min="2567" max="2567" width="13" style="2819" customWidth="1"/>
    <col min="2568" max="2569" width="8.875" style="2819"/>
    <col min="2570" max="2570" width="5.75" style="2819" customWidth="1"/>
    <col min="2571" max="2571" width="11.75" style="2819" customWidth="1"/>
    <col min="2572" max="2573" width="10.75" style="2819" customWidth="1"/>
    <col min="2574" max="2574" width="10" style="2819" customWidth="1"/>
    <col min="2575" max="2576" width="10.5" style="2819" bestFit="1" customWidth="1"/>
    <col min="2577" max="2577" width="10" style="2819" customWidth="1"/>
    <col min="2578" max="2578" width="10.125" style="2819" customWidth="1"/>
    <col min="2579" max="2579" width="10" style="2819" customWidth="1"/>
    <col min="2580" max="2580" width="26.125" style="2819" customWidth="1"/>
    <col min="2581" max="2816" width="8.875" style="2819"/>
    <col min="2817" max="2817" width="9.5" style="2819" customWidth="1"/>
    <col min="2818" max="2818" width="8.875" style="2819"/>
    <col min="2819" max="2821" width="12.875" style="2819" customWidth="1"/>
    <col min="2822" max="2822" width="47.5" style="2819" customWidth="1"/>
    <col min="2823" max="2823" width="13" style="2819" customWidth="1"/>
    <col min="2824" max="2825" width="8.875" style="2819"/>
    <col min="2826" max="2826" width="5.75" style="2819" customWidth="1"/>
    <col min="2827" max="2827" width="11.75" style="2819" customWidth="1"/>
    <col min="2828" max="2829" width="10.75" style="2819" customWidth="1"/>
    <col min="2830" max="2830" width="10" style="2819" customWidth="1"/>
    <col min="2831" max="2832" width="10.5" style="2819" bestFit="1" customWidth="1"/>
    <col min="2833" max="2833" width="10" style="2819" customWidth="1"/>
    <col min="2834" max="2834" width="10.125" style="2819" customWidth="1"/>
    <col min="2835" max="2835" width="10" style="2819" customWidth="1"/>
    <col min="2836" max="2836" width="26.125" style="2819" customWidth="1"/>
    <col min="2837" max="3072" width="8.875" style="2819"/>
    <col min="3073" max="3073" width="9.5" style="2819" customWidth="1"/>
    <col min="3074" max="3074" width="8.875" style="2819"/>
    <col min="3075" max="3077" width="12.875" style="2819" customWidth="1"/>
    <col min="3078" max="3078" width="47.5" style="2819" customWidth="1"/>
    <col min="3079" max="3079" width="13" style="2819" customWidth="1"/>
    <col min="3080" max="3081" width="8.875" style="2819"/>
    <col min="3082" max="3082" width="5.75" style="2819" customWidth="1"/>
    <col min="3083" max="3083" width="11.75" style="2819" customWidth="1"/>
    <col min="3084" max="3085" width="10.75" style="2819" customWidth="1"/>
    <col min="3086" max="3086" width="10" style="2819" customWidth="1"/>
    <col min="3087" max="3088" width="10.5" style="2819" bestFit="1" customWidth="1"/>
    <col min="3089" max="3089" width="10" style="2819" customWidth="1"/>
    <col min="3090" max="3090" width="10.125" style="2819" customWidth="1"/>
    <col min="3091" max="3091" width="10" style="2819" customWidth="1"/>
    <col min="3092" max="3092" width="26.125" style="2819" customWidth="1"/>
    <col min="3093" max="3328" width="8.875" style="2819"/>
    <col min="3329" max="3329" width="9.5" style="2819" customWidth="1"/>
    <col min="3330" max="3330" width="8.875" style="2819"/>
    <col min="3331" max="3333" width="12.875" style="2819" customWidth="1"/>
    <col min="3334" max="3334" width="47.5" style="2819" customWidth="1"/>
    <col min="3335" max="3335" width="13" style="2819" customWidth="1"/>
    <col min="3336" max="3337" width="8.875" style="2819"/>
    <col min="3338" max="3338" width="5.75" style="2819" customWidth="1"/>
    <col min="3339" max="3339" width="11.75" style="2819" customWidth="1"/>
    <col min="3340" max="3341" width="10.75" style="2819" customWidth="1"/>
    <col min="3342" max="3342" width="10" style="2819" customWidth="1"/>
    <col min="3343" max="3344" width="10.5" style="2819" bestFit="1" customWidth="1"/>
    <col min="3345" max="3345" width="10" style="2819" customWidth="1"/>
    <col min="3346" max="3346" width="10.125" style="2819" customWidth="1"/>
    <col min="3347" max="3347" width="10" style="2819" customWidth="1"/>
    <col min="3348" max="3348" width="26.125" style="2819" customWidth="1"/>
    <col min="3349" max="3584" width="8.875" style="2819"/>
    <col min="3585" max="3585" width="9.5" style="2819" customWidth="1"/>
    <col min="3586" max="3586" width="8.875" style="2819"/>
    <col min="3587" max="3589" width="12.875" style="2819" customWidth="1"/>
    <col min="3590" max="3590" width="47.5" style="2819" customWidth="1"/>
    <col min="3591" max="3591" width="13" style="2819" customWidth="1"/>
    <col min="3592" max="3593" width="8.875" style="2819"/>
    <col min="3594" max="3594" width="5.75" style="2819" customWidth="1"/>
    <col min="3595" max="3595" width="11.75" style="2819" customWidth="1"/>
    <col min="3596" max="3597" width="10.75" style="2819" customWidth="1"/>
    <col min="3598" max="3598" width="10" style="2819" customWidth="1"/>
    <col min="3599" max="3600" width="10.5" style="2819" bestFit="1" customWidth="1"/>
    <col min="3601" max="3601" width="10" style="2819" customWidth="1"/>
    <col min="3602" max="3602" width="10.125" style="2819" customWidth="1"/>
    <col min="3603" max="3603" width="10" style="2819" customWidth="1"/>
    <col min="3604" max="3604" width="26.125" style="2819" customWidth="1"/>
    <col min="3605" max="3840" width="8.875" style="2819"/>
    <col min="3841" max="3841" width="9.5" style="2819" customWidth="1"/>
    <col min="3842" max="3842" width="8.875" style="2819"/>
    <col min="3843" max="3845" width="12.875" style="2819" customWidth="1"/>
    <col min="3846" max="3846" width="47.5" style="2819" customWidth="1"/>
    <col min="3847" max="3847" width="13" style="2819" customWidth="1"/>
    <col min="3848" max="3849" width="8.875" style="2819"/>
    <col min="3850" max="3850" width="5.75" style="2819" customWidth="1"/>
    <col min="3851" max="3851" width="11.75" style="2819" customWidth="1"/>
    <col min="3852" max="3853" width="10.75" style="2819" customWidth="1"/>
    <col min="3854" max="3854" width="10" style="2819" customWidth="1"/>
    <col min="3855" max="3856" width="10.5" style="2819" bestFit="1" customWidth="1"/>
    <col min="3857" max="3857" width="10" style="2819" customWidth="1"/>
    <col min="3858" max="3858" width="10.125" style="2819" customWidth="1"/>
    <col min="3859" max="3859" width="10" style="2819" customWidth="1"/>
    <col min="3860" max="3860" width="26.125" style="2819" customWidth="1"/>
    <col min="3861" max="4096" width="8.875" style="2819"/>
    <col min="4097" max="4097" width="9.5" style="2819" customWidth="1"/>
    <col min="4098" max="4098" width="8.875" style="2819"/>
    <col min="4099" max="4101" width="12.875" style="2819" customWidth="1"/>
    <col min="4102" max="4102" width="47.5" style="2819" customWidth="1"/>
    <col min="4103" max="4103" width="13" style="2819" customWidth="1"/>
    <col min="4104" max="4105" width="8.875" style="2819"/>
    <col min="4106" max="4106" width="5.75" style="2819" customWidth="1"/>
    <col min="4107" max="4107" width="11.75" style="2819" customWidth="1"/>
    <col min="4108" max="4109" width="10.75" style="2819" customWidth="1"/>
    <col min="4110" max="4110" width="10" style="2819" customWidth="1"/>
    <col min="4111" max="4112" width="10.5" style="2819" bestFit="1" customWidth="1"/>
    <col min="4113" max="4113" width="10" style="2819" customWidth="1"/>
    <col min="4114" max="4114" width="10.125" style="2819" customWidth="1"/>
    <col min="4115" max="4115" width="10" style="2819" customWidth="1"/>
    <col min="4116" max="4116" width="26.125" style="2819" customWidth="1"/>
    <col min="4117" max="4352" width="8.875" style="2819"/>
    <col min="4353" max="4353" width="9.5" style="2819" customWidth="1"/>
    <col min="4354" max="4354" width="8.875" style="2819"/>
    <col min="4355" max="4357" width="12.875" style="2819" customWidth="1"/>
    <col min="4358" max="4358" width="47.5" style="2819" customWidth="1"/>
    <col min="4359" max="4359" width="13" style="2819" customWidth="1"/>
    <col min="4360" max="4361" width="8.875" style="2819"/>
    <col min="4362" max="4362" width="5.75" style="2819" customWidth="1"/>
    <col min="4363" max="4363" width="11.75" style="2819" customWidth="1"/>
    <col min="4364" max="4365" width="10.75" style="2819" customWidth="1"/>
    <col min="4366" max="4366" width="10" style="2819" customWidth="1"/>
    <col min="4367" max="4368" width="10.5" style="2819" bestFit="1" customWidth="1"/>
    <col min="4369" max="4369" width="10" style="2819" customWidth="1"/>
    <col min="4370" max="4370" width="10.125" style="2819" customWidth="1"/>
    <col min="4371" max="4371" width="10" style="2819" customWidth="1"/>
    <col min="4372" max="4372" width="26.125" style="2819" customWidth="1"/>
    <col min="4373" max="4608" width="8.875" style="2819"/>
    <col min="4609" max="4609" width="9.5" style="2819" customWidth="1"/>
    <col min="4610" max="4610" width="8.875" style="2819"/>
    <col min="4611" max="4613" width="12.875" style="2819" customWidth="1"/>
    <col min="4614" max="4614" width="47.5" style="2819" customWidth="1"/>
    <col min="4615" max="4615" width="13" style="2819" customWidth="1"/>
    <col min="4616" max="4617" width="8.875" style="2819"/>
    <col min="4618" max="4618" width="5.75" style="2819" customWidth="1"/>
    <col min="4619" max="4619" width="11.75" style="2819" customWidth="1"/>
    <col min="4620" max="4621" width="10.75" style="2819" customWidth="1"/>
    <col min="4622" max="4622" width="10" style="2819" customWidth="1"/>
    <col min="4623" max="4624" width="10.5" style="2819" bestFit="1" customWidth="1"/>
    <col min="4625" max="4625" width="10" style="2819" customWidth="1"/>
    <col min="4626" max="4626" width="10.125" style="2819" customWidth="1"/>
    <col min="4627" max="4627" width="10" style="2819" customWidth="1"/>
    <col min="4628" max="4628" width="26.125" style="2819" customWidth="1"/>
    <col min="4629" max="4864" width="8.875" style="2819"/>
    <col min="4865" max="4865" width="9.5" style="2819" customWidth="1"/>
    <col min="4866" max="4866" width="8.875" style="2819"/>
    <col min="4867" max="4869" width="12.875" style="2819" customWidth="1"/>
    <col min="4870" max="4870" width="47.5" style="2819" customWidth="1"/>
    <col min="4871" max="4871" width="13" style="2819" customWidth="1"/>
    <col min="4872" max="4873" width="8.875" style="2819"/>
    <col min="4874" max="4874" width="5.75" style="2819" customWidth="1"/>
    <col min="4875" max="4875" width="11.75" style="2819" customWidth="1"/>
    <col min="4876" max="4877" width="10.75" style="2819" customWidth="1"/>
    <col min="4878" max="4878" width="10" style="2819" customWidth="1"/>
    <col min="4879" max="4880" width="10.5" style="2819" bestFit="1" customWidth="1"/>
    <col min="4881" max="4881" width="10" style="2819" customWidth="1"/>
    <col min="4882" max="4882" width="10.125" style="2819" customWidth="1"/>
    <col min="4883" max="4883" width="10" style="2819" customWidth="1"/>
    <col min="4884" max="4884" width="26.125" style="2819" customWidth="1"/>
    <col min="4885" max="5120" width="8.875" style="2819"/>
    <col min="5121" max="5121" width="9.5" style="2819" customWidth="1"/>
    <col min="5122" max="5122" width="8.875" style="2819"/>
    <col min="5123" max="5125" width="12.875" style="2819" customWidth="1"/>
    <col min="5126" max="5126" width="47.5" style="2819" customWidth="1"/>
    <col min="5127" max="5127" width="13" style="2819" customWidth="1"/>
    <col min="5128" max="5129" width="8.875" style="2819"/>
    <col min="5130" max="5130" width="5.75" style="2819" customWidth="1"/>
    <col min="5131" max="5131" width="11.75" style="2819" customWidth="1"/>
    <col min="5132" max="5133" width="10.75" style="2819" customWidth="1"/>
    <col min="5134" max="5134" width="10" style="2819" customWidth="1"/>
    <col min="5135" max="5136" width="10.5" style="2819" bestFit="1" customWidth="1"/>
    <col min="5137" max="5137" width="10" style="2819" customWidth="1"/>
    <col min="5138" max="5138" width="10.125" style="2819" customWidth="1"/>
    <col min="5139" max="5139" width="10" style="2819" customWidth="1"/>
    <col min="5140" max="5140" width="26.125" style="2819" customWidth="1"/>
    <col min="5141" max="5376" width="8.875" style="2819"/>
    <col min="5377" max="5377" width="9.5" style="2819" customWidth="1"/>
    <col min="5378" max="5378" width="8.875" style="2819"/>
    <col min="5379" max="5381" width="12.875" style="2819" customWidth="1"/>
    <col min="5382" max="5382" width="47.5" style="2819" customWidth="1"/>
    <col min="5383" max="5383" width="13" style="2819" customWidth="1"/>
    <col min="5384" max="5385" width="8.875" style="2819"/>
    <col min="5386" max="5386" width="5.75" style="2819" customWidth="1"/>
    <col min="5387" max="5387" width="11.75" style="2819" customWidth="1"/>
    <col min="5388" max="5389" width="10.75" style="2819" customWidth="1"/>
    <col min="5390" max="5390" width="10" style="2819" customWidth="1"/>
    <col min="5391" max="5392" width="10.5" style="2819" bestFit="1" customWidth="1"/>
    <col min="5393" max="5393" width="10" style="2819" customWidth="1"/>
    <col min="5394" max="5394" width="10.125" style="2819" customWidth="1"/>
    <col min="5395" max="5395" width="10" style="2819" customWidth="1"/>
    <col min="5396" max="5396" width="26.125" style="2819" customWidth="1"/>
    <col min="5397" max="5632" width="8.875" style="2819"/>
    <col min="5633" max="5633" width="9.5" style="2819" customWidth="1"/>
    <col min="5634" max="5634" width="8.875" style="2819"/>
    <col min="5635" max="5637" width="12.875" style="2819" customWidth="1"/>
    <col min="5638" max="5638" width="47.5" style="2819" customWidth="1"/>
    <col min="5639" max="5639" width="13" style="2819" customWidth="1"/>
    <col min="5640" max="5641" width="8.875" style="2819"/>
    <col min="5642" max="5642" width="5.75" style="2819" customWidth="1"/>
    <col min="5643" max="5643" width="11.75" style="2819" customWidth="1"/>
    <col min="5644" max="5645" width="10.75" style="2819" customWidth="1"/>
    <col min="5646" max="5646" width="10" style="2819" customWidth="1"/>
    <col min="5647" max="5648" width="10.5" style="2819" bestFit="1" customWidth="1"/>
    <col min="5649" max="5649" width="10" style="2819" customWidth="1"/>
    <col min="5650" max="5650" width="10.125" style="2819" customWidth="1"/>
    <col min="5651" max="5651" width="10" style="2819" customWidth="1"/>
    <col min="5652" max="5652" width="26.125" style="2819" customWidth="1"/>
    <col min="5653" max="5888" width="8.875" style="2819"/>
    <col min="5889" max="5889" width="9.5" style="2819" customWidth="1"/>
    <col min="5890" max="5890" width="8.875" style="2819"/>
    <col min="5891" max="5893" width="12.875" style="2819" customWidth="1"/>
    <col min="5894" max="5894" width="47.5" style="2819" customWidth="1"/>
    <col min="5895" max="5895" width="13" style="2819" customWidth="1"/>
    <col min="5896" max="5897" width="8.875" style="2819"/>
    <col min="5898" max="5898" width="5.75" style="2819" customWidth="1"/>
    <col min="5899" max="5899" width="11.75" style="2819" customWidth="1"/>
    <col min="5900" max="5901" width="10.75" style="2819" customWidth="1"/>
    <col min="5902" max="5902" width="10" style="2819" customWidth="1"/>
    <col min="5903" max="5904" width="10.5" style="2819" bestFit="1" customWidth="1"/>
    <col min="5905" max="5905" width="10" style="2819" customWidth="1"/>
    <col min="5906" max="5906" width="10.125" style="2819" customWidth="1"/>
    <col min="5907" max="5907" width="10" style="2819" customWidth="1"/>
    <col min="5908" max="5908" width="26.125" style="2819" customWidth="1"/>
    <col min="5909" max="6144" width="8.875" style="2819"/>
    <col min="6145" max="6145" width="9.5" style="2819" customWidth="1"/>
    <col min="6146" max="6146" width="8.875" style="2819"/>
    <col min="6147" max="6149" width="12.875" style="2819" customWidth="1"/>
    <col min="6150" max="6150" width="47.5" style="2819" customWidth="1"/>
    <col min="6151" max="6151" width="13" style="2819" customWidth="1"/>
    <col min="6152" max="6153" width="8.875" style="2819"/>
    <col min="6154" max="6154" width="5.75" style="2819" customWidth="1"/>
    <col min="6155" max="6155" width="11.75" style="2819" customWidth="1"/>
    <col min="6156" max="6157" width="10.75" style="2819" customWidth="1"/>
    <col min="6158" max="6158" width="10" style="2819" customWidth="1"/>
    <col min="6159" max="6160" width="10.5" style="2819" bestFit="1" customWidth="1"/>
    <col min="6161" max="6161" width="10" style="2819" customWidth="1"/>
    <col min="6162" max="6162" width="10.125" style="2819" customWidth="1"/>
    <col min="6163" max="6163" width="10" style="2819" customWidth="1"/>
    <col min="6164" max="6164" width="26.125" style="2819" customWidth="1"/>
    <col min="6165" max="6400" width="8.875" style="2819"/>
    <col min="6401" max="6401" width="9.5" style="2819" customWidth="1"/>
    <col min="6402" max="6402" width="8.875" style="2819"/>
    <col min="6403" max="6405" width="12.875" style="2819" customWidth="1"/>
    <col min="6406" max="6406" width="47.5" style="2819" customWidth="1"/>
    <col min="6407" max="6407" width="13" style="2819" customWidth="1"/>
    <col min="6408" max="6409" width="8.875" style="2819"/>
    <col min="6410" max="6410" width="5.75" style="2819" customWidth="1"/>
    <col min="6411" max="6411" width="11.75" style="2819" customWidth="1"/>
    <col min="6412" max="6413" width="10.75" style="2819" customWidth="1"/>
    <col min="6414" max="6414" width="10" style="2819" customWidth="1"/>
    <col min="6415" max="6416" width="10.5" style="2819" bestFit="1" customWidth="1"/>
    <col min="6417" max="6417" width="10" style="2819" customWidth="1"/>
    <col min="6418" max="6418" width="10.125" style="2819" customWidth="1"/>
    <col min="6419" max="6419" width="10" style="2819" customWidth="1"/>
    <col min="6420" max="6420" width="26.125" style="2819" customWidth="1"/>
    <col min="6421" max="6656" width="8.875" style="2819"/>
    <col min="6657" max="6657" width="9.5" style="2819" customWidth="1"/>
    <col min="6658" max="6658" width="8.875" style="2819"/>
    <col min="6659" max="6661" width="12.875" style="2819" customWidth="1"/>
    <col min="6662" max="6662" width="47.5" style="2819" customWidth="1"/>
    <col min="6663" max="6663" width="13" style="2819" customWidth="1"/>
    <col min="6664" max="6665" width="8.875" style="2819"/>
    <col min="6666" max="6666" width="5.75" style="2819" customWidth="1"/>
    <col min="6667" max="6667" width="11.75" style="2819" customWidth="1"/>
    <col min="6668" max="6669" width="10.75" style="2819" customWidth="1"/>
    <col min="6670" max="6670" width="10" style="2819" customWidth="1"/>
    <col min="6671" max="6672" width="10.5" style="2819" bestFit="1" customWidth="1"/>
    <col min="6673" max="6673" width="10" style="2819" customWidth="1"/>
    <col min="6674" max="6674" width="10.125" style="2819" customWidth="1"/>
    <col min="6675" max="6675" width="10" style="2819" customWidth="1"/>
    <col min="6676" max="6676" width="26.125" style="2819" customWidth="1"/>
    <col min="6677" max="6912" width="8.875" style="2819"/>
    <col min="6913" max="6913" width="9.5" style="2819" customWidth="1"/>
    <col min="6914" max="6914" width="8.875" style="2819"/>
    <col min="6915" max="6917" width="12.875" style="2819" customWidth="1"/>
    <col min="6918" max="6918" width="47.5" style="2819" customWidth="1"/>
    <col min="6919" max="6919" width="13" style="2819" customWidth="1"/>
    <col min="6920" max="6921" width="8.875" style="2819"/>
    <col min="6922" max="6922" width="5.75" style="2819" customWidth="1"/>
    <col min="6923" max="6923" width="11.75" style="2819" customWidth="1"/>
    <col min="6924" max="6925" width="10.75" style="2819" customWidth="1"/>
    <col min="6926" max="6926" width="10" style="2819" customWidth="1"/>
    <col min="6927" max="6928" width="10.5" style="2819" bestFit="1" customWidth="1"/>
    <col min="6929" max="6929" width="10" style="2819" customWidth="1"/>
    <col min="6930" max="6930" width="10.125" style="2819" customWidth="1"/>
    <col min="6931" max="6931" width="10" style="2819" customWidth="1"/>
    <col min="6932" max="6932" width="26.125" style="2819" customWidth="1"/>
    <col min="6933" max="7168" width="8.875" style="2819"/>
    <col min="7169" max="7169" width="9.5" style="2819" customWidth="1"/>
    <col min="7170" max="7170" width="8.875" style="2819"/>
    <col min="7171" max="7173" width="12.875" style="2819" customWidth="1"/>
    <col min="7174" max="7174" width="47.5" style="2819" customWidth="1"/>
    <col min="7175" max="7175" width="13" style="2819" customWidth="1"/>
    <col min="7176" max="7177" width="8.875" style="2819"/>
    <col min="7178" max="7178" width="5.75" style="2819" customWidth="1"/>
    <col min="7179" max="7179" width="11.75" style="2819" customWidth="1"/>
    <col min="7180" max="7181" width="10.75" style="2819" customWidth="1"/>
    <col min="7182" max="7182" width="10" style="2819" customWidth="1"/>
    <col min="7183" max="7184" width="10.5" style="2819" bestFit="1" customWidth="1"/>
    <col min="7185" max="7185" width="10" style="2819" customWidth="1"/>
    <col min="7186" max="7186" width="10.125" style="2819" customWidth="1"/>
    <col min="7187" max="7187" width="10" style="2819" customWidth="1"/>
    <col min="7188" max="7188" width="26.125" style="2819" customWidth="1"/>
    <col min="7189" max="7424" width="8.875" style="2819"/>
    <col min="7425" max="7425" width="9.5" style="2819" customWidth="1"/>
    <col min="7426" max="7426" width="8.875" style="2819"/>
    <col min="7427" max="7429" width="12.875" style="2819" customWidth="1"/>
    <col min="7430" max="7430" width="47.5" style="2819" customWidth="1"/>
    <col min="7431" max="7431" width="13" style="2819" customWidth="1"/>
    <col min="7432" max="7433" width="8.875" style="2819"/>
    <col min="7434" max="7434" width="5.75" style="2819" customWidth="1"/>
    <col min="7435" max="7435" width="11.75" style="2819" customWidth="1"/>
    <col min="7436" max="7437" width="10.75" style="2819" customWidth="1"/>
    <col min="7438" max="7438" width="10" style="2819" customWidth="1"/>
    <col min="7439" max="7440" width="10.5" style="2819" bestFit="1" customWidth="1"/>
    <col min="7441" max="7441" width="10" style="2819" customWidth="1"/>
    <col min="7442" max="7442" width="10.125" style="2819" customWidth="1"/>
    <col min="7443" max="7443" width="10" style="2819" customWidth="1"/>
    <col min="7444" max="7444" width="26.125" style="2819" customWidth="1"/>
    <col min="7445" max="7680" width="8.875" style="2819"/>
    <col min="7681" max="7681" width="9.5" style="2819" customWidth="1"/>
    <col min="7682" max="7682" width="8.875" style="2819"/>
    <col min="7683" max="7685" width="12.875" style="2819" customWidth="1"/>
    <col min="7686" max="7686" width="47.5" style="2819" customWidth="1"/>
    <col min="7687" max="7687" width="13" style="2819" customWidth="1"/>
    <col min="7688" max="7689" width="8.875" style="2819"/>
    <col min="7690" max="7690" width="5.75" style="2819" customWidth="1"/>
    <col min="7691" max="7691" width="11.75" style="2819" customWidth="1"/>
    <col min="7692" max="7693" width="10.75" style="2819" customWidth="1"/>
    <col min="7694" max="7694" width="10" style="2819" customWidth="1"/>
    <col min="7695" max="7696" width="10.5" style="2819" bestFit="1" customWidth="1"/>
    <col min="7697" max="7697" width="10" style="2819" customWidth="1"/>
    <col min="7698" max="7698" width="10.125" style="2819" customWidth="1"/>
    <col min="7699" max="7699" width="10" style="2819" customWidth="1"/>
    <col min="7700" max="7700" width="26.125" style="2819" customWidth="1"/>
    <col min="7701" max="7936" width="8.875" style="2819"/>
    <col min="7937" max="7937" width="9.5" style="2819" customWidth="1"/>
    <col min="7938" max="7938" width="8.875" style="2819"/>
    <col min="7939" max="7941" width="12.875" style="2819" customWidth="1"/>
    <col min="7942" max="7942" width="47.5" style="2819" customWidth="1"/>
    <col min="7943" max="7943" width="13" style="2819" customWidth="1"/>
    <col min="7944" max="7945" width="8.875" style="2819"/>
    <col min="7946" max="7946" width="5.75" style="2819" customWidth="1"/>
    <col min="7947" max="7947" width="11.75" style="2819" customWidth="1"/>
    <col min="7948" max="7949" width="10.75" style="2819" customWidth="1"/>
    <col min="7950" max="7950" width="10" style="2819" customWidth="1"/>
    <col min="7951" max="7952" width="10.5" style="2819" bestFit="1" customWidth="1"/>
    <col min="7953" max="7953" width="10" style="2819" customWidth="1"/>
    <col min="7954" max="7954" width="10.125" style="2819" customWidth="1"/>
    <col min="7955" max="7955" width="10" style="2819" customWidth="1"/>
    <col min="7956" max="7956" width="26.125" style="2819" customWidth="1"/>
    <col min="7957" max="8192" width="8.875" style="2819"/>
    <col min="8193" max="8193" width="9.5" style="2819" customWidth="1"/>
    <col min="8194" max="8194" width="8.875" style="2819"/>
    <col min="8195" max="8197" width="12.875" style="2819" customWidth="1"/>
    <col min="8198" max="8198" width="47.5" style="2819" customWidth="1"/>
    <col min="8199" max="8199" width="13" style="2819" customWidth="1"/>
    <col min="8200" max="8201" width="8.875" style="2819"/>
    <col min="8202" max="8202" width="5.75" style="2819" customWidth="1"/>
    <col min="8203" max="8203" width="11.75" style="2819" customWidth="1"/>
    <col min="8204" max="8205" width="10.75" style="2819" customWidth="1"/>
    <col min="8206" max="8206" width="10" style="2819" customWidth="1"/>
    <col min="8207" max="8208" width="10.5" style="2819" bestFit="1" customWidth="1"/>
    <col min="8209" max="8209" width="10" style="2819" customWidth="1"/>
    <col min="8210" max="8210" width="10.125" style="2819" customWidth="1"/>
    <col min="8211" max="8211" width="10" style="2819" customWidth="1"/>
    <col min="8212" max="8212" width="26.125" style="2819" customWidth="1"/>
    <col min="8213" max="8448" width="8.875" style="2819"/>
    <col min="8449" max="8449" width="9.5" style="2819" customWidth="1"/>
    <col min="8450" max="8450" width="8.875" style="2819"/>
    <col min="8451" max="8453" width="12.875" style="2819" customWidth="1"/>
    <col min="8454" max="8454" width="47.5" style="2819" customWidth="1"/>
    <col min="8455" max="8455" width="13" style="2819" customWidth="1"/>
    <col min="8456" max="8457" width="8.875" style="2819"/>
    <col min="8458" max="8458" width="5.75" style="2819" customWidth="1"/>
    <col min="8459" max="8459" width="11.75" style="2819" customWidth="1"/>
    <col min="8460" max="8461" width="10.75" style="2819" customWidth="1"/>
    <col min="8462" max="8462" width="10" style="2819" customWidth="1"/>
    <col min="8463" max="8464" width="10.5" style="2819" bestFit="1" customWidth="1"/>
    <col min="8465" max="8465" width="10" style="2819" customWidth="1"/>
    <col min="8466" max="8466" width="10.125" style="2819" customWidth="1"/>
    <col min="8467" max="8467" width="10" style="2819" customWidth="1"/>
    <col min="8468" max="8468" width="26.125" style="2819" customWidth="1"/>
    <col min="8469" max="8704" width="8.875" style="2819"/>
    <col min="8705" max="8705" width="9.5" style="2819" customWidth="1"/>
    <col min="8706" max="8706" width="8.875" style="2819"/>
    <col min="8707" max="8709" width="12.875" style="2819" customWidth="1"/>
    <col min="8710" max="8710" width="47.5" style="2819" customWidth="1"/>
    <col min="8711" max="8711" width="13" style="2819" customWidth="1"/>
    <col min="8712" max="8713" width="8.875" style="2819"/>
    <col min="8714" max="8714" width="5.75" style="2819" customWidth="1"/>
    <col min="8715" max="8715" width="11.75" style="2819" customWidth="1"/>
    <col min="8716" max="8717" width="10.75" style="2819" customWidth="1"/>
    <col min="8718" max="8718" width="10" style="2819" customWidth="1"/>
    <col min="8719" max="8720" width="10.5" style="2819" bestFit="1" customWidth="1"/>
    <col min="8721" max="8721" width="10" style="2819" customWidth="1"/>
    <col min="8722" max="8722" width="10.125" style="2819" customWidth="1"/>
    <col min="8723" max="8723" width="10" style="2819" customWidth="1"/>
    <col min="8724" max="8724" width="26.125" style="2819" customWidth="1"/>
    <col min="8725" max="8960" width="8.875" style="2819"/>
    <col min="8961" max="8961" width="9.5" style="2819" customWidth="1"/>
    <col min="8962" max="8962" width="8.875" style="2819"/>
    <col min="8963" max="8965" width="12.875" style="2819" customWidth="1"/>
    <col min="8966" max="8966" width="47.5" style="2819" customWidth="1"/>
    <col min="8967" max="8967" width="13" style="2819" customWidth="1"/>
    <col min="8968" max="8969" width="8.875" style="2819"/>
    <col min="8970" max="8970" width="5.75" style="2819" customWidth="1"/>
    <col min="8971" max="8971" width="11.75" style="2819" customWidth="1"/>
    <col min="8972" max="8973" width="10.75" style="2819" customWidth="1"/>
    <col min="8974" max="8974" width="10" style="2819" customWidth="1"/>
    <col min="8975" max="8976" width="10.5" style="2819" bestFit="1" customWidth="1"/>
    <col min="8977" max="8977" width="10" style="2819" customWidth="1"/>
    <col min="8978" max="8978" width="10.125" style="2819" customWidth="1"/>
    <col min="8979" max="8979" width="10" style="2819" customWidth="1"/>
    <col min="8980" max="8980" width="26.125" style="2819" customWidth="1"/>
    <col min="8981" max="9216" width="8.875" style="2819"/>
    <col min="9217" max="9217" width="9.5" style="2819" customWidth="1"/>
    <col min="9218" max="9218" width="8.875" style="2819"/>
    <col min="9219" max="9221" width="12.875" style="2819" customWidth="1"/>
    <col min="9222" max="9222" width="47.5" style="2819" customWidth="1"/>
    <col min="9223" max="9223" width="13" style="2819" customWidth="1"/>
    <col min="9224" max="9225" width="8.875" style="2819"/>
    <col min="9226" max="9226" width="5.75" style="2819" customWidth="1"/>
    <col min="9227" max="9227" width="11.75" style="2819" customWidth="1"/>
    <col min="9228" max="9229" width="10.75" style="2819" customWidth="1"/>
    <col min="9230" max="9230" width="10" style="2819" customWidth="1"/>
    <col min="9231" max="9232" width="10.5" style="2819" bestFit="1" customWidth="1"/>
    <col min="9233" max="9233" width="10" style="2819" customWidth="1"/>
    <col min="9234" max="9234" width="10.125" style="2819" customWidth="1"/>
    <col min="9235" max="9235" width="10" style="2819" customWidth="1"/>
    <col min="9236" max="9236" width="26.125" style="2819" customWidth="1"/>
    <col min="9237" max="9472" width="8.875" style="2819"/>
    <col min="9473" max="9473" width="9.5" style="2819" customWidth="1"/>
    <col min="9474" max="9474" width="8.875" style="2819"/>
    <col min="9475" max="9477" width="12.875" style="2819" customWidth="1"/>
    <col min="9478" max="9478" width="47.5" style="2819" customWidth="1"/>
    <col min="9479" max="9479" width="13" style="2819" customWidth="1"/>
    <col min="9480" max="9481" width="8.875" style="2819"/>
    <col min="9482" max="9482" width="5.75" style="2819" customWidth="1"/>
    <col min="9483" max="9483" width="11.75" style="2819" customWidth="1"/>
    <col min="9484" max="9485" width="10.75" style="2819" customWidth="1"/>
    <col min="9486" max="9486" width="10" style="2819" customWidth="1"/>
    <col min="9487" max="9488" width="10.5" style="2819" bestFit="1" customWidth="1"/>
    <col min="9489" max="9489" width="10" style="2819" customWidth="1"/>
    <col min="9490" max="9490" width="10.125" style="2819" customWidth="1"/>
    <col min="9491" max="9491" width="10" style="2819" customWidth="1"/>
    <col min="9492" max="9492" width="26.125" style="2819" customWidth="1"/>
    <col min="9493" max="9728" width="8.875" style="2819"/>
    <col min="9729" max="9729" width="9.5" style="2819" customWidth="1"/>
    <col min="9730" max="9730" width="8.875" style="2819"/>
    <col min="9731" max="9733" width="12.875" style="2819" customWidth="1"/>
    <col min="9734" max="9734" width="47.5" style="2819" customWidth="1"/>
    <col min="9735" max="9735" width="13" style="2819" customWidth="1"/>
    <col min="9736" max="9737" width="8.875" style="2819"/>
    <col min="9738" max="9738" width="5.75" style="2819" customWidth="1"/>
    <col min="9739" max="9739" width="11.75" style="2819" customWidth="1"/>
    <col min="9740" max="9741" width="10.75" style="2819" customWidth="1"/>
    <col min="9742" max="9742" width="10" style="2819" customWidth="1"/>
    <col min="9743" max="9744" width="10.5" style="2819" bestFit="1" customWidth="1"/>
    <col min="9745" max="9745" width="10" style="2819" customWidth="1"/>
    <col min="9746" max="9746" width="10.125" style="2819" customWidth="1"/>
    <col min="9747" max="9747" width="10" style="2819" customWidth="1"/>
    <col min="9748" max="9748" width="26.125" style="2819" customWidth="1"/>
    <col min="9749" max="9984" width="8.875" style="2819"/>
    <col min="9985" max="9985" width="9.5" style="2819" customWidth="1"/>
    <col min="9986" max="9986" width="8.875" style="2819"/>
    <col min="9987" max="9989" width="12.875" style="2819" customWidth="1"/>
    <col min="9990" max="9990" width="47.5" style="2819" customWidth="1"/>
    <col min="9991" max="9991" width="13" style="2819" customWidth="1"/>
    <col min="9992" max="9993" width="8.875" style="2819"/>
    <col min="9994" max="9994" width="5.75" style="2819" customWidth="1"/>
    <col min="9995" max="9995" width="11.75" style="2819" customWidth="1"/>
    <col min="9996" max="9997" width="10.75" style="2819" customWidth="1"/>
    <col min="9998" max="9998" width="10" style="2819" customWidth="1"/>
    <col min="9999" max="10000" width="10.5" style="2819" bestFit="1" customWidth="1"/>
    <col min="10001" max="10001" width="10" style="2819" customWidth="1"/>
    <col min="10002" max="10002" width="10.125" style="2819" customWidth="1"/>
    <col min="10003" max="10003" width="10" style="2819" customWidth="1"/>
    <col min="10004" max="10004" width="26.125" style="2819" customWidth="1"/>
    <col min="10005" max="10240" width="8.875" style="2819"/>
    <col min="10241" max="10241" width="9.5" style="2819" customWidth="1"/>
    <col min="10242" max="10242" width="8.875" style="2819"/>
    <col min="10243" max="10245" width="12.875" style="2819" customWidth="1"/>
    <col min="10246" max="10246" width="47.5" style="2819" customWidth="1"/>
    <col min="10247" max="10247" width="13" style="2819" customWidth="1"/>
    <col min="10248" max="10249" width="8.875" style="2819"/>
    <col min="10250" max="10250" width="5.75" style="2819" customWidth="1"/>
    <col min="10251" max="10251" width="11.75" style="2819" customWidth="1"/>
    <col min="10252" max="10253" width="10.75" style="2819" customWidth="1"/>
    <col min="10254" max="10254" width="10" style="2819" customWidth="1"/>
    <col min="10255" max="10256" width="10.5" style="2819" bestFit="1" customWidth="1"/>
    <col min="10257" max="10257" width="10" style="2819" customWidth="1"/>
    <col min="10258" max="10258" width="10.125" style="2819" customWidth="1"/>
    <col min="10259" max="10259" width="10" style="2819" customWidth="1"/>
    <col min="10260" max="10260" width="26.125" style="2819" customWidth="1"/>
    <col min="10261" max="10496" width="8.875" style="2819"/>
    <col min="10497" max="10497" width="9.5" style="2819" customWidth="1"/>
    <col min="10498" max="10498" width="8.875" style="2819"/>
    <col min="10499" max="10501" width="12.875" style="2819" customWidth="1"/>
    <col min="10502" max="10502" width="47.5" style="2819" customWidth="1"/>
    <col min="10503" max="10503" width="13" style="2819" customWidth="1"/>
    <col min="10504" max="10505" width="8.875" style="2819"/>
    <col min="10506" max="10506" width="5.75" style="2819" customWidth="1"/>
    <col min="10507" max="10507" width="11.75" style="2819" customWidth="1"/>
    <col min="10508" max="10509" width="10.75" style="2819" customWidth="1"/>
    <col min="10510" max="10510" width="10" style="2819" customWidth="1"/>
    <col min="10511" max="10512" width="10.5" style="2819" bestFit="1" customWidth="1"/>
    <col min="10513" max="10513" width="10" style="2819" customWidth="1"/>
    <col min="10514" max="10514" width="10.125" style="2819" customWidth="1"/>
    <col min="10515" max="10515" width="10" style="2819" customWidth="1"/>
    <col min="10516" max="10516" width="26.125" style="2819" customWidth="1"/>
    <col min="10517" max="10752" width="8.875" style="2819"/>
    <col min="10753" max="10753" width="9.5" style="2819" customWidth="1"/>
    <col min="10754" max="10754" width="8.875" style="2819"/>
    <col min="10755" max="10757" width="12.875" style="2819" customWidth="1"/>
    <col min="10758" max="10758" width="47.5" style="2819" customWidth="1"/>
    <col min="10759" max="10759" width="13" style="2819" customWidth="1"/>
    <col min="10760" max="10761" width="8.875" style="2819"/>
    <col min="10762" max="10762" width="5.75" style="2819" customWidth="1"/>
    <col min="10763" max="10763" width="11.75" style="2819" customWidth="1"/>
    <col min="10764" max="10765" width="10.75" style="2819" customWidth="1"/>
    <col min="10766" max="10766" width="10" style="2819" customWidth="1"/>
    <col min="10767" max="10768" width="10.5" style="2819" bestFit="1" customWidth="1"/>
    <col min="10769" max="10769" width="10" style="2819" customWidth="1"/>
    <col min="10770" max="10770" width="10.125" style="2819" customWidth="1"/>
    <col min="10771" max="10771" width="10" style="2819" customWidth="1"/>
    <col min="10772" max="10772" width="26.125" style="2819" customWidth="1"/>
    <col min="10773" max="11008" width="8.875" style="2819"/>
    <col min="11009" max="11009" width="9.5" style="2819" customWidth="1"/>
    <col min="11010" max="11010" width="8.875" style="2819"/>
    <col min="11011" max="11013" width="12.875" style="2819" customWidth="1"/>
    <col min="11014" max="11014" width="47.5" style="2819" customWidth="1"/>
    <col min="11015" max="11015" width="13" style="2819" customWidth="1"/>
    <col min="11016" max="11017" width="8.875" style="2819"/>
    <col min="11018" max="11018" width="5.75" style="2819" customWidth="1"/>
    <col min="11019" max="11019" width="11.75" style="2819" customWidth="1"/>
    <col min="11020" max="11021" width="10.75" style="2819" customWidth="1"/>
    <col min="11022" max="11022" width="10" style="2819" customWidth="1"/>
    <col min="11023" max="11024" width="10.5" style="2819" bestFit="1" customWidth="1"/>
    <col min="11025" max="11025" width="10" style="2819" customWidth="1"/>
    <col min="11026" max="11026" width="10.125" style="2819" customWidth="1"/>
    <col min="11027" max="11027" width="10" style="2819" customWidth="1"/>
    <col min="11028" max="11028" width="26.125" style="2819" customWidth="1"/>
    <col min="11029" max="11264" width="8.875" style="2819"/>
    <col min="11265" max="11265" width="9.5" style="2819" customWidth="1"/>
    <col min="11266" max="11266" width="8.875" style="2819"/>
    <col min="11267" max="11269" width="12.875" style="2819" customWidth="1"/>
    <col min="11270" max="11270" width="47.5" style="2819" customWidth="1"/>
    <col min="11271" max="11271" width="13" style="2819" customWidth="1"/>
    <col min="11272" max="11273" width="8.875" style="2819"/>
    <col min="11274" max="11274" width="5.75" style="2819" customWidth="1"/>
    <col min="11275" max="11275" width="11.75" style="2819" customWidth="1"/>
    <col min="11276" max="11277" width="10.75" style="2819" customWidth="1"/>
    <col min="11278" max="11278" width="10" style="2819" customWidth="1"/>
    <col min="11279" max="11280" width="10.5" style="2819" bestFit="1" customWidth="1"/>
    <col min="11281" max="11281" width="10" style="2819" customWidth="1"/>
    <col min="11282" max="11282" width="10.125" style="2819" customWidth="1"/>
    <col min="11283" max="11283" width="10" style="2819" customWidth="1"/>
    <col min="11284" max="11284" width="26.125" style="2819" customWidth="1"/>
    <col min="11285" max="11520" width="8.875" style="2819"/>
    <col min="11521" max="11521" width="9.5" style="2819" customWidth="1"/>
    <col min="11522" max="11522" width="8.875" style="2819"/>
    <col min="11523" max="11525" width="12.875" style="2819" customWidth="1"/>
    <col min="11526" max="11526" width="47.5" style="2819" customWidth="1"/>
    <col min="11527" max="11527" width="13" style="2819" customWidth="1"/>
    <col min="11528" max="11529" width="8.875" style="2819"/>
    <col min="11530" max="11530" width="5.75" style="2819" customWidth="1"/>
    <col min="11531" max="11531" width="11.75" style="2819" customWidth="1"/>
    <col min="11532" max="11533" width="10.75" style="2819" customWidth="1"/>
    <col min="11534" max="11534" width="10" style="2819" customWidth="1"/>
    <col min="11535" max="11536" width="10.5" style="2819" bestFit="1" customWidth="1"/>
    <col min="11537" max="11537" width="10" style="2819" customWidth="1"/>
    <col min="11538" max="11538" width="10.125" style="2819" customWidth="1"/>
    <col min="11539" max="11539" width="10" style="2819" customWidth="1"/>
    <col min="11540" max="11540" width="26.125" style="2819" customWidth="1"/>
    <col min="11541" max="11776" width="8.875" style="2819"/>
    <col min="11777" max="11777" width="9.5" style="2819" customWidth="1"/>
    <col min="11778" max="11778" width="8.875" style="2819"/>
    <col min="11779" max="11781" width="12.875" style="2819" customWidth="1"/>
    <col min="11782" max="11782" width="47.5" style="2819" customWidth="1"/>
    <col min="11783" max="11783" width="13" style="2819" customWidth="1"/>
    <col min="11784" max="11785" width="8.875" style="2819"/>
    <col min="11786" max="11786" width="5.75" style="2819" customWidth="1"/>
    <col min="11787" max="11787" width="11.75" style="2819" customWidth="1"/>
    <col min="11788" max="11789" width="10.75" style="2819" customWidth="1"/>
    <col min="11790" max="11790" width="10" style="2819" customWidth="1"/>
    <col min="11791" max="11792" width="10.5" style="2819" bestFit="1" customWidth="1"/>
    <col min="11793" max="11793" width="10" style="2819" customWidth="1"/>
    <col min="11794" max="11794" width="10.125" style="2819" customWidth="1"/>
    <col min="11795" max="11795" width="10" style="2819" customWidth="1"/>
    <col min="11796" max="11796" width="26.125" style="2819" customWidth="1"/>
    <col min="11797" max="12032" width="8.875" style="2819"/>
    <col min="12033" max="12033" width="9.5" style="2819" customWidth="1"/>
    <col min="12034" max="12034" width="8.875" style="2819"/>
    <col min="12035" max="12037" width="12.875" style="2819" customWidth="1"/>
    <col min="12038" max="12038" width="47.5" style="2819" customWidth="1"/>
    <col min="12039" max="12039" width="13" style="2819" customWidth="1"/>
    <col min="12040" max="12041" width="8.875" style="2819"/>
    <col min="12042" max="12042" width="5.75" style="2819" customWidth="1"/>
    <col min="12043" max="12043" width="11.75" style="2819" customWidth="1"/>
    <col min="12044" max="12045" width="10.75" style="2819" customWidth="1"/>
    <col min="12046" max="12046" width="10" style="2819" customWidth="1"/>
    <col min="12047" max="12048" width="10.5" style="2819" bestFit="1" customWidth="1"/>
    <col min="12049" max="12049" width="10" style="2819" customWidth="1"/>
    <col min="12050" max="12050" width="10.125" style="2819" customWidth="1"/>
    <col min="12051" max="12051" width="10" style="2819" customWidth="1"/>
    <col min="12052" max="12052" width="26.125" style="2819" customWidth="1"/>
    <col min="12053" max="12288" width="8.875" style="2819"/>
    <col min="12289" max="12289" width="9.5" style="2819" customWidth="1"/>
    <col min="12290" max="12290" width="8.875" style="2819"/>
    <col min="12291" max="12293" width="12.875" style="2819" customWidth="1"/>
    <col min="12294" max="12294" width="47.5" style="2819" customWidth="1"/>
    <col min="12295" max="12295" width="13" style="2819" customWidth="1"/>
    <col min="12296" max="12297" width="8.875" style="2819"/>
    <col min="12298" max="12298" width="5.75" style="2819" customWidth="1"/>
    <col min="12299" max="12299" width="11.75" style="2819" customWidth="1"/>
    <col min="12300" max="12301" width="10.75" style="2819" customWidth="1"/>
    <col min="12302" max="12302" width="10" style="2819" customWidth="1"/>
    <col min="12303" max="12304" width="10.5" style="2819" bestFit="1" customWidth="1"/>
    <col min="12305" max="12305" width="10" style="2819" customWidth="1"/>
    <col min="12306" max="12306" width="10.125" style="2819" customWidth="1"/>
    <col min="12307" max="12307" width="10" style="2819" customWidth="1"/>
    <col min="12308" max="12308" width="26.125" style="2819" customWidth="1"/>
    <col min="12309" max="12544" width="8.875" style="2819"/>
    <col min="12545" max="12545" width="9.5" style="2819" customWidth="1"/>
    <col min="12546" max="12546" width="8.875" style="2819"/>
    <col min="12547" max="12549" width="12.875" style="2819" customWidth="1"/>
    <col min="12550" max="12550" width="47.5" style="2819" customWidth="1"/>
    <col min="12551" max="12551" width="13" style="2819" customWidth="1"/>
    <col min="12552" max="12553" width="8.875" style="2819"/>
    <col min="12554" max="12554" width="5.75" style="2819" customWidth="1"/>
    <col min="12555" max="12555" width="11.75" style="2819" customWidth="1"/>
    <col min="12556" max="12557" width="10.75" style="2819" customWidth="1"/>
    <col min="12558" max="12558" width="10" style="2819" customWidth="1"/>
    <col min="12559" max="12560" width="10.5" style="2819" bestFit="1" customWidth="1"/>
    <col min="12561" max="12561" width="10" style="2819" customWidth="1"/>
    <col min="12562" max="12562" width="10.125" style="2819" customWidth="1"/>
    <col min="12563" max="12563" width="10" style="2819" customWidth="1"/>
    <col min="12564" max="12564" width="26.125" style="2819" customWidth="1"/>
    <col min="12565" max="12800" width="8.875" style="2819"/>
    <col min="12801" max="12801" width="9.5" style="2819" customWidth="1"/>
    <col min="12802" max="12802" width="8.875" style="2819"/>
    <col min="12803" max="12805" width="12.875" style="2819" customWidth="1"/>
    <col min="12806" max="12806" width="47.5" style="2819" customWidth="1"/>
    <col min="12807" max="12807" width="13" style="2819" customWidth="1"/>
    <col min="12808" max="12809" width="8.875" style="2819"/>
    <col min="12810" max="12810" width="5.75" style="2819" customWidth="1"/>
    <col min="12811" max="12811" width="11.75" style="2819" customWidth="1"/>
    <col min="12812" max="12813" width="10.75" style="2819" customWidth="1"/>
    <col min="12814" max="12814" width="10" style="2819" customWidth="1"/>
    <col min="12815" max="12816" width="10.5" style="2819" bestFit="1" customWidth="1"/>
    <col min="12817" max="12817" width="10" style="2819" customWidth="1"/>
    <col min="12818" max="12818" width="10.125" style="2819" customWidth="1"/>
    <col min="12819" max="12819" width="10" style="2819" customWidth="1"/>
    <col min="12820" max="12820" width="26.125" style="2819" customWidth="1"/>
    <col min="12821" max="13056" width="8.875" style="2819"/>
    <col min="13057" max="13057" width="9.5" style="2819" customWidth="1"/>
    <col min="13058" max="13058" width="8.875" style="2819"/>
    <col min="13059" max="13061" width="12.875" style="2819" customWidth="1"/>
    <col min="13062" max="13062" width="47.5" style="2819" customWidth="1"/>
    <col min="13063" max="13063" width="13" style="2819" customWidth="1"/>
    <col min="13064" max="13065" width="8.875" style="2819"/>
    <col min="13066" max="13066" width="5.75" style="2819" customWidth="1"/>
    <col min="13067" max="13067" width="11.75" style="2819" customWidth="1"/>
    <col min="13068" max="13069" width="10.75" style="2819" customWidth="1"/>
    <col min="13070" max="13070" width="10" style="2819" customWidth="1"/>
    <col min="13071" max="13072" width="10.5" style="2819" bestFit="1" customWidth="1"/>
    <col min="13073" max="13073" width="10" style="2819" customWidth="1"/>
    <col min="13074" max="13074" width="10.125" style="2819" customWidth="1"/>
    <col min="13075" max="13075" width="10" style="2819" customWidth="1"/>
    <col min="13076" max="13076" width="26.125" style="2819" customWidth="1"/>
    <col min="13077" max="13312" width="8.875" style="2819"/>
    <col min="13313" max="13313" width="9.5" style="2819" customWidth="1"/>
    <col min="13314" max="13314" width="8.875" style="2819"/>
    <col min="13315" max="13317" width="12.875" style="2819" customWidth="1"/>
    <col min="13318" max="13318" width="47.5" style="2819" customWidth="1"/>
    <col min="13319" max="13319" width="13" style="2819" customWidth="1"/>
    <col min="13320" max="13321" width="8.875" style="2819"/>
    <col min="13322" max="13322" width="5.75" style="2819" customWidth="1"/>
    <col min="13323" max="13323" width="11.75" style="2819" customWidth="1"/>
    <col min="13324" max="13325" width="10.75" style="2819" customWidth="1"/>
    <col min="13326" max="13326" width="10" style="2819" customWidth="1"/>
    <col min="13327" max="13328" width="10.5" style="2819" bestFit="1" customWidth="1"/>
    <col min="13329" max="13329" width="10" style="2819" customWidth="1"/>
    <col min="13330" max="13330" width="10.125" style="2819" customWidth="1"/>
    <col min="13331" max="13331" width="10" style="2819" customWidth="1"/>
    <col min="13332" max="13332" width="26.125" style="2819" customWidth="1"/>
    <col min="13333" max="13568" width="8.875" style="2819"/>
    <col min="13569" max="13569" width="9.5" style="2819" customWidth="1"/>
    <col min="13570" max="13570" width="8.875" style="2819"/>
    <col min="13571" max="13573" width="12.875" style="2819" customWidth="1"/>
    <col min="13574" max="13574" width="47.5" style="2819" customWidth="1"/>
    <col min="13575" max="13575" width="13" style="2819" customWidth="1"/>
    <col min="13576" max="13577" width="8.875" style="2819"/>
    <col min="13578" max="13578" width="5.75" style="2819" customWidth="1"/>
    <col min="13579" max="13579" width="11.75" style="2819" customWidth="1"/>
    <col min="13580" max="13581" width="10.75" style="2819" customWidth="1"/>
    <col min="13582" max="13582" width="10" style="2819" customWidth="1"/>
    <col min="13583" max="13584" width="10.5" style="2819" bestFit="1" customWidth="1"/>
    <col min="13585" max="13585" width="10" style="2819" customWidth="1"/>
    <col min="13586" max="13586" width="10.125" style="2819" customWidth="1"/>
    <col min="13587" max="13587" width="10" style="2819" customWidth="1"/>
    <col min="13588" max="13588" width="26.125" style="2819" customWidth="1"/>
    <col min="13589" max="13824" width="8.875" style="2819"/>
    <col min="13825" max="13825" width="9.5" style="2819" customWidth="1"/>
    <col min="13826" max="13826" width="8.875" style="2819"/>
    <col min="13827" max="13829" width="12.875" style="2819" customWidth="1"/>
    <col min="13830" max="13830" width="47.5" style="2819" customWidth="1"/>
    <col min="13831" max="13831" width="13" style="2819" customWidth="1"/>
    <col min="13832" max="13833" width="8.875" style="2819"/>
    <col min="13834" max="13834" width="5.75" style="2819" customWidth="1"/>
    <col min="13835" max="13835" width="11.75" style="2819" customWidth="1"/>
    <col min="13836" max="13837" width="10.75" style="2819" customWidth="1"/>
    <col min="13838" max="13838" width="10" style="2819" customWidth="1"/>
    <col min="13839" max="13840" width="10.5" style="2819" bestFit="1" customWidth="1"/>
    <col min="13841" max="13841" width="10" style="2819" customWidth="1"/>
    <col min="13842" max="13842" width="10.125" style="2819" customWidth="1"/>
    <col min="13843" max="13843" width="10" style="2819" customWidth="1"/>
    <col min="13844" max="13844" width="26.125" style="2819" customWidth="1"/>
    <col min="13845" max="14080" width="8.875" style="2819"/>
    <col min="14081" max="14081" width="9.5" style="2819" customWidth="1"/>
    <col min="14082" max="14082" width="8.875" style="2819"/>
    <col min="14083" max="14085" width="12.875" style="2819" customWidth="1"/>
    <col min="14086" max="14086" width="47.5" style="2819" customWidth="1"/>
    <col min="14087" max="14087" width="13" style="2819" customWidth="1"/>
    <col min="14088" max="14089" width="8.875" style="2819"/>
    <col min="14090" max="14090" width="5.75" style="2819" customWidth="1"/>
    <col min="14091" max="14091" width="11.75" style="2819" customWidth="1"/>
    <col min="14092" max="14093" width="10.75" style="2819" customWidth="1"/>
    <col min="14094" max="14094" width="10" style="2819" customWidth="1"/>
    <col min="14095" max="14096" width="10.5" style="2819" bestFit="1" customWidth="1"/>
    <col min="14097" max="14097" width="10" style="2819" customWidth="1"/>
    <col min="14098" max="14098" width="10.125" style="2819" customWidth="1"/>
    <col min="14099" max="14099" width="10" style="2819" customWidth="1"/>
    <col min="14100" max="14100" width="26.125" style="2819" customWidth="1"/>
    <col min="14101" max="14336" width="8.875" style="2819"/>
    <col min="14337" max="14337" width="9.5" style="2819" customWidth="1"/>
    <col min="14338" max="14338" width="8.875" style="2819"/>
    <col min="14339" max="14341" width="12.875" style="2819" customWidth="1"/>
    <col min="14342" max="14342" width="47.5" style="2819" customWidth="1"/>
    <col min="14343" max="14343" width="13" style="2819" customWidth="1"/>
    <col min="14344" max="14345" width="8.875" style="2819"/>
    <col min="14346" max="14346" width="5.75" style="2819" customWidth="1"/>
    <col min="14347" max="14347" width="11.75" style="2819" customWidth="1"/>
    <col min="14348" max="14349" width="10.75" style="2819" customWidth="1"/>
    <col min="14350" max="14350" width="10" style="2819" customWidth="1"/>
    <col min="14351" max="14352" width="10.5" style="2819" bestFit="1" customWidth="1"/>
    <col min="14353" max="14353" width="10" style="2819" customWidth="1"/>
    <col min="14354" max="14354" width="10.125" style="2819" customWidth="1"/>
    <col min="14355" max="14355" width="10" style="2819" customWidth="1"/>
    <col min="14356" max="14356" width="26.125" style="2819" customWidth="1"/>
    <col min="14357" max="14592" width="8.875" style="2819"/>
    <col min="14593" max="14593" width="9.5" style="2819" customWidth="1"/>
    <col min="14594" max="14594" width="8.875" style="2819"/>
    <col min="14595" max="14597" width="12.875" style="2819" customWidth="1"/>
    <col min="14598" max="14598" width="47.5" style="2819" customWidth="1"/>
    <col min="14599" max="14599" width="13" style="2819" customWidth="1"/>
    <col min="14600" max="14601" width="8.875" style="2819"/>
    <col min="14602" max="14602" width="5.75" style="2819" customWidth="1"/>
    <col min="14603" max="14603" width="11.75" style="2819" customWidth="1"/>
    <col min="14604" max="14605" width="10.75" style="2819" customWidth="1"/>
    <col min="14606" max="14606" width="10" style="2819" customWidth="1"/>
    <col min="14607" max="14608" width="10.5" style="2819" bestFit="1" customWidth="1"/>
    <col min="14609" max="14609" width="10" style="2819" customWidth="1"/>
    <col min="14610" max="14610" width="10.125" style="2819" customWidth="1"/>
    <col min="14611" max="14611" width="10" style="2819" customWidth="1"/>
    <col min="14612" max="14612" width="26.125" style="2819" customWidth="1"/>
    <col min="14613" max="14848" width="8.875" style="2819"/>
    <col min="14849" max="14849" width="9.5" style="2819" customWidth="1"/>
    <col min="14850" max="14850" width="8.875" style="2819"/>
    <col min="14851" max="14853" width="12.875" style="2819" customWidth="1"/>
    <col min="14854" max="14854" width="47.5" style="2819" customWidth="1"/>
    <col min="14855" max="14855" width="13" style="2819" customWidth="1"/>
    <col min="14856" max="14857" width="8.875" style="2819"/>
    <col min="14858" max="14858" width="5.75" style="2819" customWidth="1"/>
    <col min="14859" max="14859" width="11.75" style="2819" customWidth="1"/>
    <col min="14860" max="14861" width="10.75" style="2819" customWidth="1"/>
    <col min="14862" max="14862" width="10" style="2819" customWidth="1"/>
    <col min="14863" max="14864" width="10.5" style="2819" bestFit="1" customWidth="1"/>
    <col min="14865" max="14865" width="10" style="2819" customWidth="1"/>
    <col min="14866" max="14866" width="10.125" style="2819" customWidth="1"/>
    <col min="14867" max="14867" width="10" style="2819" customWidth="1"/>
    <col min="14868" max="14868" width="26.125" style="2819" customWidth="1"/>
    <col min="14869" max="15104" width="8.875" style="2819"/>
    <col min="15105" max="15105" width="9.5" style="2819" customWidth="1"/>
    <col min="15106" max="15106" width="8.875" style="2819"/>
    <col min="15107" max="15109" width="12.875" style="2819" customWidth="1"/>
    <col min="15110" max="15110" width="47.5" style="2819" customWidth="1"/>
    <col min="15111" max="15111" width="13" style="2819" customWidth="1"/>
    <col min="15112" max="15113" width="8.875" style="2819"/>
    <col min="15114" max="15114" width="5.75" style="2819" customWidth="1"/>
    <col min="15115" max="15115" width="11.75" style="2819" customWidth="1"/>
    <col min="15116" max="15117" width="10.75" style="2819" customWidth="1"/>
    <col min="15118" max="15118" width="10" style="2819" customWidth="1"/>
    <col min="15119" max="15120" width="10.5" style="2819" bestFit="1" customWidth="1"/>
    <col min="15121" max="15121" width="10" style="2819" customWidth="1"/>
    <col min="15122" max="15122" width="10.125" style="2819" customWidth="1"/>
    <col min="15123" max="15123" width="10" style="2819" customWidth="1"/>
    <col min="15124" max="15124" width="26.125" style="2819" customWidth="1"/>
    <col min="15125" max="15360" width="8.875" style="2819"/>
    <col min="15361" max="15361" width="9.5" style="2819" customWidth="1"/>
    <col min="15362" max="15362" width="8.875" style="2819"/>
    <col min="15363" max="15365" width="12.875" style="2819" customWidth="1"/>
    <col min="15366" max="15366" width="47.5" style="2819" customWidth="1"/>
    <col min="15367" max="15367" width="13" style="2819" customWidth="1"/>
    <col min="15368" max="15369" width="8.875" style="2819"/>
    <col min="15370" max="15370" width="5.75" style="2819" customWidth="1"/>
    <col min="15371" max="15371" width="11.75" style="2819" customWidth="1"/>
    <col min="15372" max="15373" width="10.75" style="2819" customWidth="1"/>
    <col min="15374" max="15374" width="10" style="2819" customWidth="1"/>
    <col min="15375" max="15376" width="10.5" style="2819" bestFit="1" customWidth="1"/>
    <col min="15377" max="15377" width="10" style="2819" customWidth="1"/>
    <col min="15378" max="15378" width="10.125" style="2819" customWidth="1"/>
    <col min="15379" max="15379" width="10" style="2819" customWidth="1"/>
    <col min="15380" max="15380" width="26.125" style="2819" customWidth="1"/>
    <col min="15381" max="15616" width="8.875" style="2819"/>
    <col min="15617" max="15617" width="9.5" style="2819" customWidth="1"/>
    <col min="15618" max="15618" width="8.875" style="2819"/>
    <col min="15619" max="15621" width="12.875" style="2819" customWidth="1"/>
    <col min="15622" max="15622" width="47.5" style="2819" customWidth="1"/>
    <col min="15623" max="15623" width="13" style="2819" customWidth="1"/>
    <col min="15624" max="15625" width="8.875" style="2819"/>
    <col min="15626" max="15626" width="5.75" style="2819" customWidth="1"/>
    <col min="15627" max="15627" width="11.75" style="2819" customWidth="1"/>
    <col min="15628" max="15629" width="10.75" style="2819" customWidth="1"/>
    <col min="15630" max="15630" width="10" style="2819" customWidth="1"/>
    <col min="15631" max="15632" width="10.5" style="2819" bestFit="1" customWidth="1"/>
    <col min="15633" max="15633" width="10" style="2819" customWidth="1"/>
    <col min="15634" max="15634" width="10.125" style="2819" customWidth="1"/>
    <col min="15635" max="15635" width="10" style="2819" customWidth="1"/>
    <col min="15636" max="15636" width="26.125" style="2819" customWidth="1"/>
    <col min="15637" max="15872" width="8.875" style="2819"/>
    <col min="15873" max="15873" width="9.5" style="2819" customWidth="1"/>
    <col min="15874" max="15874" width="8.875" style="2819"/>
    <col min="15875" max="15877" width="12.875" style="2819" customWidth="1"/>
    <col min="15878" max="15878" width="47.5" style="2819" customWidth="1"/>
    <col min="15879" max="15879" width="13" style="2819" customWidth="1"/>
    <col min="15880" max="15881" width="8.875" style="2819"/>
    <col min="15882" max="15882" width="5.75" style="2819" customWidth="1"/>
    <col min="15883" max="15883" width="11.75" style="2819" customWidth="1"/>
    <col min="15884" max="15885" width="10.75" style="2819" customWidth="1"/>
    <col min="15886" max="15886" width="10" style="2819" customWidth="1"/>
    <col min="15887" max="15888" width="10.5" style="2819" bestFit="1" customWidth="1"/>
    <col min="15889" max="15889" width="10" style="2819" customWidth="1"/>
    <col min="15890" max="15890" width="10.125" style="2819" customWidth="1"/>
    <col min="15891" max="15891" width="10" style="2819" customWidth="1"/>
    <col min="15892" max="15892" width="26.125" style="2819" customWidth="1"/>
    <col min="15893" max="16128" width="8.875" style="2819"/>
    <col min="16129" max="16129" width="9.5" style="2819" customWidth="1"/>
    <col min="16130" max="16130" width="8.875" style="2819"/>
    <col min="16131" max="16133" width="12.875" style="2819" customWidth="1"/>
    <col min="16134" max="16134" width="47.5" style="2819" customWidth="1"/>
    <col min="16135" max="16135" width="13" style="2819" customWidth="1"/>
    <col min="16136" max="16137" width="8.875" style="2819"/>
    <col min="16138" max="16138" width="5.75" style="2819" customWidth="1"/>
    <col min="16139" max="16139" width="11.75" style="2819" customWidth="1"/>
    <col min="16140" max="16141" width="10.75" style="2819" customWidth="1"/>
    <col min="16142" max="16142" width="10" style="2819" customWidth="1"/>
    <col min="16143" max="16144" width="10.5" style="2819" bestFit="1" customWidth="1"/>
    <col min="16145" max="16145" width="10" style="2819" customWidth="1"/>
    <col min="16146" max="16146" width="10.125" style="2819" customWidth="1"/>
    <col min="16147" max="16147" width="10" style="2819" customWidth="1"/>
    <col min="16148" max="16148" width="26.125" style="2819" customWidth="1"/>
    <col min="16149" max="16384" width="8.875" style="2819"/>
  </cols>
  <sheetData>
    <row r="1" spans="1:22" ht="21" customHeight="1">
      <c r="A1" s="2808" t="s">
        <v>2419</v>
      </c>
      <c r="B1" s="2809"/>
      <c r="C1" s="2821"/>
      <c r="D1" s="2821"/>
      <c r="E1" s="2810"/>
      <c r="F1" s="2811"/>
      <c r="G1" s="2812"/>
      <c r="J1" s="2815" t="s">
        <v>2298</v>
      </c>
      <c r="K1" s="2816"/>
      <c r="L1" s="2816"/>
      <c r="M1" s="2816"/>
      <c r="N1" s="2816"/>
      <c r="O1" s="2816"/>
      <c r="P1" s="2816"/>
      <c r="Q1" s="2816"/>
      <c r="R1" s="2817"/>
      <c r="S1" s="2818"/>
      <c r="T1" s="2818"/>
      <c r="U1" s="2818"/>
    </row>
    <row r="2" spans="1:22" s="2830" customFormat="1" ht="13.15" customHeight="1">
      <c r="A2" s="1385" t="s">
        <v>2299</v>
      </c>
      <c r="B2" s="2820" t="e">
        <f>IF(D2="——",C40,C40+E2)</f>
        <v>#DIV/0!</v>
      </c>
      <c r="C2" s="2821" t="s">
        <v>2300</v>
      </c>
      <c r="D2" s="3420" t="s">
        <v>3343</v>
      </c>
      <c r="E2" s="3421"/>
      <c r="F2" s="2823"/>
      <c r="G2" s="2824"/>
      <c r="H2" s="2825"/>
      <c r="I2" s="2826"/>
      <c r="J2" s="3891" t="s">
        <v>2301</v>
      </c>
      <c r="K2" s="3892"/>
      <c r="L2" s="2827" t="s">
        <v>2302</v>
      </c>
      <c r="M2" s="2827" t="s">
        <v>2303</v>
      </c>
      <c r="N2" s="2827" t="s">
        <v>2304</v>
      </c>
      <c r="O2" s="2827" t="s">
        <v>2305</v>
      </c>
      <c r="P2" s="2827" t="s">
        <v>2306</v>
      </c>
      <c r="Q2" s="2828" t="s">
        <v>2307</v>
      </c>
      <c r="R2" s="2829" t="s">
        <v>2308</v>
      </c>
      <c r="S2" s="2818"/>
      <c r="T2" s="2818"/>
      <c r="U2" s="2818"/>
      <c r="V2" s="2826"/>
    </row>
    <row r="3" spans="1:22" s="2830" customFormat="1" ht="13.15" customHeight="1">
      <c r="A3" s="2831" t="s">
        <v>2309</v>
      </c>
      <c r="B3" s="2832" t="e">
        <f>ROUND(B2*10000/B4,0)</f>
        <v>#DIV/0!</v>
      </c>
      <c r="C3" s="2821" t="s">
        <v>2310</v>
      </c>
      <c r="D3" s="2821"/>
      <c r="E3" s="2822"/>
      <c r="F3" s="2823"/>
      <c r="G3" s="2824"/>
      <c r="H3" s="2825"/>
      <c r="I3" s="2826"/>
      <c r="J3" s="3893" t="s">
        <v>2311</v>
      </c>
      <c r="K3" s="3894"/>
      <c r="L3" s="2833"/>
      <c r="M3" s="2833"/>
      <c r="N3" s="2833"/>
      <c r="O3" s="2833"/>
      <c r="P3" s="2833"/>
      <c r="Q3" s="2834"/>
      <c r="R3" s="2835">
        <f>SUM(L3:Q3)</f>
        <v>0</v>
      </c>
      <c r="S3" s="2818"/>
      <c r="T3" s="2818"/>
      <c r="U3" s="2818"/>
      <c r="V3" s="2826"/>
    </row>
    <row r="4" spans="1:22" s="2830" customFormat="1" ht="13.15" customHeight="1">
      <c r="A4" s="2836" t="s">
        <v>2312</v>
      </c>
      <c r="B4" s="2837"/>
      <c r="C4" s="2821"/>
      <c r="D4" s="2821"/>
      <c r="E4" s="2822"/>
      <c r="F4" s="2823"/>
      <c r="G4" s="2824"/>
      <c r="H4" s="2825"/>
      <c r="I4" s="2826"/>
      <c r="J4" s="3893" t="s">
        <v>2313</v>
      </c>
      <c r="K4" s="3894"/>
      <c r="L4" s="2838"/>
      <c r="M4" s="2838"/>
      <c r="N4" s="2838"/>
      <c r="O4" s="2838"/>
      <c r="P4" s="2838"/>
      <c r="Q4" s="2839"/>
      <c r="R4" s="2840">
        <f>SUM(L4:Q4)</f>
        <v>0</v>
      </c>
      <c r="S4" s="2818"/>
      <c r="T4" s="2818"/>
      <c r="U4" s="2818"/>
      <c r="V4" s="2826"/>
    </row>
    <row r="5" spans="1:22" s="2830" customFormat="1" ht="13.15" customHeight="1" thickBot="1">
      <c r="A5" s="2841" t="s">
        <v>2314</v>
      </c>
      <c r="B5" s="2842"/>
      <c r="C5" s="2821"/>
      <c r="D5" s="2843"/>
      <c r="E5" s="2823"/>
      <c r="F5" s="2823"/>
      <c r="G5" s="2824"/>
      <c r="H5" s="2825"/>
      <c r="I5" s="2826"/>
      <c r="J5" s="2844" t="s">
        <v>2315</v>
      </c>
      <c r="K5" s="2845"/>
      <c r="L5" s="2845"/>
      <c r="M5" s="2846"/>
      <c r="N5" s="2846"/>
      <c r="O5" s="2846"/>
      <c r="P5" s="2846"/>
      <c r="Q5" s="2846"/>
      <c r="R5" s="2829">
        <f>SUM(R14,R19,R24,R25,R27,R28)</f>
        <v>0</v>
      </c>
      <c r="S5" s="2818"/>
      <c r="T5" s="2818" t="s">
        <v>2316</v>
      </c>
      <c r="U5" s="2818" t="e">
        <f>ROUND(R5*10000/365/R3,1)</f>
        <v>#DIV/0!</v>
      </c>
      <c r="V5" s="2826"/>
    </row>
    <row r="6" spans="1:22" s="2830" customFormat="1" ht="13.15" customHeight="1" thickBot="1">
      <c r="A6" s="3899" t="s">
        <v>2317</v>
      </c>
      <c r="B6" s="3900"/>
      <c r="C6" s="3901"/>
      <c r="D6" s="2847"/>
      <c r="E6" s="2848"/>
      <c r="F6" s="2849"/>
      <c r="G6" s="2850"/>
      <c r="H6" s="2825"/>
      <c r="I6" s="2826"/>
      <c r="J6" s="3885">
        <v>1</v>
      </c>
      <c r="K6" s="3886" t="s">
        <v>2318</v>
      </c>
      <c r="L6" s="2851" t="s">
        <v>2319</v>
      </c>
      <c r="M6" s="2852" t="s">
        <v>2320</v>
      </c>
      <c r="N6" s="2852" t="s">
        <v>2321</v>
      </c>
      <c r="O6" s="2852" t="s">
        <v>2322</v>
      </c>
      <c r="P6" s="2852" t="s">
        <v>2323</v>
      </c>
      <c r="Q6" s="2852" t="s">
        <v>2324</v>
      </c>
      <c r="R6" s="2835" t="s">
        <v>2325</v>
      </c>
      <c r="S6" s="2818"/>
      <c r="T6" s="2818" t="s">
        <v>2326</v>
      </c>
      <c r="U6" s="2818"/>
      <c r="V6" s="2826"/>
    </row>
    <row r="7" spans="1:22" s="2830" customFormat="1" ht="13.15" customHeight="1">
      <c r="A7" s="2853" t="s">
        <v>2327</v>
      </c>
      <c r="B7" s="2854"/>
      <c r="C7" s="2855"/>
      <c r="D7" s="2856">
        <f>SUM(D9,D10,D11,D17,0)</f>
        <v>0</v>
      </c>
      <c r="E7" s="2857" t="e">
        <f>E9+E10+E11+E17</f>
        <v>#DIV/0!</v>
      </c>
      <c r="F7" s="2858"/>
      <c r="G7" s="2859"/>
      <c r="H7" s="2825"/>
      <c r="I7" s="2826"/>
      <c r="J7" s="3885"/>
      <c r="K7" s="3887"/>
      <c r="L7" s="2860" t="s">
        <v>2328</v>
      </c>
      <c r="M7" s="2861"/>
      <c r="N7" s="2837"/>
      <c r="O7" s="2862"/>
      <c r="P7" s="2862"/>
      <c r="Q7" s="2863">
        <v>365</v>
      </c>
      <c r="R7" s="2864">
        <f>ROUND(M7*N7*O7*P7*Q7/10000,0)</f>
        <v>0</v>
      </c>
      <c r="S7" s="2818"/>
      <c r="T7" s="2818" t="s">
        <v>2329</v>
      </c>
      <c r="U7" s="2818"/>
      <c r="V7" s="2826"/>
    </row>
    <row r="8" spans="1:22" s="2830" customFormat="1" ht="13.15" customHeight="1">
      <c r="A8" s="2865" t="s">
        <v>2330</v>
      </c>
      <c r="B8" s="3902" t="s">
        <v>2331</v>
      </c>
      <c r="C8" s="3903"/>
      <c r="D8" s="2866" t="s">
        <v>2332</v>
      </c>
      <c r="E8" s="2867" t="s">
        <v>2333</v>
      </c>
      <c r="F8" s="2868" t="s">
        <v>2334</v>
      </c>
      <c r="G8" s="2869"/>
      <c r="H8" s="2825"/>
      <c r="I8" s="2826"/>
      <c r="J8" s="3885"/>
      <c r="K8" s="3887"/>
      <c r="L8" s="2860" t="s">
        <v>2335</v>
      </c>
      <c r="M8" s="2861"/>
      <c r="N8" s="2837"/>
      <c r="O8" s="2862"/>
      <c r="P8" s="2862"/>
      <c r="Q8" s="2863">
        <v>365</v>
      </c>
      <c r="R8" s="2864">
        <f t="shared" ref="R8:R13" si="0">ROUND(M8*N8*O8*P8*Q8/10000,0)</f>
        <v>0</v>
      </c>
      <c r="S8" s="2818"/>
      <c r="T8" s="2818" t="s">
        <v>2336</v>
      </c>
      <c r="U8" s="2818"/>
      <c r="V8" s="2826"/>
    </row>
    <row r="9" spans="1:22" s="2830" customFormat="1" ht="13.15" customHeight="1">
      <c r="A9" s="2865">
        <v>1</v>
      </c>
      <c r="B9" s="3902" t="s">
        <v>2337</v>
      </c>
      <c r="C9" s="3903"/>
      <c r="D9" s="2866">
        <f>ROUND(D6*E9,0)</f>
        <v>0</v>
      </c>
      <c r="E9" s="2870"/>
      <c r="F9" s="2871" t="s">
        <v>2338</v>
      </c>
      <c r="G9" s="2850"/>
      <c r="H9" s="2825"/>
      <c r="I9" s="2826"/>
      <c r="J9" s="3885"/>
      <c r="K9" s="3887"/>
      <c r="L9" s="2860" t="s">
        <v>2339</v>
      </c>
      <c r="M9" s="2861"/>
      <c r="N9" s="2837"/>
      <c r="O9" s="2862"/>
      <c r="P9" s="2862"/>
      <c r="Q9" s="2863">
        <v>365</v>
      </c>
      <c r="R9" s="2864">
        <f t="shared" si="0"/>
        <v>0</v>
      </c>
      <c r="S9" s="2818"/>
      <c r="T9" s="2818"/>
      <c r="U9" s="2818"/>
      <c r="V9" s="2826"/>
    </row>
    <row r="10" spans="1:22" s="2830" customFormat="1" ht="13.15" customHeight="1">
      <c r="A10" s="2865">
        <v>2</v>
      </c>
      <c r="B10" s="3902" t="s">
        <v>2340</v>
      </c>
      <c r="C10" s="3903"/>
      <c r="D10" s="2866">
        <f>ROUND(D6*E10,0)</f>
        <v>0</v>
      </c>
      <c r="E10" s="2870"/>
      <c r="F10" s="2871" t="s">
        <v>2341</v>
      </c>
      <c r="G10" s="2850"/>
      <c r="H10" s="2825"/>
      <c r="I10" s="2826"/>
      <c r="J10" s="3885"/>
      <c r="K10" s="3887"/>
      <c r="L10" s="2860" t="s">
        <v>2342</v>
      </c>
      <c r="M10" s="2861"/>
      <c r="N10" s="2837"/>
      <c r="O10" s="2862"/>
      <c r="P10" s="2862"/>
      <c r="Q10" s="2863">
        <v>365</v>
      </c>
      <c r="R10" s="2864">
        <f t="shared" si="0"/>
        <v>0</v>
      </c>
      <c r="S10" s="2818"/>
      <c r="T10" s="2818"/>
      <c r="U10" s="2818"/>
      <c r="V10" s="2826"/>
    </row>
    <row r="11" spans="1:22" s="2830" customFormat="1" ht="13.15" customHeight="1">
      <c r="A11" s="2865">
        <v>3</v>
      </c>
      <c r="B11" s="3902" t="s">
        <v>2343</v>
      </c>
      <c r="C11" s="3903"/>
      <c r="D11" s="2866">
        <f>D12+D14+D15+D16</f>
        <v>0</v>
      </c>
      <c r="E11" s="2872" t="e">
        <f>D11/D6</f>
        <v>#DIV/0!</v>
      </c>
      <c r="F11" s="2868"/>
      <c r="G11" s="2869"/>
      <c r="H11" s="2825"/>
      <c r="I11" s="2826"/>
      <c r="J11" s="3885"/>
      <c r="K11" s="3887"/>
      <c r="L11" s="2860" t="s">
        <v>2344</v>
      </c>
      <c r="M11" s="2861"/>
      <c r="N11" s="2837"/>
      <c r="O11" s="2862"/>
      <c r="P11" s="2862"/>
      <c r="Q11" s="2863">
        <v>365</v>
      </c>
      <c r="R11" s="2864">
        <f t="shared" si="0"/>
        <v>0</v>
      </c>
      <c r="S11" s="2818"/>
      <c r="T11" s="2818"/>
      <c r="U11" s="2818"/>
      <c r="V11" s="2826"/>
    </row>
    <row r="12" spans="1:22" s="2830" customFormat="1" ht="13.15" customHeight="1">
      <c r="A12" s="2873" t="s">
        <v>2345</v>
      </c>
      <c r="B12" s="3895" t="s">
        <v>2346</v>
      </c>
      <c r="C12" s="3896"/>
      <c r="D12" s="2874">
        <f>ROUND(D13*1.2%*(1-30%),0)</f>
        <v>0</v>
      </c>
      <c r="E12" s="2875">
        <v>1.2E-2</v>
      </c>
      <c r="F12" s="2868" t="s">
        <v>2347</v>
      </c>
      <c r="G12" s="2869"/>
      <c r="H12" s="2825"/>
      <c r="I12" s="2826"/>
      <c r="J12" s="3885"/>
      <c r="K12" s="3887"/>
      <c r="L12" s="2860" t="s">
        <v>2348</v>
      </c>
      <c r="M12" s="2861"/>
      <c r="N12" s="2837"/>
      <c r="O12" s="2862"/>
      <c r="P12" s="2862"/>
      <c r="Q12" s="2863">
        <v>365</v>
      </c>
      <c r="R12" s="2864">
        <f t="shared" si="0"/>
        <v>0</v>
      </c>
      <c r="S12" s="2818"/>
      <c r="T12" s="2818"/>
      <c r="U12" s="2818"/>
      <c r="V12" s="2826"/>
    </row>
    <row r="13" spans="1:22" s="2830" customFormat="1" ht="13.15" customHeight="1">
      <c r="A13" s="2873"/>
      <c r="B13" s="2876"/>
      <c r="C13" s="2877" t="s">
        <v>2349</v>
      </c>
      <c r="D13" s="2878"/>
      <c r="E13" s="2879"/>
      <c r="F13" s="2868"/>
      <c r="G13" s="2869"/>
      <c r="H13" s="2825"/>
      <c r="I13" s="2826"/>
      <c r="J13" s="3885"/>
      <c r="K13" s="3887"/>
      <c r="L13" s="2860" t="s">
        <v>2350</v>
      </c>
      <c r="M13" s="2861"/>
      <c r="N13" s="2837"/>
      <c r="O13" s="2862"/>
      <c r="P13" s="2862"/>
      <c r="Q13" s="2863">
        <v>365</v>
      </c>
      <c r="R13" s="2864">
        <f t="shared" si="0"/>
        <v>0</v>
      </c>
      <c r="S13" s="2818"/>
      <c r="T13" s="2818"/>
      <c r="U13" s="2818"/>
      <c r="V13" s="2826"/>
    </row>
    <row r="14" spans="1:22" s="2830" customFormat="1" ht="13.15" customHeight="1">
      <c r="A14" s="2873" t="s">
        <v>2351</v>
      </c>
      <c r="B14" s="3895" t="s">
        <v>2352</v>
      </c>
      <c r="C14" s="3896"/>
      <c r="D14" s="2874">
        <f>ROUND(E14*B5/10000,0)</f>
        <v>0</v>
      </c>
      <c r="E14" s="2863"/>
      <c r="F14" s="2868" t="s">
        <v>2353</v>
      </c>
      <c r="G14" s="2869"/>
      <c r="H14" s="2825"/>
      <c r="I14" s="2826"/>
      <c r="J14" s="3885"/>
      <c r="K14" s="3888"/>
      <c r="L14" s="2880" t="s">
        <v>2354</v>
      </c>
      <c r="M14" s="2881">
        <f>SUM(M7:M13)</f>
        <v>0</v>
      </c>
      <c r="N14" s="2881" t="e">
        <f>ROUND((N7*M7+N8*M8+N9*M9+N10*M10+N11*M11+N12*M12+N13*M13)/M14,0)</f>
        <v>#DIV/0!</v>
      </c>
      <c r="O14" s="2882"/>
      <c r="P14" s="2882"/>
      <c r="Q14" s="2883"/>
      <c r="R14" s="2829">
        <f>SUM(R7:R13)</f>
        <v>0</v>
      </c>
      <c r="S14" s="2818"/>
      <c r="T14" s="2818"/>
      <c r="U14" s="2818"/>
      <c r="V14" s="2826"/>
    </row>
    <row r="15" spans="1:22" s="2830" customFormat="1" ht="13.15" customHeight="1">
      <c r="A15" s="2873" t="s">
        <v>2355</v>
      </c>
      <c r="B15" s="3895" t="s">
        <v>2356</v>
      </c>
      <c r="C15" s="3896"/>
      <c r="D15" s="2874">
        <f>ROUND(D6*E15,0)</f>
        <v>0</v>
      </c>
      <c r="E15" s="2875">
        <v>5.5E-2</v>
      </c>
      <c r="F15" s="2868" t="s">
        <v>2357</v>
      </c>
      <c r="G15" s="2850"/>
      <c r="H15" s="2825"/>
      <c r="I15" s="2826"/>
      <c r="J15" s="3885">
        <v>2</v>
      </c>
      <c r="K15" s="3886" t="s">
        <v>2358</v>
      </c>
      <c r="L15" s="2860" t="s">
        <v>2359</v>
      </c>
      <c r="M15" s="2861" t="s">
        <v>2360</v>
      </c>
      <c r="N15" s="2861" t="s">
        <v>2361</v>
      </c>
      <c r="O15" s="2862" t="s">
        <v>2362</v>
      </c>
      <c r="P15" s="2862" t="s">
        <v>2324</v>
      </c>
      <c r="Q15" s="2837" t="s">
        <v>2363</v>
      </c>
      <c r="R15" s="2884" t="s">
        <v>2325</v>
      </c>
      <c r="S15" s="2818"/>
      <c r="T15" s="2818"/>
      <c r="U15" s="2818"/>
      <c r="V15" s="2826"/>
    </row>
    <row r="16" spans="1:22" s="2830" customFormat="1" ht="13.15" customHeight="1">
      <c r="A16" s="2873" t="s">
        <v>2364</v>
      </c>
      <c r="B16" s="3895" t="s">
        <v>2365</v>
      </c>
      <c r="C16" s="3896"/>
      <c r="D16" s="2885">
        <f>D6*E16</f>
        <v>0</v>
      </c>
      <c r="E16" s="2886"/>
      <c r="F16" s="2871" t="s">
        <v>2366</v>
      </c>
      <c r="G16" s="2850"/>
      <c r="H16" s="2825"/>
      <c r="I16" s="2826"/>
      <c r="J16" s="3885"/>
      <c r="K16" s="3887"/>
      <c r="L16" s="2860" t="s">
        <v>2367</v>
      </c>
      <c r="M16" s="2861"/>
      <c r="N16" s="2861"/>
      <c r="O16" s="2862"/>
      <c r="P16" s="2863">
        <v>365</v>
      </c>
      <c r="Q16" s="2837"/>
      <c r="R16" s="2884">
        <f>ROUND(M16*N16*O16*P16/10000,0)</f>
        <v>0</v>
      </c>
      <c r="S16" s="2818"/>
      <c r="T16" s="2818"/>
      <c r="U16" s="2818"/>
      <c r="V16" s="2826"/>
    </row>
    <row r="17" spans="1:22" s="2830" customFormat="1" ht="13.15" customHeight="1" thickBot="1">
      <c r="A17" s="2887">
        <v>4</v>
      </c>
      <c r="B17" s="3897" t="s">
        <v>2368</v>
      </c>
      <c r="C17" s="3898"/>
      <c r="D17" s="2888">
        <f>ROUND(D6*E17,0)</f>
        <v>0</v>
      </c>
      <c r="E17" s="2889"/>
      <c r="F17" s="2890" t="s">
        <v>2369</v>
      </c>
      <c r="G17" s="2850"/>
      <c r="H17" s="2825"/>
      <c r="I17" s="2826"/>
      <c r="J17" s="3885"/>
      <c r="K17" s="3887"/>
      <c r="L17" s="2860" t="s">
        <v>2370</v>
      </c>
      <c r="M17" s="2861"/>
      <c r="N17" s="2861"/>
      <c r="O17" s="2862"/>
      <c r="P17" s="2863">
        <v>365</v>
      </c>
      <c r="Q17" s="2837"/>
      <c r="R17" s="2884">
        <f>ROUND(M17*N17*O17*P17/10000,0)</f>
        <v>0</v>
      </c>
      <c r="S17" s="2818"/>
      <c r="T17" s="2818"/>
      <c r="U17" s="2818"/>
      <c r="V17" s="2826"/>
    </row>
    <row r="18" spans="1:22" s="2830" customFormat="1" ht="13.15" customHeight="1" thickBot="1">
      <c r="A18" s="2853" t="s">
        <v>2371</v>
      </c>
      <c r="B18" s="2854"/>
      <c r="C18" s="2854"/>
      <c r="D18" s="2891">
        <f>ROUND(D6*E18,0)</f>
        <v>0</v>
      </c>
      <c r="E18" s="2892"/>
      <c r="F18" s="2893" t="s">
        <v>2372</v>
      </c>
      <c r="G18" s="2850"/>
      <c r="H18" s="2825"/>
      <c r="I18" s="2826"/>
      <c r="J18" s="3885"/>
      <c r="K18" s="3887"/>
      <c r="L18" s="2860" t="s">
        <v>2373</v>
      </c>
      <c r="M18" s="2861"/>
      <c r="N18" s="2861"/>
      <c r="O18" s="2862"/>
      <c r="P18" s="2863">
        <v>365</v>
      </c>
      <c r="Q18" s="2837"/>
      <c r="R18" s="2884">
        <f>ROUND(M18*N18*O18*P18/10000,0)</f>
        <v>0</v>
      </c>
      <c r="S18" s="2818"/>
      <c r="T18" s="2818"/>
      <c r="U18" s="2818"/>
      <c r="V18" s="2826"/>
    </row>
    <row r="19" spans="1:22" s="2830" customFormat="1" ht="13.15" customHeight="1" thickBot="1">
      <c r="A19" s="2894" t="s">
        <v>2374</v>
      </c>
      <c r="B19" s="2848"/>
      <c r="C19" s="2848"/>
      <c r="D19" s="2848"/>
      <c r="E19" s="2848"/>
      <c r="F19" s="2849"/>
      <c r="G19" s="2869"/>
      <c r="H19" s="2825"/>
      <c r="I19" s="2826"/>
      <c r="J19" s="3885"/>
      <c r="K19" s="3888"/>
      <c r="L19" s="2880" t="s">
        <v>2354</v>
      </c>
      <c r="M19" s="2881"/>
      <c r="N19" s="2881">
        <f>SUM(N16:N18)</f>
        <v>0</v>
      </c>
      <c r="O19" s="2882"/>
      <c r="P19" s="2895" t="s">
        <v>2418</v>
      </c>
      <c r="Q19" s="2862">
        <v>0</v>
      </c>
      <c r="R19" s="2896">
        <f>ROUND(IF(P19="按比例",R14*Q19,SUM(R16:R18)),0)</f>
        <v>0</v>
      </c>
      <c r="S19" s="2818"/>
      <c r="T19" s="2818"/>
      <c r="U19" s="2818"/>
      <c r="V19" s="2826"/>
    </row>
    <row r="20" spans="1:22" s="2830" customFormat="1" ht="13.15" customHeight="1">
      <c r="A20" s="2853"/>
      <c r="B20" s="2854"/>
      <c r="C20" s="2854"/>
      <c r="D20" s="2854"/>
      <c r="E20" s="2854"/>
      <c r="F20" s="2897"/>
      <c r="G20" s="2869"/>
      <c r="H20" s="2825"/>
      <c r="I20" s="2826"/>
      <c r="J20" s="3885">
        <v>3</v>
      </c>
      <c r="K20" s="3886" t="s">
        <v>2375</v>
      </c>
      <c r="L20" s="2860" t="s">
        <v>2376</v>
      </c>
      <c r="M20" s="2861" t="s">
        <v>2377</v>
      </c>
      <c r="N20" s="2898" t="s">
        <v>2378</v>
      </c>
      <c r="O20" s="2862" t="s">
        <v>2379</v>
      </c>
      <c r="P20" s="2863" t="s">
        <v>2380</v>
      </c>
      <c r="Q20" s="2837" t="s">
        <v>2381</v>
      </c>
      <c r="R20" s="2884" t="s">
        <v>2382</v>
      </c>
      <c r="S20" s="2899"/>
      <c r="T20" s="2899"/>
      <c r="U20" s="2899"/>
      <c r="V20" s="2826"/>
    </row>
    <row r="21" spans="1:22" s="2830" customFormat="1" ht="13.15" customHeight="1">
      <c r="A21" s="2853"/>
      <c r="B21" s="2854"/>
      <c r="C21" s="2900" t="s">
        <v>2383</v>
      </c>
      <c r="D21" s="2901" t="s">
        <v>2384</v>
      </c>
      <c r="E21" s="2902" t="s">
        <v>2385</v>
      </c>
      <c r="F21" s="2897"/>
      <c r="G21" s="2869"/>
      <c r="H21" s="2825"/>
      <c r="I21" s="2826"/>
      <c r="J21" s="3885"/>
      <c r="K21" s="3887"/>
      <c r="L21" s="2860" t="s">
        <v>2386</v>
      </c>
      <c r="M21" s="2861"/>
      <c r="N21" s="2861"/>
      <c r="O21" s="2862"/>
      <c r="P21" s="2863">
        <v>365</v>
      </c>
      <c r="Q21" s="2837"/>
      <c r="R21" s="2903">
        <f>ROUND(M21*N21*O21*P21/10000,0)</f>
        <v>0</v>
      </c>
      <c r="S21" s="2899"/>
      <c r="T21" s="2899"/>
      <c r="U21" s="2899"/>
      <c r="V21" s="2826"/>
    </row>
    <row r="22" spans="1:22" s="2830" customFormat="1" ht="13.15" customHeight="1">
      <c r="A22" s="2853"/>
      <c r="B22" s="2854"/>
      <c r="C22" s="2904" t="s">
        <v>2387</v>
      </c>
      <c r="D22" s="2905" t="s">
        <v>2388</v>
      </c>
      <c r="E22" s="2906" t="s">
        <v>2389</v>
      </c>
      <c r="F22" s="2897"/>
      <c r="G22" s="2907"/>
      <c r="H22" s="2825"/>
      <c r="I22" s="2826"/>
      <c r="J22" s="3885"/>
      <c r="K22" s="3887"/>
      <c r="L22" s="2860" t="s">
        <v>2390</v>
      </c>
      <c r="M22" s="2861"/>
      <c r="N22" s="2861"/>
      <c r="O22" s="2862"/>
      <c r="P22" s="2863">
        <v>365</v>
      </c>
      <c r="Q22" s="2837"/>
      <c r="R22" s="2903">
        <f>ROUND(M22*N22*O22*P22/10000,0)</f>
        <v>0</v>
      </c>
      <c r="S22" s="2899"/>
      <c r="T22" s="2899"/>
      <c r="U22" s="2899"/>
      <c r="V22" s="2826"/>
    </row>
    <row r="23" spans="1:22" s="2830" customFormat="1" ht="13.15" customHeight="1">
      <c r="A23" s="2908">
        <v>1</v>
      </c>
      <c r="B23" s="2909" t="s">
        <v>2391</v>
      </c>
      <c r="C23" s="2910">
        <f>D6</f>
        <v>0</v>
      </c>
      <c r="D23" s="2911">
        <f>C23*(1+D24)</f>
        <v>0</v>
      </c>
      <c r="E23" s="2912">
        <f>D23*(1+E24)</f>
        <v>0</v>
      </c>
      <c r="F23" s="2913"/>
      <c r="G23" s="2914"/>
      <c r="H23" s="2825"/>
      <c r="I23" s="2826"/>
      <c r="J23" s="3885"/>
      <c r="K23" s="3887"/>
      <c r="L23" s="2860" t="s">
        <v>2392</v>
      </c>
      <c r="M23" s="2861"/>
      <c r="N23" s="2861"/>
      <c r="O23" s="2862"/>
      <c r="P23" s="2863">
        <v>365</v>
      </c>
      <c r="Q23" s="2837"/>
      <c r="R23" s="2903">
        <f>ROUND(M23*N23*O23*P23/10000,0)</f>
        <v>0</v>
      </c>
      <c r="S23" s="2818"/>
      <c r="T23" s="2818"/>
      <c r="U23" s="2818"/>
      <c r="V23" s="2826"/>
    </row>
    <row r="24" spans="1:22" s="2830" customFormat="1" ht="13.15" customHeight="1">
      <c r="A24" s="2915"/>
      <c r="B24" s="2916" t="s">
        <v>2393</v>
      </c>
      <c r="C24" s="2917"/>
      <c r="D24" s="2918"/>
      <c r="E24" s="2919"/>
      <c r="F24" s="2920"/>
      <c r="G24" s="2914"/>
      <c r="H24" s="2825"/>
      <c r="I24" s="2826"/>
      <c r="J24" s="3885"/>
      <c r="K24" s="3888"/>
      <c r="L24" s="2880" t="s">
        <v>2354</v>
      </c>
      <c r="M24" s="2881">
        <f>SUM(M21:M23)</f>
        <v>0</v>
      </c>
      <c r="N24" s="2881"/>
      <c r="O24" s="2882"/>
      <c r="P24" s="2895" t="s">
        <v>2418</v>
      </c>
      <c r="Q24" s="2862">
        <v>0</v>
      </c>
      <c r="R24" s="2896">
        <f>ROUND(IF(P24="按比例",R14*Q24,SUM(R21:R23)),0)</f>
        <v>0</v>
      </c>
      <c r="S24" s="2818"/>
      <c r="T24" s="2818"/>
      <c r="U24" s="2818"/>
      <c r="V24" s="2826"/>
    </row>
    <row r="25" spans="1:22" s="2927" customFormat="1" ht="13.15" customHeight="1">
      <c r="A25" s="2915"/>
      <c r="B25" s="2916"/>
      <c r="C25" s="2917"/>
      <c r="D25" s="2918"/>
      <c r="E25" s="2919"/>
      <c r="F25" s="2920"/>
      <c r="G25" s="2907"/>
      <c r="H25" s="2825"/>
      <c r="I25" s="2826"/>
      <c r="J25" s="2921">
        <v>4</v>
      </c>
      <c r="K25" s="2922" t="s">
        <v>2394</v>
      </c>
      <c r="L25" s="2923"/>
      <c r="M25" s="2923"/>
      <c r="N25" s="2923"/>
      <c r="O25" s="2923"/>
      <c r="P25" s="2924"/>
      <c r="Q25" s="2925">
        <v>0</v>
      </c>
      <c r="R25" s="2896">
        <f>ROUND(R14*Q25,0)</f>
        <v>0</v>
      </c>
      <c r="S25" s="2818"/>
      <c r="T25" s="2818"/>
      <c r="U25" s="2818"/>
      <c r="V25" s="2926"/>
    </row>
    <row r="26" spans="1:22" s="2927" customFormat="1" ht="13.15" customHeight="1">
      <c r="A26" s="2908">
        <v>2</v>
      </c>
      <c r="B26" s="2909" t="s">
        <v>2395</v>
      </c>
      <c r="C26" s="2910">
        <f>D7</f>
        <v>0</v>
      </c>
      <c r="D26" s="2911">
        <f>D23*D27</f>
        <v>0</v>
      </c>
      <c r="E26" s="2912">
        <f>E23*E27</f>
        <v>0</v>
      </c>
      <c r="F26" s="2913"/>
      <c r="G26" s="2914"/>
      <c r="H26" s="2825"/>
      <c r="I26" s="2826"/>
      <c r="J26" s="3889">
        <v>5</v>
      </c>
      <c r="K26" s="2928" t="s">
        <v>2396</v>
      </c>
      <c r="L26" s="2929"/>
      <c r="M26" s="2930"/>
      <c r="N26" s="2931" t="s">
        <v>2397</v>
      </c>
      <c r="O26" s="2931" t="s">
        <v>2398</v>
      </c>
      <c r="P26" s="2932" t="s">
        <v>2399</v>
      </c>
      <c r="Q26" s="2932" t="s">
        <v>2400</v>
      </c>
      <c r="R26" s="2835" t="s">
        <v>2325</v>
      </c>
      <c r="S26" s="2933"/>
      <c r="T26" s="2933"/>
      <c r="U26" s="2933"/>
      <c r="V26" s="2926"/>
    </row>
    <row r="27" spans="1:22" s="2830" customFormat="1" ht="13.15" customHeight="1">
      <c r="A27" s="2915"/>
      <c r="B27" s="2916" t="s">
        <v>2401</v>
      </c>
      <c r="C27" s="2934" t="e">
        <f>E7</f>
        <v>#DIV/0!</v>
      </c>
      <c r="D27" s="2918"/>
      <c r="E27" s="2919"/>
      <c r="F27" s="2920"/>
      <c r="G27" s="2914"/>
      <c r="H27" s="2935"/>
      <c r="I27" s="2926"/>
      <c r="J27" s="3890"/>
      <c r="K27" s="2936"/>
      <c r="L27" s="2937"/>
      <c r="M27" s="2938"/>
      <c r="N27" s="2939"/>
      <c r="O27" s="2939"/>
      <c r="P27" s="2939"/>
      <c r="Q27" s="2940"/>
      <c r="R27" s="2896">
        <f>ROUND(O27*N27*P27*(1-Q27)/10000,0)</f>
        <v>0</v>
      </c>
      <c r="S27" s="2818"/>
      <c r="T27" s="2818"/>
      <c r="U27" s="2818"/>
      <c r="V27" s="2826"/>
    </row>
    <row r="28" spans="1:22" s="2927" customFormat="1" ht="13.15" customHeight="1" thickBot="1">
      <c r="A28" s="2915"/>
      <c r="B28" s="2916"/>
      <c r="C28" s="2934"/>
      <c r="D28" s="2918"/>
      <c r="E28" s="2919" t="s">
        <v>2402</v>
      </c>
      <c r="F28" s="2920"/>
      <c r="G28" s="2907"/>
      <c r="H28" s="2935"/>
      <c r="I28" s="2926"/>
      <c r="J28" s="2941">
        <v>6</v>
      </c>
      <c r="K28" s="2942" t="s">
        <v>2403</v>
      </c>
      <c r="L28" s="2943" t="s">
        <v>2404</v>
      </c>
      <c r="M28" s="2944"/>
      <c r="N28" s="2943" t="s">
        <v>2405</v>
      </c>
      <c r="O28" s="2945"/>
      <c r="P28" s="2943" t="s">
        <v>2406</v>
      </c>
      <c r="Q28" s="2946">
        <v>1.4999999999999999E-2</v>
      </c>
      <c r="R28" s="2947"/>
      <c r="S28" s="2899"/>
      <c r="T28" s="2899"/>
      <c r="U28" s="2899"/>
      <c r="V28" s="2926"/>
    </row>
    <row r="29" spans="1:22" s="2927" customFormat="1" ht="13.15" customHeight="1">
      <c r="A29" s="2908">
        <v>3</v>
      </c>
      <c r="B29" s="2909" t="s">
        <v>2407</v>
      </c>
      <c r="C29" s="2910">
        <f>C23*C30</f>
        <v>0</v>
      </c>
      <c r="D29" s="2911">
        <f>D23*C30</f>
        <v>0</v>
      </c>
      <c r="E29" s="2912">
        <f>E23*C30</f>
        <v>0</v>
      </c>
      <c r="F29" s="2913"/>
      <c r="G29" s="2914"/>
      <c r="H29" s="2825"/>
      <c r="I29" s="2826"/>
      <c r="J29" s="2899"/>
      <c r="K29" s="2899"/>
      <c r="L29" s="2899"/>
      <c r="M29" s="2899"/>
      <c r="N29" s="2899"/>
      <c r="O29" s="2899"/>
      <c r="P29" s="2899"/>
      <c r="Q29" s="2899"/>
      <c r="R29" s="2899"/>
      <c r="S29" s="2899"/>
      <c r="T29" s="2899"/>
      <c r="U29" s="2899"/>
      <c r="V29" s="2926"/>
    </row>
    <row r="30" spans="1:22" s="2830" customFormat="1" ht="13.15" customHeight="1" thickBot="1">
      <c r="A30" s="2915"/>
      <c r="B30" s="2916" t="s">
        <v>2401</v>
      </c>
      <c r="C30" s="2934">
        <f>E18</f>
        <v>0</v>
      </c>
      <c r="D30" s="2948"/>
      <c r="E30" s="2879"/>
      <c r="F30" s="2920"/>
      <c r="G30" s="2914"/>
      <c r="H30" s="2935"/>
      <c r="I30" s="2926"/>
      <c r="J30" s="2899"/>
      <c r="K30" s="2899"/>
      <c r="L30" s="2899"/>
      <c r="M30" s="2899"/>
      <c r="N30" s="2899"/>
      <c r="O30" s="2899"/>
      <c r="P30" s="2899"/>
      <c r="Q30" s="2899"/>
      <c r="R30" s="2899"/>
      <c r="S30" s="2899"/>
      <c r="T30" s="2899"/>
      <c r="U30" s="2818"/>
      <c r="V30" s="2826"/>
    </row>
    <row r="31" spans="1:22" s="2927" customFormat="1" ht="13.15" customHeight="1">
      <c r="A31" s="2915"/>
      <c r="B31" s="2916"/>
      <c r="C31" s="2949"/>
      <c r="D31" s="2948"/>
      <c r="E31" s="2879"/>
      <c r="F31" s="2920"/>
      <c r="G31" s="2907"/>
      <c r="H31" s="2935"/>
      <c r="I31" s="2926"/>
      <c r="J31" s="2815" t="s">
        <v>2408</v>
      </c>
      <c r="K31" s="2816"/>
      <c r="L31" s="2816"/>
      <c r="M31" s="2816"/>
      <c r="N31" s="2816"/>
      <c r="O31" s="2816"/>
      <c r="P31" s="2816"/>
      <c r="Q31" s="2816"/>
      <c r="R31" s="2817"/>
      <c r="S31" s="2899"/>
      <c r="T31" s="2818"/>
      <c r="U31" s="2818"/>
      <c r="V31" s="2926"/>
    </row>
    <row r="32" spans="1:22" s="2927" customFormat="1" ht="13.15" customHeight="1">
      <c r="A32" s="2908">
        <v>4</v>
      </c>
      <c r="B32" s="2909" t="s">
        <v>2409</v>
      </c>
      <c r="C32" s="2910">
        <f>C23-C26-C29</f>
        <v>0</v>
      </c>
      <c r="D32" s="2911">
        <f>D23-D26-D29</f>
        <v>0</v>
      </c>
      <c r="E32" s="2912">
        <f>E23-E26-E29</f>
        <v>0</v>
      </c>
      <c r="F32" s="2913"/>
      <c r="G32" s="2907"/>
      <c r="H32" s="2825"/>
      <c r="I32" s="2826"/>
      <c r="J32" s="3891" t="s">
        <v>2301</v>
      </c>
      <c r="K32" s="3892"/>
      <c r="L32" s="2827" t="s">
        <v>2302</v>
      </c>
      <c r="M32" s="2827" t="s">
        <v>2303</v>
      </c>
      <c r="N32" s="2827" t="s">
        <v>2304</v>
      </c>
      <c r="O32" s="2827" t="s">
        <v>2305</v>
      </c>
      <c r="P32" s="2827" t="s">
        <v>2306</v>
      </c>
      <c r="Q32" s="2828" t="s">
        <v>2307</v>
      </c>
      <c r="R32" s="2950" t="s">
        <v>2308</v>
      </c>
      <c r="S32" s="2899"/>
      <c r="T32" s="2818"/>
      <c r="U32" s="2818"/>
      <c r="V32" s="2926"/>
    </row>
    <row r="33" spans="1:23" s="2830" customFormat="1" ht="13.15" customHeight="1">
      <c r="A33" s="2908"/>
      <c r="B33" s="2909"/>
      <c r="C33" s="2910"/>
      <c r="D33" s="2951"/>
      <c r="E33" s="2952"/>
      <c r="F33" s="2913"/>
      <c r="G33" s="2907"/>
      <c r="H33" s="2935"/>
      <c r="I33" s="2926"/>
      <c r="J33" s="3893" t="s">
        <v>2311</v>
      </c>
      <c r="K33" s="3894"/>
      <c r="L33" s="2833"/>
      <c r="M33" s="2833"/>
      <c r="N33" s="2833"/>
      <c r="O33" s="2833"/>
      <c r="P33" s="2833"/>
      <c r="Q33" s="2834"/>
      <c r="R33" s="2953">
        <f>SUM(L33:Q33)</f>
        <v>0</v>
      </c>
      <c r="S33" s="2899"/>
      <c r="T33" s="2818"/>
      <c r="U33" s="2818"/>
      <c r="V33" s="2826"/>
    </row>
    <row r="34" spans="1:23" s="2830" customFormat="1" ht="13.15" customHeight="1">
      <c r="A34" s="2908">
        <v>5</v>
      </c>
      <c r="B34" s="2909" t="s">
        <v>2410</v>
      </c>
      <c r="C34" s="2954"/>
      <c r="D34" s="2955"/>
      <c r="E34" s="2956"/>
      <c r="F34" s="2913"/>
      <c r="G34" s="2907"/>
      <c r="H34" s="2935"/>
      <c r="I34" s="2926"/>
      <c r="J34" s="3893" t="s">
        <v>2313</v>
      </c>
      <c r="K34" s="3894"/>
      <c r="L34" s="2838"/>
      <c r="M34" s="2838"/>
      <c r="N34" s="2838"/>
      <c r="O34" s="2838"/>
      <c r="P34" s="2838"/>
      <c r="Q34" s="2839"/>
      <c r="R34" s="2957">
        <f>SUM(L34:Q34)</f>
        <v>0</v>
      </c>
      <c r="S34" s="2899"/>
      <c r="T34" s="2818"/>
      <c r="U34" s="2818" t="e">
        <f>ROUND(R35*10000/365/R33,1)</f>
        <v>#DIV/0!</v>
      </c>
      <c r="V34" s="2826"/>
    </row>
    <row r="35" spans="1:23" s="2830" customFormat="1" ht="13.15" customHeight="1">
      <c r="A35" s="2908">
        <v>6</v>
      </c>
      <c r="B35" s="2909" t="s">
        <v>2411</v>
      </c>
      <c r="C35" s="2958"/>
      <c r="D35" s="2959"/>
      <c r="E35" s="2960"/>
      <c r="F35" s="2913"/>
      <c r="G35" s="2961"/>
      <c r="H35" s="2825"/>
      <c r="I35" s="2926"/>
      <c r="J35" s="2844" t="s">
        <v>2315</v>
      </c>
      <c r="K35" s="2845"/>
      <c r="L35" s="2845"/>
      <c r="M35" s="2846"/>
      <c r="N35" s="2846"/>
      <c r="O35" s="2846"/>
      <c r="P35" s="2846"/>
      <c r="Q35" s="2846"/>
      <c r="R35" s="2962">
        <f>R40+R41+R43</f>
        <v>0</v>
      </c>
      <c r="S35" s="2899"/>
      <c r="T35" s="2818" t="s">
        <v>2316</v>
      </c>
      <c r="U35" s="2818"/>
      <c r="V35" s="2826"/>
    </row>
    <row r="36" spans="1:23" s="2830" customFormat="1" ht="13.15" customHeight="1" thickBot="1">
      <c r="A36" s="2908">
        <v>7</v>
      </c>
      <c r="B36" s="2963" t="s">
        <v>2412</v>
      </c>
      <c r="C36" s="2964"/>
      <c r="D36" s="2965"/>
      <c r="E36" s="2966"/>
      <c r="F36" s="2967">
        <f>C36+D36+E36</f>
        <v>0</v>
      </c>
      <c r="G36" s="2907"/>
      <c r="H36" s="2825"/>
      <c r="I36" s="2826"/>
      <c r="J36" s="3885">
        <v>1</v>
      </c>
      <c r="K36" s="3886" t="s">
        <v>2413</v>
      </c>
      <c r="L36" s="2851"/>
      <c r="M36" s="2852"/>
      <c r="N36" s="2852"/>
      <c r="O36" s="2852"/>
      <c r="P36" s="2852"/>
      <c r="Q36" s="2852"/>
      <c r="R36" s="2835" t="s">
        <v>2325</v>
      </c>
      <c r="S36" s="2899"/>
      <c r="T36" s="2818" t="s">
        <v>2326</v>
      </c>
      <c r="U36" s="2818"/>
      <c r="V36" s="2826"/>
    </row>
    <row r="37" spans="1:23" s="2830" customFormat="1" ht="13.15" customHeight="1">
      <c r="A37" s="2908"/>
      <c r="B37" s="2909"/>
      <c r="C37" s="2909"/>
      <c r="D37" s="2909"/>
      <c r="E37" s="2909"/>
      <c r="F37" s="2913"/>
      <c r="G37" s="2907"/>
      <c r="H37" s="2825"/>
      <c r="I37" s="2826"/>
      <c r="J37" s="3885"/>
      <c r="K37" s="3887"/>
      <c r="L37" s="2860"/>
      <c r="M37" s="2861"/>
      <c r="N37" s="2837"/>
      <c r="O37" s="2862"/>
      <c r="P37" s="2862"/>
      <c r="Q37" s="2863"/>
      <c r="R37" s="2864"/>
      <c r="S37" s="2899"/>
      <c r="T37" s="2818" t="s">
        <v>2329</v>
      </c>
      <c r="U37" s="2818"/>
      <c r="V37" s="2826"/>
    </row>
    <row r="38" spans="1:23" s="2830" customFormat="1" ht="13.15" customHeight="1">
      <c r="A38" s="2908">
        <v>8</v>
      </c>
      <c r="B38" s="2909"/>
      <c r="C38" s="2866" t="e">
        <f>ROUND(C32*(1-((1+C35)/(1+C34))^C36)/(C34-C35),0)</f>
        <v>#DIV/0!</v>
      </c>
      <c r="D38" s="2866">
        <f>IF(D23=0,0,ROUND(D32*(1-((1+D35)/(1+D34))^D36)/(D34-D35),0))</f>
        <v>0</v>
      </c>
      <c r="E38" s="2866">
        <f>IF(E23=0,0,ROUND(E32*(1-((1+E35)/(1+E34))^E36)/(E34-E35),0))</f>
        <v>0</v>
      </c>
      <c r="F38" s="2913"/>
      <c r="G38" s="2907"/>
      <c r="H38" s="2825"/>
      <c r="I38" s="2826"/>
      <c r="J38" s="3885"/>
      <c r="K38" s="3887"/>
      <c r="L38" s="2860"/>
      <c r="M38" s="2861"/>
      <c r="N38" s="2837"/>
      <c r="O38" s="2862"/>
      <c r="P38" s="2862"/>
      <c r="Q38" s="2863"/>
      <c r="R38" s="2864"/>
      <c r="S38" s="2899"/>
      <c r="T38" s="2818" t="s">
        <v>2336</v>
      </c>
      <c r="U38" s="2818"/>
      <c r="V38" s="2826"/>
    </row>
    <row r="39" spans="1:23" s="2830" customFormat="1" ht="13.15" customHeight="1">
      <c r="A39" s="2908">
        <v>9</v>
      </c>
      <c r="B39" s="2909" t="s">
        <v>2414</v>
      </c>
      <c r="C39" s="2874" t="e">
        <f>C38</f>
        <v>#DIV/0!</v>
      </c>
      <c r="D39" s="2909">
        <f>D38/(1+D34)^C36</f>
        <v>0</v>
      </c>
      <c r="E39" s="2909">
        <f>E38/(1+E34)^(C36+D36)</f>
        <v>0</v>
      </c>
      <c r="F39" s="2913"/>
      <c r="G39" s="2968"/>
      <c r="H39" s="2825"/>
      <c r="I39" s="2826"/>
      <c r="J39" s="3885"/>
      <c r="K39" s="3887"/>
      <c r="L39" s="2860"/>
      <c r="M39" s="2861"/>
      <c r="N39" s="2837"/>
      <c r="O39" s="2862"/>
      <c r="P39" s="2862"/>
      <c r="Q39" s="2863"/>
      <c r="R39" s="2864"/>
      <c r="S39" s="2899"/>
      <c r="T39" s="2818"/>
      <c r="U39" s="2818"/>
      <c r="V39" s="2826"/>
    </row>
    <row r="40" spans="1:23" s="2830" customFormat="1" ht="13.15" customHeight="1">
      <c r="A40" s="2969">
        <v>10</v>
      </c>
      <c r="B40" s="2909" t="s">
        <v>2415</v>
      </c>
      <c r="C40" s="2970" t="e">
        <f>C39+D39+E39</f>
        <v>#DIV/0!</v>
      </c>
      <c r="D40" s="2971"/>
      <c r="E40" s="2971"/>
      <c r="F40" s="2972"/>
      <c r="G40" s="2907"/>
      <c r="H40" s="2825"/>
      <c r="I40" s="2826"/>
      <c r="J40" s="3885"/>
      <c r="K40" s="3888"/>
      <c r="L40" s="2880" t="s">
        <v>2354</v>
      </c>
      <c r="M40" s="2881"/>
      <c r="N40" s="2881"/>
      <c r="O40" s="2882"/>
      <c r="P40" s="2882"/>
      <c r="Q40" s="2883"/>
      <c r="R40" s="2829">
        <f>SUM(R37:R39)</f>
        <v>0</v>
      </c>
      <c r="S40" s="2899"/>
      <c r="T40" s="2818"/>
      <c r="U40" s="2818"/>
      <c r="V40" s="2826"/>
    </row>
    <row r="41" spans="1:23" s="2830" customFormat="1" ht="13.15" customHeight="1" thickBot="1">
      <c r="A41" s="2973">
        <v>11</v>
      </c>
      <c r="B41" s="2974" t="s">
        <v>2416</v>
      </c>
      <c r="C41" s="2974" t="e">
        <f>ROUND(C40*10000/B4,0)</f>
        <v>#DIV/0!</v>
      </c>
      <c r="D41" s="2975"/>
      <c r="E41" s="2975"/>
      <c r="F41" s="2976"/>
      <c r="G41" s="2977"/>
      <c r="H41" s="2825"/>
      <c r="I41" s="2826"/>
      <c r="J41" s="2921">
        <v>2</v>
      </c>
      <c r="K41" s="2922" t="s">
        <v>2394</v>
      </c>
      <c r="L41" s="2923"/>
      <c r="M41" s="2923"/>
      <c r="N41" s="2923"/>
      <c r="O41" s="2923"/>
      <c r="P41" s="2924"/>
      <c r="Q41" s="2925"/>
      <c r="R41" s="2896">
        <f>ROUND(R40*Q41,0)</f>
        <v>0</v>
      </c>
      <c r="S41" s="2899"/>
      <c r="T41" s="2818"/>
      <c r="U41" s="2933"/>
      <c r="V41" s="2826"/>
    </row>
    <row r="42" spans="1:23" s="2830" customFormat="1" ht="13.15" customHeight="1">
      <c r="G42" s="2977"/>
      <c r="H42" s="2825"/>
      <c r="I42" s="2826"/>
      <c r="J42" s="3889">
        <v>3</v>
      </c>
      <c r="K42" s="2928" t="s">
        <v>2396</v>
      </c>
      <c r="L42" s="2929"/>
      <c r="M42" s="2930"/>
      <c r="N42" s="2931" t="s">
        <v>2397</v>
      </c>
      <c r="O42" s="2931" t="s">
        <v>2398</v>
      </c>
      <c r="P42" s="2932" t="s">
        <v>2399</v>
      </c>
      <c r="Q42" s="2932" t="s">
        <v>2400</v>
      </c>
      <c r="R42" s="2835" t="s">
        <v>2325</v>
      </c>
      <c r="S42" s="2933"/>
      <c r="T42" s="2933"/>
      <c r="U42" s="2818"/>
      <c r="V42" s="2826"/>
    </row>
    <row r="43" spans="1:23" ht="13.15" customHeight="1">
      <c r="A43" s="2830"/>
      <c r="B43" s="2830"/>
      <c r="C43" s="2830"/>
      <c r="D43" s="2830"/>
      <c r="E43" s="2830"/>
      <c r="F43" s="2830"/>
      <c r="I43" s="2813"/>
      <c r="J43" s="3890"/>
      <c r="K43" s="2936"/>
      <c r="L43" s="2937"/>
      <c r="M43" s="2938"/>
      <c r="N43" s="2861"/>
      <c r="O43" s="2861"/>
      <c r="P43" s="2861"/>
      <c r="Q43" s="2925"/>
      <c r="R43" s="2896">
        <f>ROUND(O43*N43*P43*(1-Q43)/10000,0)</f>
        <v>0</v>
      </c>
      <c r="S43" s="2899"/>
      <c r="T43" s="2818"/>
      <c r="V43" s="2979"/>
      <c r="W43" s="2980"/>
    </row>
    <row r="44" spans="1:23" ht="13.15" customHeight="1" thickBot="1">
      <c r="J44" s="2941">
        <v>6</v>
      </c>
      <c r="K44" s="2942" t="s">
        <v>2403</v>
      </c>
      <c r="L44" s="2981" t="s">
        <v>2404</v>
      </c>
      <c r="M44" s="2944"/>
      <c r="N44" s="2981" t="s">
        <v>2405</v>
      </c>
      <c r="O44" s="2944"/>
      <c r="P44" s="2981" t="s">
        <v>2406</v>
      </c>
      <c r="Q44" s="2946">
        <v>1.4999999999999999E-2</v>
      </c>
      <c r="R44" s="294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2065</v>
      </c>
      <c r="B1" s="2147"/>
      <c r="C1" s="2147"/>
      <c r="D1" s="2147"/>
      <c r="E1" s="2147"/>
      <c r="F1" s="2770"/>
      <c r="G1" s="2770"/>
      <c r="H1" s="2770"/>
      <c r="I1" s="2770"/>
      <c r="J1" s="2770"/>
      <c r="K1" s="2770"/>
      <c r="L1" s="2770"/>
      <c r="M1" s="2770"/>
      <c r="N1" s="2770"/>
      <c r="O1" s="2770"/>
      <c r="P1" s="2770"/>
    </row>
    <row r="2" spans="1:16" ht="15.75">
      <c r="A2" s="2145" t="s">
        <v>2057</v>
      </c>
      <c r="B2" s="2579" t="e">
        <f ca="1">SUMIF(B6:B13,"&lt;&gt;#ref!",B6:B13)</f>
        <v>#DIV/0!</v>
      </c>
      <c r="C2" s="2145" t="s">
        <v>2058</v>
      </c>
      <c r="D2" s="2145" t="s">
        <v>2059</v>
      </c>
      <c r="E2" s="2589">
        <f ca="1">SUMIF(E6:E13,"&lt;&gt;#ref!",E6:E13)</f>
        <v>48720.729999999974</v>
      </c>
      <c r="F2" s="2770"/>
      <c r="G2" s="2770"/>
      <c r="H2" s="2770"/>
      <c r="I2" s="2770"/>
      <c r="J2" s="2770"/>
      <c r="K2" s="2770"/>
      <c r="L2" s="2770"/>
      <c r="M2" s="2770"/>
      <c r="N2" s="2770"/>
      <c r="O2" s="2770"/>
      <c r="P2" s="2770"/>
    </row>
    <row r="3" spans="1:16" ht="15.75">
      <c r="A3" s="2145" t="s">
        <v>2060</v>
      </c>
      <c r="B3" s="2579" t="e">
        <f ca="1">ROUND(B2*10000/E2,0)</f>
        <v>#DIV/0!</v>
      </c>
      <c r="C3" s="2145" t="s">
        <v>2066</v>
      </c>
      <c r="D3" s="2770"/>
      <c r="E3" s="2770"/>
      <c r="F3" s="2770"/>
      <c r="G3" s="2770"/>
      <c r="H3" s="2770"/>
      <c r="I3" s="2770"/>
      <c r="J3" s="2770"/>
      <c r="K3" s="2770"/>
      <c r="L3" s="2770"/>
      <c r="M3" s="2770"/>
      <c r="N3" s="2770"/>
      <c r="O3" s="2770"/>
      <c r="P3" s="2770"/>
    </row>
    <row r="4" spans="1:16" ht="15.75">
      <c r="A4" s="2771"/>
      <c r="B4" s="2770"/>
      <c r="C4" s="2770"/>
      <c r="D4" s="2770"/>
      <c r="E4" s="2770"/>
      <c r="F4" s="2770"/>
      <c r="G4" s="2770"/>
      <c r="H4" s="2770"/>
      <c r="I4" s="2770"/>
      <c r="J4" s="2770"/>
      <c r="K4" s="2770"/>
      <c r="L4" s="2770"/>
      <c r="M4" s="2770"/>
      <c r="N4" s="2770"/>
      <c r="O4" s="2770"/>
      <c r="P4" s="2770"/>
    </row>
    <row r="5" spans="1:16" ht="28.5">
      <c r="A5" s="2585" t="s">
        <v>2061</v>
      </c>
      <c r="B5" s="2587" t="s">
        <v>2062</v>
      </c>
      <c r="C5" s="2146"/>
      <c r="D5" s="2770"/>
      <c r="E5" s="2588" t="s">
        <v>2063</v>
      </c>
      <c r="F5" s="2770"/>
      <c r="G5" s="2770"/>
      <c r="H5" s="2770"/>
      <c r="I5" s="2770"/>
      <c r="J5" s="2770"/>
      <c r="K5" s="2770"/>
      <c r="L5" s="2770"/>
      <c r="M5" s="2770"/>
      <c r="N5" s="2770"/>
      <c r="O5" s="2770"/>
      <c r="P5" s="2770"/>
    </row>
    <row r="6" spans="1:16" ht="15.75">
      <c r="A6" s="2586" t="s">
        <v>2064</v>
      </c>
      <c r="B6" s="2579" t="e">
        <f ca="1">SUMIF(INDIRECT("'"&amp;A6&amp;"'"&amp;"!A:A"),"总价",INDIRECT("'"&amp;A6&amp;"'"&amp;"!B:B"))</f>
        <v>#DIV/0!</v>
      </c>
      <c r="C6" s="2145" t="s">
        <v>2058</v>
      </c>
      <c r="D6" s="2770"/>
      <c r="E6" s="2589">
        <f ca="1">SUMIF(INDIRECT("'"&amp;A6&amp;"'"&amp;"!C:C"),"建筑面积",INDIRECT("'"&amp;A6&amp;"'"&amp;"!D:D"))</f>
        <v>48720.729999999974</v>
      </c>
      <c r="F6" s="2770"/>
      <c r="G6" s="2770"/>
      <c r="H6" s="2770"/>
      <c r="I6" s="2770"/>
      <c r="J6" s="2770"/>
      <c r="K6" s="2770"/>
      <c r="L6" s="2770"/>
      <c r="M6" s="2770"/>
      <c r="N6" s="2770"/>
      <c r="O6" s="2770"/>
      <c r="P6" s="2770"/>
    </row>
    <row r="7" spans="1:16" ht="15.75">
      <c r="A7" s="2586"/>
      <c r="B7" s="2579" t="e">
        <f ca="1">SUMIF(INDIRECT("'"&amp;A7&amp;"'"&amp;"!A:A"),"总价",INDIRECT("'"&amp;A7&amp;"'"&amp;"!B:B"))</f>
        <v>#REF!</v>
      </c>
      <c r="C7" s="2145" t="s">
        <v>2058</v>
      </c>
      <c r="D7" s="2770"/>
      <c r="E7" s="2589" t="e">
        <f t="shared" ref="E7:E13" ca="1" si="0">SUMIF(INDIRECT("'"&amp;A7&amp;"'"&amp;"!C:C"),"建筑面积",INDIRECT("'"&amp;A7&amp;"'"&amp;"!D:D"))</f>
        <v>#REF!</v>
      </c>
      <c r="F7" s="2770"/>
      <c r="G7" s="2770"/>
      <c r="H7" s="2770"/>
      <c r="I7" s="2770"/>
      <c r="J7" s="2770"/>
      <c r="K7" s="2770"/>
      <c r="L7" s="2770"/>
      <c r="M7" s="2770"/>
      <c r="N7" s="2770"/>
      <c r="O7" s="2770"/>
      <c r="P7" s="2770"/>
    </row>
    <row r="8" spans="1:16" ht="15.75">
      <c r="A8" s="2586"/>
      <c r="B8" s="2579" t="e">
        <f t="shared" ref="B8:B13" ca="1" si="1">SUMIF(INDIRECT("'"&amp;A8&amp;"'"&amp;"!A:A"),"总价",INDIRECT("'"&amp;A8&amp;"'"&amp;"!B:B"))</f>
        <v>#REF!</v>
      </c>
      <c r="C8" s="2145" t="s">
        <v>2058</v>
      </c>
      <c r="D8" s="2770"/>
      <c r="E8" s="2589" t="e">
        <f t="shared" ca="1" si="0"/>
        <v>#REF!</v>
      </c>
      <c r="F8" s="2770"/>
      <c r="G8" s="2770"/>
      <c r="H8" s="2770"/>
      <c r="I8" s="2770"/>
      <c r="J8" s="2770"/>
      <c r="K8" s="2770"/>
      <c r="L8" s="2770"/>
      <c r="M8" s="2770"/>
      <c r="N8" s="2770"/>
      <c r="O8" s="2770"/>
      <c r="P8" s="2770"/>
    </row>
    <row r="9" spans="1:16" ht="15.75">
      <c r="A9" s="2586"/>
      <c r="B9" s="2579" t="e">
        <f t="shared" ca="1" si="1"/>
        <v>#REF!</v>
      </c>
      <c r="C9" s="2145" t="s">
        <v>2058</v>
      </c>
      <c r="D9" s="2770"/>
      <c r="E9" s="2589" t="e">
        <f t="shared" ca="1" si="0"/>
        <v>#REF!</v>
      </c>
      <c r="F9" s="2770"/>
      <c r="G9" s="2770"/>
      <c r="H9" s="2770"/>
      <c r="I9" s="2770"/>
      <c r="J9" s="2770"/>
      <c r="K9" s="2770"/>
      <c r="L9" s="2770"/>
      <c r="M9" s="2770"/>
      <c r="N9" s="2770"/>
      <c r="O9" s="2770"/>
      <c r="P9" s="2770"/>
    </row>
    <row r="10" spans="1:16" ht="15.75">
      <c r="A10" s="2586"/>
      <c r="B10" s="2579" t="e">
        <f t="shared" ca="1" si="1"/>
        <v>#REF!</v>
      </c>
      <c r="C10" s="2145" t="s">
        <v>2058</v>
      </c>
      <c r="D10" s="2770"/>
      <c r="E10" s="2589" t="e">
        <f t="shared" ca="1" si="0"/>
        <v>#REF!</v>
      </c>
      <c r="F10" s="2770"/>
      <c r="G10" s="2770"/>
      <c r="H10" s="2770"/>
      <c r="I10" s="2770"/>
      <c r="J10" s="2770"/>
      <c r="K10" s="2770"/>
      <c r="L10" s="2770"/>
      <c r="M10" s="2770"/>
      <c r="N10" s="2770"/>
      <c r="O10" s="2770"/>
      <c r="P10" s="2770"/>
    </row>
    <row r="11" spans="1:16" ht="15.75">
      <c r="A11" s="2586"/>
      <c r="B11" s="2579" t="e">
        <f t="shared" ca="1" si="1"/>
        <v>#REF!</v>
      </c>
      <c r="C11" s="2145" t="s">
        <v>2058</v>
      </c>
      <c r="D11" s="2770"/>
      <c r="E11" s="2589" t="e">
        <f t="shared" ca="1" si="0"/>
        <v>#REF!</v>
      </c>
      <c r="F11" s="2770"/>
      <c r="G11" s="2770"/>
      <c r="H11" s="2770"/>
      <c r="I11" s="2770"/>
      <c r="J11" s="2770"/>
      <c r="K11" s="2770"/>
      <c r="L11" s="2770"/>
      <c r="M11" s="2770"/>
      <c r="N11" s="2770"/>
      <c r="O11" s="2770"/>
      <c r="P11" s="2770"/>
    </row>
    <row r="12" spans="1:16" ht="15.75">
      <c r="A12" s="2586"/>
      <c r="B12" s="2579" t="e">
        <f t="shared" ca="1" si="1"/>
        <v>#REF!</v>
      </c>
      <c r="C12" s="2145" t="s">
        <v>2058</v>
      </c>
      <c r="D12" s="2770"/>
      <c r="E12" s="2589" t="e">
        <f t="shared" ca="1" si="0"/>
        <v>#REF!</v>
      </c>
      <c r="F12" s="2770"/>
      <c r="G12" s="2770"/>
      <c r="H12" s="2770"/>
      <c r="I12" s="2770"/>
      <c r="J12" s="2770"/>
      <c r="K12" s="2770"/>
      <c r="L12" s="2770"/>
      <c r="M12" s="2770"/>
      <c r="N12" s="2770"/>
      <c r="O12" s="2770"/>
      <c r="P12" s="2770"/>
    </row>
    <row r="13" spans="1:16" ht="15.75">
      <c r="A13" s="2586"/>
      <c r="B13" s="2579" t="e">
        <f t="shared" ca="1" si="1"/>
        <v>#REF!</v>
      </c>
      <c r="C13" s="2145" t="s">
        <v>2058</v>
      </c>
      <c r="D13" s="2770"/>
      <c r="E13" s="2589" t="e">
        <f t="shared" ca="1" si="0"/>
        <v>#REF!</v>
      </c>
      <c r="F13" s="2770"/>
      <c r="G13" s="2770"/>
      <c r="H13" s="2770"/>
      <c r="I13" s="2770"/>
      <c r="J13" s="2770"/>
      <c r="K13" s="2770"/>
      <c r="L13" s="2770"/>
      <c r="M13" s="2770"/>
      <c r="N13" s="2770"/>
      <c r="O13" s="2770"/>
      <c r="P13" s="2770"/>
    </row>
    <row r="14" spans="1:16">
      <c r="A14" s="2770"/>
      <c r="B14" s="2770"/>
      <c r="C14" s="2770"/>
      <c r="D14" s="2770"/>
      <c r="E14" s="2770"/>
      <c r="F14" s="2770"/>
      <c r="G14" s="2770"/>
      <c r="H14" s="2770"/>
      <c r="I14" s="2770"/>
      <c r="J14" s="2770"/>
      <c r="K14" s="2770"/>
      <c r="L14" s="2770"/>
      <c r="M14" s="2770"/>
      <c r="N14" s="2770"/>
      <c r="O14" s="2770"/>
      <c r="P14" s="2770"/>
    </row>
    <row r="15" spans="1:16">
      <c r="A15" s="2770"/>
      <c r="B15" s="2770"/>
      <c r="C15" s="2770"/>
      <c r="D15" s="2770"/>
      <c r="E15" s="2770"/>
      <c r="F15" s="2770"/>
      <c r="G15" s="2770"/>
      <c r="H15" s="2770"/>
      <c r="I15" s="2770"/>
      <c r="J15" s="2770"/>
      <c r="K15" s="2770"/>
      <c r="L15" s="2770"/>
      <c r="M15" s="2770"/>
      <c r="N15" s="2770"/>
      <c r="O15" s="2770"/>
      <c r="P15" s="2770"/>
    </row>
    <row r="16" spans="1:16">
      <c r="A16" s="2770"/>
      <c r="B16" s="2770"/>
      <c r="C16" s="2770"/>
      <c r="D16" s="2770"/>
      <c r="E16" s="2770"/>
      <c r="F16" s="2770"/>
      <c r="G16" s="2770"/>
      <c r="H16" s="2770"/>
      <c r="I16" s="2770"/>
      <c r="J16" s="2770"/>
      <c r="K16" s="2770"/>
      <c r="L16" s="2770"/>
      <c r="M16" s="2770"/>
      <c r="N16" s="2770"/>
      <c r="O16" s="2770"/>
      <c r="P16" s="2770"/>
    </row>
    <row r="17" spans="1:16">
      <c r="A17" s="2770"/>
      <c r="B17" s="2770"/>
      <c r="C17" s="2770"/>
      <c r="D17" s="2770"/>
      <c r="E17" s="2770"/>
      <c r="F17" s="2770"/>
      <c r="G17" s="2770"/>
      <c r="H17" s="2770"/>
      <c r="I17" s="2770"/>
      <c r="J17" s="2770"/>
      <c r="K17" s="2770"/>
      <c r="L17" s="2770"/>
      <c r="M17" s="2770"/>
      <c r="N17" s="2770"/>
      <c r="O17" s="2770"/>
      <c r="P17" s="2770"/>
    </row>
    <row r="18" spans="1:16">
      <c r="A18" s="2770"/>
      <c r="B18" s="2770"/>
      <c r="C18" s="2770"/>
      <c r="D18" s="2770"/>
      <c r="E18" s="2770"/>
      <c r="F18" s="2770"/>
      <c r="G18" s="2770"/>
      <c r="H18" s="2770"/>
      <c r="I18" s="2770"/>
      <c r="J18" s="2770"/>
      <c r="K18" s="2770"/>
      <c r="L18" s="2770"/>
      <c r="M18" s="2770"/>
      <c r="N18" s="2770"/>
      <c r="O18" s="2770"/>
      <c r="P18" s="2770"/>
    </row>
    <row r="19" spans="1:16">
      <c r="A19" s="2770"/>
      <c r="B19" s="2770"/>
      <c r="C19" s="2770"/>
      <c r="D19" s="2770"/>
      <c r="E19" s="2770"/>
      <c r="F19" s="2770"/>
      <c r="G19" s="2770"/>
      <c r="H19" s="2770"/>
      <c r="I19" s="2770"/>
      <c r="J19" s="2770"/>
      <c r="K19" s="2770"/>
      <c r="L19" s="2770"/>
      <c r="M19" s="2770"/>
      <c r="N19" s="2770"/>
      <c r="O19" s="2770"/>
      <c r="P19" s="2770"/>
    </row>
    <row r="20" spans="1:16">
      <c r="A20" s="2770"/>
      <c r="B20" s="2770"/>
      <c r="C20" s="2770"/>
      <c r="D20" s="2770"/>
      <c r="E20" s="2770"/>
      <c r="F20" s="2770"/>
      <c r="G20" s="2770"/>
      <c r="H20" s="2770"/>
      <c r="I20" s="2770"/>
      <c r="J20" s="2770"/>
      <c r="K20" s="2770"/>
      <c r="L20" s="2770"/>
      <c r="M20" s="2770"/>
      <c r="N20" s="2770"/>
      <c r="O20" s="2770"/>
      <c r="P20" s="2770"/>
    </row>
    <row r="21" spans="1:16">
      <c r="A21" s="2770"/>
      <c r="B21" s="2770"/>
      <c r="C21" s="2770"/>
      <c r="D21" s="2770"/>
      <c r="E21" s="2770"/>
      <c r="F21" s="2770"/>
      <c r="G21" s="2770"/>
      <c r="H21" s="2770"/>
      <c r="I21" s="2770"/>
      <c r="J21" s="2770"/>
      <c r="K21" s="2770"/>
      <c r="L21" s="2770"/>
      <c r="M21" s="2770"/>
      <c r="N21" s="2770"/>
      <c r="O21" s="2770"/>
      <c r="P21" s="277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BD132"/>
  <sheetViews>
    <sheetView view="pageBreakPreview" zoomScale="80" zoomScaleNormal="70" zoomScaleSheetLayoutView="80" workbookViewId="0">
      <selection activeCell="B2" sqref="B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6.375" style="357" customWidth="1"/>
    <col min="6" max="6" width="12.25" style="357" customWidth="1"/>
    <col min="7" max="7" width="14.5" style="357" customWidth="1"/>
    <col min="8" max="8" width="12.25" style="357" customWidth="1"/>
    <col min="9" max="9" width="14.5" style="357" customWidth="1"/>
    <col min="10" max="10" width="12" style="357" customWidth="1"/>
    <col min="11" max="11" width="12.25" style="444" hidden="1"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37" width="9" style="357"/>
    <col min="38" max="38" width="11.25" style="357" customWidth="1"/>
    <col min="39" max="45" width="9" style="357"/>
    <col min="46" max="46" width="13.5" style="357" customWidth="1"/>
    <col min="47" max="49" width="9" style="357"/>
    <col min="50" max="50" width="10.75" style="357" customWidth="1"/>
    <col min="51" max="16384" width="9" style="357"/>
  </cols>
  <sheetData>
    <row r="1" spans="1:29" s="1233" customFormat="1" ht="28.5" customHeight="1" thickBot="1">
      <c r="A1" s="1222" t="s">
        <v>1644</v>
      </c>
      <c r="B1" s="1957" t="s">
        <v>1794</v>
      </c>
      <c r="C1" s="1224" t="s">
        <v>1646</v>
      </c>
      <c r="D1" s="1225"/>
      <c r="E1" s="3410" t="s">
        <v>3840</v>
      </c>
      <c r="F1" s="1879" t="s">
        <v>3841</v>
      </c>
      <c r="G1" s="1235" t="s">
        <v>1751</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1446</v>
      </c>
      <c r="B2" s="1164">
        <f>IF(E1="项目模式",IF(C2="——",ROUND(C50*D3/10000,0),ROUND(C50*D3/10000,0)-D2),IF(E1="单套模式",IF(C2="——",ROUND(C50*D3/10000,4),ROUND(C50*D3/10000,4)-D2)))</f>
        <v>244252</v>
      </c>
      <c r="C2" s="1881" t="s">
        <v>43</v>
      </c>
      <c r="D2" s="1115" t="e">
        <f ca="1">IF(E1="项目模式",SUMIF(INDIRECT("'"&amp;F2&amp;"'"&amp;"!A:A"),"承租人权益价值",INDIRECT("'"&amp;F2&amp;"'"&amp;"!c:c")),SUMIF(INDIRECT("'"&amp;F2&amp;"'"&amp;"!A:A"),"承租人权益价值（单套）",INDIRECT("'"&amp;F2&amp;"'"&amp;"!c:c")))</f>
        <v>#REF!</v>
      </c>
      <c r="E2" s="1882" t="s">
        <v>1447</v>
      </c>
      <c r="F2" s="1883"/>
      <c r="G2" s="908"/>
      <c r="H2" s="908"/>
      <c r="I2" s="908"/>
      <c r="J2" s="908"/>
      <c r="K2" s="908"/>
      <c r="L2" s="2711"/>
      <c r="M2" s="2712"/>
      <c r="N2" s="2712"/>
      <c r="O2" s="2712"/>
      <c r="P2" s="699"/>
      <c r="Q2" s="699"/>
      <c r="R2" s="699"/>
      <c r="S2" s="699"/>
      <c r="T2" s="699"/>
      <c r="U2" s="699"/>
      <c r="V2" s="699"/>
      <c r="W2" s="699"/>
      <c r="X2" s="699"/>
      <c r="Y2" s="699"/>
      <c r="Z2" s="699"/>
      <c r="AA2" s="699"/>
      <c r="AB2" s="699"/>
      <c r="AC2" s="700"/>
    </row>
    <row r="3" spans="1:29" s="352" customFormat="1" ht="28.5" customHeight="1" thickBot="1">
      <c r="A3" s="203" t="s">
        <v>1448</v>
      </c>
      <c r="B3" s="558">
        <f>IF(C2="——",C50,ROUND(B2*10000/D3,0))</f>
        <v>50133</v>
      </c>
      <c r="C3" s="354" t="s">
        <v>1752</v>
      </c>
      <c r="D3" s="353">
        <f>IF(D1="",'数据-汇总表'!E3,SUMIF('数据-汇总表'!$C19:$C33,D1,'数据-汇总表'!$E19:$E33))</f>
        <v>48720.729999999974</v>
      </c>
      <c r="E3" s="1954"/>
      <c r="F3" s="909"/>
      <c r="G3" s="908"/>
      <c r="H3" s="908"/>
      <c r="I3" s="908"/>
      <c r="J3" s="908"/>
      <c r="K3" s="910"/>
      <c r="L3" s="2711"/>
      <c r="M3" s="2712"/>
      <c r="N3" s="2712"/>
      <c r="O3" s="2712"/>
      <c r="P3" s="699"/>
      <c r="Q3" s="699"/>
      <c r="R3" s="699"/>
      <c r="S3" s="699"/>
      <c r="T3" s="699"/>
      <c r="U3" s="699"/>
      <c r="V3" s="699"/>
      <c r="W3" s="699"/>
      <c r="X3" s="699"/>
      <c r="Y3" s="699"/>
      <c r="Z3" s="699"/>
      <c r="AA3" s="699"/>
      <c r="AB3" s="699"/>
      <c r="AC3" s="700"/>
    </row>
    <row r="4" spans="1:29" ht="15">
      <c r="A4" s="355" t="s">
        <v>1753</v>
      </c>
      <c r="B4" s="356"/>
      <c r="C4" s="3922" t="s">
        <v>1754</v>
      </c>
      <c r="D4" s="3923"/>
      <c r="E4" s="3924" t="s">
        <v>1755</v>
      </c>
      <c r="F4" s="3925"/>
      <c r="G4" s="3922" t="s">
        <v>1756</v>
      </c>
      <c r="H4" s="3923"/>
      <c r="I4" s="3922" t="s">
        <v>1757</v>
      </c>
      <c r="J4" s="3923"/>
      <c r="K4" s="559" t="s">
        <v>1758</v>
      </c>
      <c r="L4" s="2692"/>
      <c r="M4" s="2693"/>
      <c r="N4" s="2693"/>
      <c r="O4" s="2693"/>
      <c r="P4" s="3926" t="s">
        <v>1759</v>
      </c>
      <c r="Q4" s="3927"/>
      <c r="R4" s="3932" t="s">
        <v>1755</v>
      </c>
      <c r="S4" s="3933"/>
      <c r="T4" s="3932" t="s">
        <v>1756</v>
      </c>
      <c r="U4" s="3933"/>
      <c r="V4" s="3938" t="s">
        <v>1757</v>
      </c>
      <c r="W4" s="3938"/>
      <c r="X4" s="1958"/>
      <c r="Y4" s="3932" t="s">
        <v>1759</v>
      </c>
      <c r="Z4" s="3933"/>
      <c r="AA4" s="3952" t="s">
        <v>1755</v>
      </c>
      <c r="AB4" s="3952" t="s">
        <v>1756</v>
      </c>
      <c r="AC4" s="3919" t="s">
        <v>1757</v>
      </c>
    </row>
    <row r="5" spans="1:29" ht="15">
      <c r="A5" s="358"/>
      <c r="B5" s="359"/>
      <c r="C5" s="3948" t="s">
        <v>1657</v>
      </c>
      <c r="D5" s="3943"/>
      <c r="E5" s="3955" t="str">
        <f>'2021'!B111</f>
        <v>兆泰国际中心CDE座</v>
      </c>
      <c r="F5" s="3956"/>
      <c r="G5" s="3942" t="str">
        <f>'2021'!B27</f>
        <v>启迪科技大厦D座</v>
      </c>
      <c r="H5" s="3943"/>
      <c r="I5" s="3948" t="str">
        <f>'2021'!B83</f>
        <v>大新华航空大厦(现更名为中信保诚大厦)</v>
      </c>
      <c r="J5" s="3943"/>
      <c r="K5" s="559"/>
      <c r="L5" s="2692"/>
      <c r="M5" s="2693"/>
      <c r="N5" s="2693"/>
      <c r="O5" s="2693"/>
      <c r="P5" s="3928"/>
      <c r="Q5" s="3929"/>
      <c r="R5" s="3934"/>
      <c r="S5" s="3935"/>
      <c r="T5" s="3934"/>
      <c r="U5" s="3935"/>
      <c r="V5" s="3939"/>
      <c r="W5" s="3939"/>
      <c r="X5" s="1355"/>
      <c r="Y5" s="3934"/>
      <c r="Z5" s="3935"/>
      <c r="AA5" s="3953"/>
      <c r="AB5" s="3953"/>
      <c r="AC5" s="3920"/>
    </row>
    <row r="6" spans="1:29" ht="15.75" thickBot="1">
      <c r="A6" s="360"/>
      <c r="B6" s="361"/>
      <c r="C6" s="3949" t="s">
        <v>4466</v>
      </c>
      <c r="D6" s="3941"/>
      <c r="E6" s="3950" t="str">
        <f>'2021'!E111</f>
        <v>东二环</v>
      </c>
      <c r="F6" s="3951"/>
      <c r="G6" s="3940" t="str">
        <f>'2021'!E27</f>
        <v>中关村</v>
      </c>
      <c r="H6" s="3941"/>
      <c r="I6" s="3940" t="str">
        <f>'2021'!E83</f>
        <v>三元桥</v>
      </c>
      <c r="J6" s="3941"/>
      <c r="K6" s="559" t="s">
        <v>1662</v>
      </c>
      <c r="L6" s="2692"/>
      <c r="M6" s="2693"/>
      <c r="N6" s="2693"/>
      <c r="O6" s="2693"/>
      <c r="P6" s="3930"/>
      <c r="Q6" s="3931"/>
      <c r="R6" s="3934"/>
      <c r="S6" s="3935"/>
      <c r="T6" s="3936"/>
      <c r="U6" s="3937"/>
      <c r="V6" s="3939"/>
      <c r="W6" s="3939"/>
      <c r="X6" s="1355"/>
      <c r="Y6" s="3936"/>
      <c r="Z6" s="3937"/>
      <c r="AA6" s="3954"/>
      <c r="AB6" s="3954"/>
      <c r="AC6" s="3921"/>
    </row>
    <row r="7" spans="1:29" s="108" customFormat="1" ht="15.75" thickBot="1">
      <c r="A7" s="362" t="s">
        <v>1663</v>
      </c>
      <c r="B7" s="363"/>
      <c r="C7" s="364">
        <f>'数据-取费表'!B2</f>
        <v>45287</v>
      </c>
      <c r="D7" s="365">
        <v>100</v>
      </c>
      <c r="E7" s="366">
        <f>'2021'!P111</f>
        <v>44228</v>
      </c>
      <c r="F7" s="367">
        <f>SUMIF(59:59,YEAR(E7)&amp;"-"&amp;MONTH(E7),60:60)</f>
        <v>98</v>
      </c>
      <c r="G7" s="366">
        <v>44197</v>
      </c>
      <c r="H7" s="365">
        <f>SUMIF(59:59,YEAR(G7)&amp;"-"&amp;MONTH(G7),60:60)</f>
        <v>98</v>
      </c>
      <c r="I7" s="366">
        <v>44166</v>
      </c>
      <c r="J7" s="365">
        <f>SUMIF(59:59,YEAR(I7)&amp;"-"&amp;MONTH(I7),60:60)</f>
        <v>97</v>
      </c>
      <c r="K7" s="560"/>
      <c r="L7" s="2694"/>
      <c r="M7" s="2695"/>
      <c r="N7" s="2695"/>
      <c r="O7" s="2695"/>
      <c r="P7" s="3944" t="s">
        <v>1664</v>
      </c>
      <c r="Q7" s="3947"/>
      <c r="R7" s="701" t="s">
        <v>14</v>
      </c>
      <c r="S7" s="702">
        <f t="shared" ref="S7:S15" si="0">F7</f>
        <v>98</v>
      </c>
      <c r="T7" s="701" t="s">
        <v>14</v>
      </c>
      <c r="U7" s="702">
        <f t="shared" ref="U7:U15" si="1">H7</f>
        <v>98</v>
      </c>
      <c r="V7" s="701" t="s">
        <v>14</v>
      </c>
      <c r="W7" s="702">
        <f t="shared" ref="W7:W15" si="2">J7</f>
        <v>97</v>
      </c>
      <c r="X7" s="703"/>
      <c r="Y7" s="3946" t="s">
        <v>1664</v>
      </c>
      <c r="Z7" s="3945"/>
      <c r="AA7" s="704">
        <f>D7/F7</f>
        <v>1.0204081632653061</v>
      </c>
      <c r="AB7" s="704">
        <f>D7/H7</f>
        <v>1.0204081632653061</v>
      </c>
      <c r="AC7" s="1959">
        <f>D7/J7</f>
        <v>1.0309278350515463</v>
      </c>
    </row>
    <row r="8" spans="1:29" s="108" customFormat="1" ht="15.75" thickBot="1">
      <c r="A8" s="362" t="s">
        <v>1665</v>
      </c>
      <c r="B8" s="363"/>
      <c r="C8" s="368" t="s">
        <v>3824</v>
      </c>
      <c r="D8" s="365">
        <v>100</v>
      </c>
      <c r="E8" s="368" t="s">
        <v>3824</v>
      </c>
      <c r="F8" s="367">
        <f>SUMIF(62:62,E8,63:63)-SUMIF(62:62,C8,63:63)+100</f>
        <v>100</v>
      </c>
      <c r="G8" s="368" t="s">
        <v>3824</v>
      </c>
      <c r="H8" s="365">
        <f>SUMIF(62:62,G8,63:63)-SUMIF(62:62,C8,63:63)+100</f>
        <v>100</v>
      </c>
      <c r="I8" s="368" t="s">
        <v>3824</v>
      </c>
      <c r="J8" s="365">
        <f>SUMIF(62:62,I8,63:63)-SUMIF(62:62,C8,63:63)+100</f>
        <v>100</v>
      </c>
      <c r="K8" s="560"/>
      <c r="L8" s="2694"/>
      <c r="M8" s="2695"/>
      <c r="N8" s="2695"/>
      <c r="O8" s="2695"/>
      <c r="P8" s="3944" t="s">
        <v>1667</v>
      </c>
      <c r="Q8" s="3945"/>
      <c r="R8" s="701" t="s">
        <v>14</v>
      </c>
      <c r="S8" s="702">
        <f t="shared" si="0"/>
        <v>100</v>
      </c>
      <c r="T8" s="701" t="s">
        <v>14</v>
      </c>
      <c r="U8" s="702">
        <f t="shared" si="1"/>
        <v>100</v>
      </c>
      <c r="V8" s="701" t="s">
        <v>14</v>
      </c>
      <c r="W8" s="702">
        <f t="shared" si="2"/>
        <v>100</v>
      </c>
      <c r="X8" s="703"/>
      <c r="Y8" s="3946" t="s">
        <v>1667</v>
      </c>
      <c r="Z8" s="3945"/>
      <c r="AA8" s="704">
        <f t="shared" ref="AA8:AA47" si="3">D8/F8</f>
        <v>1</v>
      </c>
      <c r="AB8" s="704">
        <f t="shared" ref="AB8:AB47" si="4">D8/H8</f>
        <v>1</v>
      </c>
      <c r="AC8" s="1959">
        <f t="shared" ref="AC8:AC47" si="5">D8/J8</f>
        <v>1</v>
      </c>
    </row>
    <row r="9" spans="1:29" s="108" customFormat="1" ht="15">
      <c r="A9" s="369" t="s">
        <v>1668</v>
      </c>
      <c r="B9" s="63" t="s">
        <v>1669</v>
      </c>
      <c r="C9" s="3587" t="s">
        <v>3834</v>
      </c>
      <c r="D9" s="126">
        <v>100</v>
      </c>
      <c r="E9" s="373" t="s">
        <v>21</v>
      </c>
      <c r="F9" s="126">
        <f>SUMIF(64:64,E9,65:65)-SUMIF(64:64,C9,65:65)+100</f>
        <v>103</v>
      </c>
      <c r="G9" s="373" t="s">
        <v>21</v>
      </c>
      <c r="H9" s="126">
        <f>SUMIF(64:64,G9,65:65)-SUMIF(64:64,C9,65:65)+100</f>
        <v>103</v>
      </c>
      <c r="I9" s="373" t="s">
        <v>21</v>
      </c>
      <c r="J9" s="126">
        <f>SUMIF(64:64,I9,65:65)-SUMIF(64:64,C9,65:65)+100</f>
        <v>103</v>
      </c>
      <c r="K9" s="560"/>
      <c r="L9" s="2694"/>
      <c r="M9" s="2695"/>
      <c r="N9" s="2695"/>
      <c r="O9" s="2695"/>
      <c r="P9" s="3904" t="s">
        <v>1670</v>
      </c>
      <c r="Q9" s="1343" t="str">
        <f t="shared" ref="Q9:Q15" si="6">B9</f>
        <v>用途</v>
      </c>
      <c r="R9" s="701" t="s">
        <v>14</v>
      </c>
      <c r="S9" s="702">
        <f t="shared" si="0"/>
        <v>103</v>
      </c>
      <c r="T9" s="701" t="s">
        <v>14</v>
      </c>
      <c r="U9" s="702">
        <f t="shared" si="1"/>
        <v>103</v>
      </c>
      <c r="V9" s="701" t="s">
        <v>14</v>
      </c>
      <c r="W9" s="702">
        <f t="shared" si="2"/>
        <v>103</v>
      </c>
      <c r="X9" s="703"/>
      <c r="Y9" s="3783" t="s">
        <v>1671</v>
      </c>
      <c r="Z9" s="52" t="str">
        <f t="shared" ref="Z9:Z15" si="7">Q9</f>
        <v>用途</v>
      </c>
      <c r="AA9" s="704">
        <f t="shared" si="3"/>
        <v>0.970873786407767</v>
      </c>
      <c r="AB9" s="704">
        <f t="shared" si="4"/>
        <v>0.970873786407767</v>
      </c>
      <c r="AC9" s="1959">
        <f t="shared" si="5"/>
        <v>0.970873786407767</v>
      </c>
    </row>
    <row r="10" spans="1:29" s="378" customFormat="1" ht="27">
      <c r="A10" s="374"/>
      <c r="B10" s="375" t="s">
        <v>1672</v>
      </c>
      <c r="C10" s="3411" t="str">
        <f>E66</f>
        <v>10-20</v>
      </c>
      <c r="D10" s="127">
        <v>100</v>
      </c>
      <c r="E10" s="3411" t="s">
        <v>3827</v>
      </c>
      <c r="F10" s="127">
        <f>SUMIF(66:66,E10,67:67)-SUMIF(66:66,C10,67:67)+100</f>
        <v>110</v>
      </c>
      <c r="G10" s="3411" t="s">
        <v>3825</v>
      </c>
      <c r="H10" s="127">
        <f>SUMIF(66:66,G10,67:67)-SUMIF(66:66,C10,67:67)+100</f>
        <v>105</v>
      </c>
      <c r="I10" s="3411" t="s">
        <v>3827</v>
      </c>
      <c r="J10" s="127">
        <f>SUMIF(66:66,I10,67:67)-SUMIF(66:66,C10,67:67)+100</f>
        <v>110</v>
      </c>
      <c r="K10" s="560"/>
      <c r="L10" s="2696"/>
      <c r="M10" s="2697"/>
      <c r="N10" s="2697"/>
      <c r="O10" s="2697"/>
      <c r="P10" s="3904"/>
      <c r="Q10" s="1343" t="str">
        <f t="shared" si="6"/>
        <v>土地使用年限（年）</v>
      </c>
      <c r="R10" s="701" t="s">
        <v>14</v>
      </c>
      <c r="S10" s="702">
        <f t="shared" si="0"/>
        <v>110</v>
      </c>
      <c r="T10" s="701" t="s">
        <v>14</v>
      </c>
      <c r="U10" s="702">
        <f t="shared" si="1"/>
        <v>105</v>
      </c>
      <c r="V10" s="701" t="s">
        <v>14</v>
      </c>
      <c r="W10" s="702">
        <f t="shared" si="2"/>
        <v>110</v>
      </c>
      <c r="X10" s="703"/>
      <c r="Y10" s="3783"/>
      <c r="Z10" s="52" t="str">
        <f t="shared" si="7"/>
        <v>土地使用年限（年）</v>
      </c>
      <c r="AA10" s="704">
        <f t="shared" si="3"/>
        <v>0.90909090909090906</v>
      </c>
      <c r="AB10" s="704">
        <f t="shared" si="4"/>
        <v>0.95238095238095233</v>
      </c>
      <c r="AC10" s="1959">
        <f t="shared" si="5"/>
        <v>0.90909090909090906</v>
      </c>
    </row>
    <row r="11" spans="1:29" ht="15">
      <c r="A11" s="379"/>
      <c r="B11" s="375" t="s">
        <v>1673</v>
      </c>
      <c r="C11" s="380"/>
      <c r="D11" s="127">
        <v>100</v>
      </c>
      <c r="E11" s="380"/>
      <c r="F11" s="127">
        <f>LOOKUP(E11,69:69,70:70)-LOOKUP(C11,69:69,70:70)+100</f>
        <v>100</v>
      </c>
      <c r="G11" s="1960"/>
      <c r="H11" s="127">
        <f>LOOKUP(G11,69:69,70:70)-LOOKUP(C11,69:69,70:70)+100</f>
        <v>100</v>
      </c>
      <c r="I11" s="383"/>
      <c r="J11" s="127">
        <f>LOOKUP(I11,69:69,70:70)-LOOKUP(C11,69:69,70:70)+100</f>
        <v>100</v>
      </c>
      <c r="K11" s="561"/>
      <c r="L11" s="2698"/>
      <c r="M11" s="2693"/>
      <c r="N11" s="2693"/>
      <c r="O11" s="2693"/>
      <c r="P11" s="3904"/>
      <c r="Q11" s="1343" t="str">
        <f t="shared" si="6"/>
        <v>容积率</v>
      </c>
      <c r="R11" s="701" t="s">
        <v>14</v>
      </c>
      <c r="S11" s="702">
        <f t="shared" si="0"/>
        <v>100</v>
      </c>
      <c r="T11" s="701" t="s">
        <v>14</v>
      </c>
      <c r="U11" s="702">
        <f t="shared" si="1"/>
        <v>100</v>
      </c>
      <c r="V11" s="701" t="s">
        <v>14</v>
      </c>
      <c r="W11" s="702">
        <f t="shared" si="2"/>
        <v>100</v>
      </c>
      <c r="X11" s="703"/>
      <c r="Y11" s="3783"/>
      <c r="Z11" s="52" t="str">
        <f t="shared" si="7"/>
        <v>容积率</v>
      </c>
      <c r="AA11" s="704">
        <f t="shared" si="3"/>
        <v>1</v>
      </c>
      <c r="AB11" s="704">
        <f t="shared" si="4"/>
        <v>1</v>
      </c>
      <c r="AC11" s="1959">
        <f t="shared" si="5"/>
        <v>1</v>
      </c>
    </row>
    <row r="12" spans="1:29" s="108" customFormat="1" ht="15">
      <c r="A12" s="382"/>
      <c r="B12" s="3626" t="s">
        <v>4454</v>
      </c>
      <c r="C12" s="383">
        <v>2008</v>
      </c>
      <c r="D12" s="384">
        <v>100</v>
      </c>
      <c r="E12" s="383">
        <v>2014</v>
      </c>
      <c r="F12" s="127">
        <f>SUMIF(71:71,E12,72:72)-SUMIF(71:71,C12,72:72)+100</f>
        <v>100</v>
      </c>
      <c r="G12" s="1960">
        <v>2001</v>
      </c>
      <c r="H12" s="127">
        <f>SUMIF(71:71,G12,72:72)-SUMIF(71:71,C12,72:72)+100</f>
        <v>100</v>
      </c>
      <c r="I12" s="383">
        <v>2008</v>
      </c>
      <c r="J12" s="127">
        <f>SUMIF(71:71,I12,72:72)-SUMIF(71:71,C12,72:72)+100</f>
        <v>100</v>
      </c>
      <c r="K12" s="562"/>
      <c r="L12" s="2694"/>
      <c r="M12" s="2695"/>
      <c r="N12" s="2695"/>
      <c r="O12" s="2695"/>
      <c r="P12" s="3904"/>
      <c r="Q12" s="1343" t="str">
        <f t="shared" si="6"/>
        <v>建成</v>
      </c>
      <c r="R12" s="701" t="s">
        <v>14</v>
      </c>
      <c r="S12" s="702">
        <f t="shared" si="0"/>
        <v>100</v>
      </c>
      <c r="T12" s="701" t="s">
        <v>14</v>
      </c>
      <c r="U12" s="702">
        <f t="shared" si="1"/>
        <v>100</v>
      </c>
      <c r="V12" s="701" t="s">
        <v>14</v>
      </c>
      <c r="W12" s="702">
        <f t="shared" si="2"/>
        <v>100</v>
      </c>
      <c r="X12" s="703"/>
      <c r="Y12" s="3783"/>
      <c r="Z12" s="52" t="str">
        <f t="shared" si="7"/>
        <v>建成</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699"/>
      <c r="M13" s="2693"/>
      <c r="N13" s="2693"/>
      <c r="O13" s="2693"/>
      <c r="P13" s="3904"/>
      <c r="Q13" s="1343">
        <f t="shared" si="6"/>
        <v>111</v>
      </c>
      <c r="R13" s="701" t="s">
        <v>14</v>
      </c>
      <c r="S13" s="702">
        <f t="shared" si="0"/>
        <v>100</v>
      </c>
      <c r="T13" s="701" t="s">
        <v>14</v>
      </c>
      <c r="U13" s="702">
        <f t="shared" si="1"/>
        <v>100</v>
      </c>
      <c r="V13" s="701" t="s">
        <v>14</v>
      </c>
      <c r="W13" s="702">
        <f t="shared" si="2"/>
        <v>100</v>
      </c>
      <c r="X13" s="703"/>
      <c r="Y13" s="3783"/>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699"/>
      <c r="M14" s="2693"/>
      <c r="N14" s="2693"/>
      <c r="O14" s="2693"/>
      <c r="P14" s="3904"/>
      <c r="Q14" s="1343">
        <f t="shared" si="6"/>
        <v>111</v>
      </c>
      <c r="R14" s="701" t="s">
        <v>14</v>
      </c>
      <c r="S14" s="702">
        <f t="shared" si="0"/>
        <v>100</v>
      </c>
      <c r="T14" s="701" t="s">
        <v>14</v>
      </c>
      <c r="U14" s="702">
        <f t="shared" si="1"/>
        <v>100</v>
      </c>
      <c r="V14" s="701" t="s">
        <v>14</v>
      </c>
      <c r="W14" s="702">
        <f t="shared" si="2"/>
        <v>100</v>
      </c>
      <c r="X14" s="703"/>
      <c r="Y14" s="3783"/>
      <c r="Z14" s="52">
        <f t="shared" si="7"/>
        <v>111</v>
      </c>
      <c r="AA14" s="704">
        <f t="shared" si="3"/>
        <v>1</v>
      </c>
      <c r="AB14" s="704">
        <f t="shared" si="4"/>
        <v>1</v>
      </c>
      <c r="AC14" s="1959">
        <f t="shared" si="5"/>
        <v>1</v>
      </c>
    </row>
    <row r="15" spans="1:29" ht="15">
      <c r="A15" s="391" t="s">
        <v>1674</v>
      </c>
      <c r="B15" s="577" t="s">
        <v>1795</v>
      </c>
      <c r="C15" s="1961" t="str">
        <f>估价对象房地状况!C5</f>
        <v>一般</v>
      </c>
      <c r="D15" s="392">
        <v>100</v>
      </c>
      <c r="E15" s="395" t="s">
        <v>3428</v>
      </c>
      <c r="F15" s="392">
        <f>SUMIF(77:77,E16,78:78)-SUMIF(77:77,C16,78:78)+100</f>
        <v>105</v>
      </c>
      <c r="G15" s="395" t="s">
        <v>3428</v>
      </c>
      <c r="H15" s="392">
        <f>SUMIF(77:77,G16,78:78)-SUMIF(77:77,C16,78:78)+100</f>
        <v>105</v>
      </c>
      <c r="I15" s="395" t="s">
        <v>3428</v>
      </c>
      <c r="J15" s="392">
        <f>SUMIF(77:77,I16,78:78)-SUMIF(77:77,C16,78:78)+100</f>
        <v>105</v>
      </c>
      <c r="K15" s="563">
        <v>5</v>
      </c>
      <c r="L15" s="2699"/>
      <c r="M15" s="2693"/>
      <c r="N15" s="2693"/>
      <c r="O15" s="2693"/>
      <c r="P15" s="3910" t="s">
        <v>1675</v>
      </c>
      <c r="Q15" s="1352" t="str">
        <f t="shared" si="6"/>
        <v>办公集聚程度</v>
      </c>
      <c r="R15" s="705" t="s">
        <v>14</v>
      </c>
      <c r="S15" s="706">
        <f t="shared" si="0"/>
        <v>105</v>
      </c>
      <c r="T15" s="705" t="s">
        <v>14</v>
      </c>
      <c r="U15" s="706">
        <f t="shared" si="1"/>
        <v>105</v>
      </c>
      <c r="V15" s="705" t="s">
        <v>14</v>
      </c>
      <c r="W15" s="706">
        <f t="shared" si="2"/>
        <v>105</v>
      </c>
      <c r="X15" s="1355"/>
      <c r="Y15" s="3912" t="s">
        <v>1675</v>
      </c>
      <c r="Z15" s="1356" t="str">
        <f t="shared" si="7"/>
        <v>办公集聚程度</v>
      </c>
      <c r="AA15" s="1353">
        <f t="shared" si="3"/>
        <v>0.95238095238095233</v>
      </c>
      <c r="AB15" s="1353">
        <f t="shared" si="4"/>
        <v>0.95238095238095233</v>
      </c>
      <c r="AC15" s="1962">
        <f t="shared" si="5"/>
        <v>0.95238095238095233</v>
      </c>
    </row>
    <row r="16" spans="1:29" ht="15.75" thickBot="1">
      <c r="A16" s="379"/>
      <c r="B16" s="578"/>
      <c r="C16" s="1904" t="s">
        <v>3832</v>
      </c>
      <c r="D16" s="399"/>
      <c r="E16" s="398" t="s">
        <v>3428</v>
      </c>
      <c r="F16" s="399"/>
      <c r="G16" s="398" t="s">
        <v>3428</v>
      </c>
      <c r="H16" s="401"/>
      <c r="I16" s="398" t="s">
        <v>3428</v>
      </c>
      <c r="J16" s="399"/>
      <c r="K16" s="564"/>
      <c r="L16" s="2699"/>
      <c r="M16" s="2693"/>
      <c r="N16" s="2693"/>
      <c r="O16" s="2693"/>
      <c r="P16" s="3911"/>
      <c r="Q16" s="1352"/>
      <c r="R16" s="705"/>
      <c r="S16" s="706"/>
      <c r="T16" s="705"/>
      <c r="U16" s="706"/>
      <c r="V16" s="705"/>
      <c r="W16" s="706"/>
      <c r="X16" s="1355"/>
      <c r="Y16" s="3913"/>
      <c r="Z16" s="1356"/>
      <c r="AA16" s="1353">
        <v>1</v>
      </c>
      <c r="AB16" s="1353">
        <v>1</v>
      </c>
      <c r="AC16" s="1962">
        <v>1</v>
      </c>
    </row>
    <row r="17" spans="1:29" ht="15">
      <c r="A17" s="379"/>
      <c r="B17" s="579" t="s">
        <v>1259</v>
      </c>
      <c r="C17" s="1963" t="str">
        <f>估价对象房地状况!C6</f>
        <v>一般</v>
      </c>
      <c r="D17" s="401">
        <v>100</v>
      </c>
      <c r="E17" s="395" t="s">
        <v>3428</v>
      </c>
      <c r="F17" s="401">
        <f>SUMIF(79:79,E18,80:80)-SUMIF(79:79,C18,80:80)+100</f>
        <v>105</v>
      </c>
      <c r="G17" s="395" t="s">
        <v>3428</v>
      </c>
      <c r="H17" s="406">
        <f>SUMIF(79:79,G18,80:80)-SUMIF(79:79,C18,80:80)+100</f>
        <v>105</v>
      </c>
      <c r="I17" s="395" t="s">
        <v>3428</v>
      </c>
      <c r="J17" s="406">
        <f>SUMIF(79:79,I18,80:80)-SUMIF(79:79,C18,80:80)+100</f>
        <v>105</v>
      </c>
      <c r="K17" s="563">
        <f>K15</f>
        <v>5</v>
      </c>
      <c r="L17" s="2699"/>
      <c r="M17" s="2693"/>
      <c r="N17" s="2693"/>
      <c r="O17" s="2693"/>
      <c r="P17" s="3911"/>
      <c r="Q17" s="1352" t="str">
        <f>B17</f>
        <v>交通便捷度</v>
      </c>
      <c r="R17" s="705" t="s">
        <v>14</v>
      </c>
      <c r="S17" s="706">
        <f>F17</f>
        <v>105</v>
      </c>
      <c r="T17" s="705" t="s">
        <v>14</v>
      </c>
      <c r="U17" s="706">
        <f>H17</f>
        <v>105</v>
      </c>
      <c r="V17" s="705" t="s">
        <v>14</v>
      </c>
      <c r="W17" s="706">
        <f>J17</f>
        <v>105</v>
      </c>
      <c r="X17" s="1355"/>
      <c r="Y17" s="3913"/>
      <c r="Z17" s="1356" t="str">
        <f>Q17</f>
        <v>交通便捷度</v>
      </c>
      <c r="AA17" s="1353">
        <f t="shared" si="3"/>
        <v>0.95238095238095233</v>
      </c>
      <c r="AB17" s="1353">
        <f t="shared" si="4"/>
        <v>0.95238095238095233</v>
      </c>
      <c r="AC17" s="1962">
        <f t="shared" si="5"/>
        <v>0.95238095238095233</v>
      </c>
    </row>
    <row r="18" spans="1:29" ht="15.75" thickBot="1">
      <c r="A18" s="379"/>
      <c r="B18" s="580"/>
      <c r="C18" s="1964" t="s">
        <v>3832</v>
      </c>
      <c r="D18" s="401"/>
      <c r="E18" s="398" t="s">
        <v>3428</v>
      </c>
      <c r="F18" s="401"/>
      <c r="G18" s="398" t="s">
        <v>3428</v>
      </c>
      <c r="H18" s="399"/>
      <c r="I18" s="398" t="s">
        <v>3428</v>
      </c>
      <c r="J18" s="399"/>
      <c r="K18" s="564"/>
      <c r="L18" s="2699"/>
      <c r="M18" s="2693"/>
      <c r="N18" s="2693"/>
      <c r="O18" s="2693"/>
      <c r="P18" s="3911"/>
      <c r="Q18" s="1352"/>
      <c r="R18" s="705"/>
      <c r="S18" s="706"/>
      <c r="T18" s="705"/>
      <c r="U18" s="706"/>
      <c r="V18" s="705"/>
      <c r="W18" s="706"/>
      <c r="X18" s="1355"/>
      <c r="Y18" s="3913"/>
      <c r="Z18" s="1356"/>
      <c r="AA18" s="1353">
        <v>1</v>
      </c>
      <c r="AB18" s="1353">
        <v>1</v>
      </c>
      <c r="AC18" s="1962">
        <v>1</v>
      </c>
    </row>
    <row r="19" spans="1:29" ht="15">
      <c r="A19" s="379"/>
      <c r="B19" s="579" t="s">
        <v>1796</v>
      </c>
      <c r="C19" s="1963" t="str">
        <f>估价对象房地状况!C7</f>
        <v>较好</v>
      </c>
      <c r="D19" s="406">
        <v>100</v>
      </c>
      <c r="E19" s="395" t="s">
        <v>3428</v>
      </c>
      <c r="F19" s="406">
        <f>SUMIF(81:81,E20,82:82)-SUMIF(81:81,C20,82:82)+100</f>
        <v>100</v>
      </c>
      <c r="G19" s="395" t="s">
        <v>3428</v>
      </c>
      <c r="H19" s="401">
        <f>SUMIF(81:81,G20,82:82)-SUMIF(81:81,C20,82:82)+100</f>
        <v>100</v>
      </c>
      <c r="I19" s="395" t="s">
        <v>3428</v>
      </c>
      <c r="J19" s="401">
        <f>SUMIF(81:81,I20,82:82)-SUMIF(81:81,C20,82:82)+100</f>
        <v>100</v>
      </c>
      <c r="K19" s="563">
        <v>2</v>
      </c>
      <c r="L19" s="2699"/>
      <c r="M19" s="2693"/>
      <c r="N19" s="2693"/>
      <c r="O19" s="2693"/>
      <c r="P19" s="3911"/>
      <c r="Q19" s="1352" t="str">
        <f>B19</f>
        <v>公共配套设施</v>
      </c>
      <c r="R19" s="705" t="s">
        <v>14</v>
      </c>
      <c r="S19" s="706">
        <f>F19</f>
        <v>100</v>
      </c>
      <c r="T19" s="705" t="s">
        <v>14</v>
      </c>
      <c r="U19" s="706">
        <f>H19</f>
        <v>100</v>
      </c>
      <c r="V19" s="705" t="s">
        <v>14</v>
      </c>
      <c r="W19" s="706">
        <f>J19</f>
        <v>100</v>
      </c>
      <c r="X19" s="1355"/>
      <c r="Y19" s="3913"/>
      <c r="Z19" s="1356" t="str">
        <f>Q19</f>
        <v>公共配套设施</v>
      </c>
      <c r="AA19" s="1353">
        <f t="shared" si="3"/>
        <v>1</v>
      </c>
      <c r="AB19" s="1353">
        <f t="shared" si="4"/>
        <v>1</v>
      </c>
      <c r="AC19" s="1962">
        <f t="shared" si="5"/>
        <v>1</v>
      </c>
    </row>
    <row r="20" spans="1:29" ht="15">
      <c r="A20" s="379"/>
      <c r="B20" s="580"/>
      <c r="C20" s="1904" t="s">
        <v>3428</v>
      </c>
      <c r="D20" s="399"/>
      <c r="E20" s="398" t="s">
        <v>3428</v>
      </c>
      <c r="F20" s="399"/>
      <c r="G20" s="398" t="s">
        <v>3428</v>
      </c>
      <c r="H20" s="399"/>
      <c r="I20" s="398" t="s">
        <v>3428</v>
      </c>
      <c r="J20" s="399"/>
      <c r="K20" s="564"/>
      <c r="L20" s="2699"/>
      <c r="M20" s="2693"/>
      <c r="N20" s="2693"/>
      <c r="O20" s="2693"/>
      <c r="P20" s="3911"/>
      <c r="Q20" s="1352"/>
      <c r="R20" s="705"/>
      <c r="S20" s="706"/>
      <c r="T20" s="705"/>
      <c r="U20" s="706"/>
      <c r="V20" s="705"/>
      <c r="W20" s="706"/>
      <c r="X20" s="1355"/>
      <c r="Y20" s="3913"/>
      <c r="Z20" s="1356"/>
      <c r="AA20" s="1353">
        <v>1</v>
      </c>
      <c r="AB20" s="1353">
        <v>1</v>
      </c>
      <c r="AC20" s="1962">
        <v>1</v>
      </c>
    </row>
    <row r="21" spans="1:29" ht="15">
      <c r="A21" s="379"/>
      <c r="B21" s="581" t="s">
        <v>1797</v>
      </c>
      <c r="C21" s="1963" t="str">
        <f>估价对象房地状况!C8</f>
        <v>七通</v>
      </c>
      <c r="D21" s="401">
        <v>100</v>
      </c>
      <c r="E21" s="410" t="s">
        <v>3826</v>
      </c>
      <c r="F21" s="406">
        <f>SUMIF(83:83,E22,84:84)-SUMIF(83:83,C22,84:84)+100</f>
        <v>100</v>
      </c>
      <c r="G21" s="410" t="s">
        <v>3826</v>
      </c>
      <c r="H21" s="401">
        <f>SUMIF(83:83,G22,84:84)-SUMIF(83:83,C22,84:84)+100</f>
        <v>100</v>
      </c>
      <c r="I21" s="410" t="s">
        <v>3826</v>
      </c>
      <c r="J21" s="401">
        <f>SUMIF(83:83,I22,84:84)-SUMIF(83:83,C22,84:84)+100</f>
        <v>100</v>
      </c>
      <c r="K21" s="563">
        <v>1</v>
      </c>
      <c r="L21" s="2699"/>
      <c r="M21" s="2693"/>
      <c r="N21" s="2693"/>
      <c r="O21" s="2693"/>
      <c r="P21" s="3911"/>
      <c r="Q21" s="1352" t="str">
        <f>B21</f>
        <v>基础设施水平</v>
      </c>
      <c r="R21" s="705" t="s">
        <v>14</v>
      </c>
      <c r="S21" s="706">
        <f>F21</f>
        <v>100</v>
      </c>
      <c r="T21" s="705" t="s">
        <v>14</v>
      </c>
      <c r="U21" s="706">
        <f>H21</f>
        <v>100</v>
      </c>
      <c r="V21" s="705" t="s">
        <v>14</v>
      </c>
      <c r="W21" s="706">
        <f>J21</f>
        <v>100</v>
      </c>
      <c r="X21" s="1355"/>
      <c r="Y21" s="3913"/>
      <c r="Z21" s="1356" t="str">
        <f>Q21</f>
        <v>基础设施水平</v>
      </c>
      <c r="AA21" s="1353">
        <f t="shared" ref="AA21" si="8">D21/F21</f>
        <v>1</v>
      </c>
      <c r="AB21" s="1353">
        <f t="shared" ref="AB21" si="9">D21/H21</f>
        <v>1</v>
      </c>
      <c r="AC21" s="1962">
        <f t="shared" ref="AC21" si="10">D21/J21</f>
        <v>1</v>
      </c>
    </row>
    <row r="22" spans="1:29" ht="15">
      <c r="A22" s="379"/>
      <c r="B22" s="581"/>
      <c r="C22" s="1964" t="s">
        <v>3826</v>
      </c>
      <c r="D22" s="399"/>
      <c r="E22" s="398" t="s">
        <v>3826</v>
      </c>
      <c r="F22" s="399"/>
      <c r="G22" s="398" t="s">
        <v>3826</v>
      </c>
      <c r="H22" s="399"/>
      <c r="I22" s="398" t="s">
        <v>3826</v>
      </c>
      <c r="J22" s="399"/>
      <c r="K22" s="1130"/>
      <c r="L22" s="2699"/>
      <c r="M22" s="2693"/>
      <c r="N22" s="2693"/>
      <c r="O22" s="2693"/>
      <c r="P22" s="3911"/>
      <c r="Q22" s="1352"/>
      <c r="R22" s="705"/>
      <c r="S22" s="706"/>
      <c r="T22" s="705"/>
      <c r="U22" s="706"/>
      <c r="V22" s="705"/>
      <c r="W22" s="706"/>
      <c r="X22" s="1355"/>
      <c r="Y22" s="3913"/>
      <c r="Z22" s="1356"/>
      <c r="AA22" s="1353">
        <v>1</v>
      </c>
      <c r="AB22" s="1353">
        <v>1</v>
      </c>
      <c r="AC22" s="1962">
        <v>1</v>
      </c>
    </row>
    <row r="23" spans="1:29" ht="15">
      <c r="A23" s="379"/>
      <c r="B23" s="579" t="s">
        <v>1798</v>
      </c>
      <c r="C23" s="1963" t="str">
        <f>估价对象房地状况!C9</f>
        <v>较好</v>
      </c>
      <c r="D23" s="401">
        <v>100</v>
      </c>
      <c r="E23" s="405" t="s">
        <v>3428</v>
      </c>
      <c r="F23" s="401">
        <f>SUMIF(85:85,E24,86:86)-SUMIF(85:85,C24,86:86)+100</f>
        <v>100</v>
      </c>
      <c r="G23" s="405" t="s">
        <v>3428</v>
      </c>
      <c r="H23" s="401">
        <f>SUMIF(85:85,G24,86:86)-SUMIF(85:85,C24,86:86)+100</f>
        <v>100</v>
      </c>
      <c r="I23" s="405" t="s">
        <v>3428</v>
      </c>
      <c r="J23" s="401">
        <f>SUMIF(85:85,I24,86:86)-SUMIF(85:85,C24,86:86)+100</f>
        <v>100</v>
      </c>
      <c r="K23" s="563">
        <v>2</v>
      </c>
      <c r="L23" s="2699"/>
      <c r="M23" s="2693"/>
      <c r="N23" s="2693"/>
      <c r="O23" s="2693"/>
      <c r="P23" s="3911"/>
      <c r="Q23" s="1352" t="str">
        <f>B23</f>
        <v>环境质量</v>
      </c>
      <c r="R23" s="705" t="s">
        <v>14</v>
      </c>
      <c r="S23" s="706">
        <f>F23</f>
        <v>100</v>
      </c>
      <c r="T23" s="705" t="s">
        <v>14</v>
      </c>
      <c r="U23" s="706">
        <f>H23</f>
        <v>100</v>
      </c>
      <c r="V23" s="705" t="s">
        <v>14</v>
      </c>
      <c r="W23" s="706">
        <f>J23</f>
        <v>100</v>
      </c>
      <c r="X23" s="1355"/>
      <c r="Y23" s="3913"/>
      <c r="Z23" s="1356" t="str">
        <f>Q23</f>
        <v>环境质量</v>
      </c>
      <c r="AA23" s="1353">
        <f t="shared" si="3"/>
        <v>1</v>
      </c>
      <c r="AB23" s="1353">
        <f t="shared" si="4"/>
        <v>1</v>
      </c>
      <c r="AC23" s="1962">
        <f t="shared" si="5"/>
        <v>1</v>
      </c>
    </row>
    <row r="24" spans="1:29" ht="15">
      <c r="A24" s="379"/>
      <c r="B24" s="581"/>
      <c r="C24" s="1904" t="s">
        <v>3428</v>
      </c>
      <c r="D24" s="399"/>
      <c r="E24" s="1897" t="s">
        <v>3428</v>
      </c>
      <c r="F24" s="399"/>
      <c r="G24" s="1897" t="s">
        <v>3428</v>
      </c>
      <c r="H24" s="399"/>
      <c r="I24" s="1897" t="s">
        <v>3428</v>
      </c>
      <c r="J24" s="399"/>
      <c r="K24" s="564"/>
      <c r="L24" s="2699"/>
      <c r="M24" s="2693"/>
      <c r="N24" s="2693"/>
      <c r="O24" s="2693"/>
      <c r="P24" s="3911"/>
      <c r="Q24" s="1352"/>
      <c r="R24" s="705"/>
      <c r="S24" s="706"/>
      <c r="T24" s="705"/>
      <c r="U24" s="706"/>
      <c r="V24" s="705"/>
      <c r="W24" s="706"/>
      <c r="X24" s="1355"/>
      <c r="Y24" s="3913"/>
      <c r="Z24" s="1356"/>
      <c r="AA24" s="1353">
        <v>1</v>
      </c>
      <c r="AB24" s="1353">
        <v>1</v>
      </c>
      <c r="AC24" s="1962">
        <v>1</v>
      </c>
    </row>
    <row r="25" spans="1:29" ht="27">
      <c r="A25" s="358"/>
      <c r="B25" s="579" t="s">
        <v>1799</v>
      </c>
      <c r="C25" s="1908"/>
      <c r="D25" s="386">
        <v>100</v>
      </c>
      <c r="E25" s="385"/>
      <c r="F25" s="386">
        <f>SUMIF(87:87,E26,88:88)-SUMIF(87:87,C26,88:88)+100</f>
        <v>100</v>
      </c>
      <c r="G25" s="1908"/>
      <c r="H25" s="386">
        <f>SUMIF(87:87,G26,88:88)-SUMIF(87:87,C26,88:88)+100</f>
        <v>100</v>
      </c>
      <c r="I25" s="385"/>
      <c r="J25" s="386">
        <f>SUMIF(87:87,I26,88:88)-SUMIF(87:87,C26,88:88)+100</f>
        <v>100</v>
      </c>
      <c r="K25" s="563"/>
      <c r="L25" s="2699"/>
      <c r="M25" s="2693"/>
      <c r="N25" s="2693"/>
      <c r="O25" s="2693"/>
      <c r="P25" s="3911"/>
      <c r="Q25" s="1352" t="str">
        <f>B25</f>
        <v>毗邻道路的类型与等级</v>
      </c>
      <c r="R25" s="705" t="s">
        <v>14</v>
      </c>
      <c r="S25" s="706">
        <f>F25</f>
        <v>100</v>
      </c>
      <c r="T25" s="705" t="s">
        <v>14</v>
      </c>
      <c r="U25" s="706">
        <f>H25</f>
        <v>100</v>
      </c>
      <c r="V25" s="705" t="s">
        <v>14</v>
      </c>
      <c r="W25" s="706">
        <f>J25</f>
        <v>100</v>
      </c>
      <c r="X25" s="1355"/>
      <c r="Y25" s="391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699"/>
      <c r="M26" s="2693"/>
      <c r="N26" s="2693"/>
      <c r="O26" s="2693"/>
      <c r="P26" s="3911"/>
      <c r="Q26" s="1352"/>
      <c r="R26" s="705"/>
      <c r="S26" s="706"/>
      <c r="T26" s="705"/>
      <c r="U26" s="706"/>
      <c r="V26" s="705"/>
      <c r="W26" s="706"/>
      <c r="X26" s="1355"/>
      <c r="Y26" s="3913"/>
      <c r="Z26" s="1356"/>
      <c r="AA26" s="1353">
        <v>1</v>
      </c>
      <c r="AB26" s="1353">
        <v>1</v>
      </c>
      <c r="AC26" s="1962">
        <v>1</v>
      </c>
    </row>
    <row r="27" spans="1:29" ht="15">
      <c r="A27" s="379"/>
      <c r="B27" s="580" t="s">
        <v>1767</v>
      </c>
      <c r="C27" s="582"/>
      <c r="D27" s="386">
        <v>100</v>
      </c>
      <c r="E27" s="565"/>
      <c r="F27" s="386">
        <f>SUMIF(89:89,E27,90:90)-SUMIF(89:89,C27,90:90)+100</f>
        <v>100</v>
      </c>
      <c r="G27" s="582"/>
      <c r="H27" s="386">
        <f>SUMIF(89:89,G27,90:90)-SUMIF(89:89,C27,90:90)+100</f>
        <v>100</v>
      </c>
      <c r="I27" s="565"/>
      <c r="J27" s="386">
        <f>SUMIF(89:89,I27,90:90)-SUMIF(89:89,C27,90:90)+100</f>
        <v>100</v>
      </c>
      <c r="K27" s="561"/>
      <c r="L27" s="2699"/>
      <c r="M27" s="2693"/>
      <c r="N27" s="2693"/>
      <c r="O27" s="2693"/>
      <c r="P27" s="3911"/>
      <c r="Q27" s="1352" t="str">
        <f t="shared" ref="Q27:Q47" si="11">B27</f>
        <v>楼层</v>
      </c>
      <c r="R27" s="705" t="s">
        <v>14</v>
      </c>
      <c r="S27" s="706">
        <f>F27</f>
        <v>100</v>
      </c>
      <c r="T27" s="705" t="s">
        <v>14</v>
      </c>
      <c r="U27" s="706">
        <f>H27</f>
        <v>100</v>
      </c>
      <c r="V27" s="705" t="s">
        <v>14</v>
      </c>
      <c r="W27" s="706">
        <f>J27</f>
        <v>100</v>
      </c>
      <c r="X27" s="1355"/>
      <c r="Y27" s="3913"/>
      <c r="Z27" s="1356" t="str">
        <f>Q27</f>
        <v>楼层</v>
      </c>
      <c r="AA27" s="1353">
        <f t="shared" si="3"/>
        <v>1</v>
      </c>
      <c r="AB27" s="1353">
        <f t="shared" si="4"/>
        <v>1</v>
      </c>
      <c r="AC27" s="1962">
        <f t="shared" si="5"/>
        <v>1</v>
      </c>
    </row>
    <row r="28" spans="1:29" s="108" customFormat="1" ht="15">
      <c r="A28" s="382"/>
      <c r="B28" s="579" t="s">
        <v>1800</v>
      </c>
      <c r="C28" s="1965"/>
      <c r="D28" s="413">
        <v>100</v>
      </c>
      <c r="E28" s="1956"/>
      <c r="F28" s="413">
        <f>SUMIF(91:91,E28,92:92)-SUMIF(91:91,C28,92:92)+100</f>
        <v>100</v>
      </c>
      <c r="G28" s="1965"/>
      <c r="H28" s="413">
        <f>SUMIF(91:91,G28,92:92)-SUMIF(91:91,C28,92:92)+100</f>
        <v>100</v>
      </c>
      <c r="I28" s="1956"/>
      <c r="J28" s="413">
        <f>SUMIF(91:91,I28,92:92)-SUMIF(91:91,C28,92:92)+100</f>
        <v>100</v>
      </c>
      <c r="K28" s="561"/>
      <c r="L28" s="2694"/>
      <c r="M28" s="2695"/>
      <c r="N28" s="2695"/>
      <c r="O28" s="2695"/>
      <c r="P28" s="3911"/>
      <c r="Q28" s="1343" t="str">
        <f t="shared" si="11"/>
        <v>朝向</v>
      </c>
      <c r="R28" s="701" t="s">
        <v>14</v>
      </c>
      <c r="S28" s="702">
        <f>F28</f>
        <v>100</v>
      </c>
      <c r="T28" s="701" t="s">
        <v>14</v>
      </c>
      <c r="U28" s="702">
        <f>H28</f>
        <v>100</v>
      </c>
      <c r="V28" s="701" t="s">
        <v>14</v>
      </c>
      <c r="W28" s="702">
        <f>J28</f>
        <v>100</v>
      </c>
      <c r="X28" s="703"/>
      <c r="Y28" s="3913"/>
      <c r="Z28" s="52" t="str">
        <f>Q28</f>
        <v>朝向</v>
      </c>
      <c r="AA28" s="1353">
        <f>D28/F28</f>
        <v>1</v>
      </c>
      <c r="AB28" s="1353">
        <f>D28/H28</f>
        <v>1</v>
      </c>
      <c r="AC28" s="1962">
        <f>D28/J28</f>
        <v>1</v>
      </c>
    </row>
    <row r="29" spans="1:29" ht="15.75" thickBot="1">
      <c r="A29" s="379"/>
      <c r="B29" s="3641" t="s">
        <v>4467</v>
      </c>
      <c r="C29" s="3642" t="s">
        <v>4468</v>
      </c>
      <c r="D29" s="386">
        <v>100</v>
      </c>
      <c r="E29" s="383" t="s">
        <v>3428</v>
      </c>
      <c r="F29" s="386">
        <f>SUMIF(93:93,E29,94:94)-SUMIF(93:93,C29,94:94)+100</f>
        <v>105</v>
      </c>
      <c r="G29" s="383" t="s">
        <v>3428</v>
      </c>
      <c r="H29" s="386">
        <f>SUMIF(93:93,G29,94:94)-SUMIF(93:93,C29,94:94)+100</f>
        <v>105</v>
      </c>
      <c r="I29" s="3642" t="s">
        <v>4468</v>
      </c>
      <c r="J29" s="386">
        <f>SUMIF(93:93,I29,94:94)-SUMIF(93:93,C29,94:94)+100</f>
        <v>100</v>
      </c>
      <c r="K29" s="562"/>
      <c r="L29" s="2699"/>
      <c r="M29" s="2693"/>
      <c r="N29" s="2693"/>
      <c r="O29" s="2693"/>
      <c r="P29" s="3911"/>
      <c r="Q29" s="1352" t="str">
        <f t="shared" si="11"/>
        <v>商业繁华度</v>
      </c>
      <c r="R29" s="705" t="s">
        <v>14</v>
      </c>
      <c r="S29" s="706">
        <f t="shared" ref="S29:S47" si="12">F29</f>
        <v>105</v>
      </c>
      <c r="T29" s="705" t="s">
        <v>14</v>
      </c>
      <c r="U29" s="706">
        <f t="shared" ref="U29:U47" si="13">H29</f>
        <v>105</v>
      </c>
      <c r="V29" s="705" t="s">
        <v>14</v>
      </c>
      <c r="W29" s="706">
        <f t="shared" ref="W29:W47" si="14">J29</f>
        <v>100</v>
      </c>
      <c r="X29" s="1355"/>
      <c r="Y29" s="3913"/>
      <c r="Z29" s="1356" t="str">
        <f t="shared" ref="Z29:Z47" si="15">Q29</f>
        <v>商业繁华度</v>
      </c>
      <c r="AA29" s="1353">
        <f t="shared" si="3"/>
        <v>0.95238095238095233</v>
      </c>
      <c r="AB29" s="1353">
        <f t="shared" si="4"/>
        <v>0.95238095238095233</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699"/>
      <c r="M30" s="2693"/>
      <c r="N30" s="2693"/>
      <c r="O30" s="2693"/>
      <c r="P30" s="3911"/>
      <c r="Q30" s="1352">
        <f t="shared" si="11"/>
        <v>111</v>
      </c>
      <c r="R30" s="705" t="s">
        <v>14</v>
      </c>
      <c r="S30" s="706">
        <f t="shared" si="12"/>
        <v>100</v>
      </c>
      <c r="T30" s="705" t="s">
        <v>14</v>
      </c>
      <c r="U30" s="706">
        <f t="shared" si="13"/>
        <v>100</v>
      </c>
      <c r="V30" s="705" t="s">
        <v>14</v>
      </c>
      <c r="W30" s="706">
        <f t="shared" si="14"/>
        <v>100</v>
      </c>
      <c r="X30" s="1355"/>
      <c r="Y30" s="3913"/>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699"/>
      <c r="M31" s="2693"/>
      <c r="N31" s="2693"/>
      <c r="O31" s="2693"/>
      <c r="P31" s="3911"/>
      <c r="Q31" s="1352">
        <f t="shared" si="11"/>
        <v>111</v>
      </c>
      <c r="R31" s="705" t="s">
        <v>14</v>
      </c>
      <c r="S31" s="706">
        <f t="shared" si="12"/>
        <v>100</v>
      </c>
      <c r="T31" s="705" t="s">
        <v>14</v>
      </c>
      <c r="U31" s="706">
        <f t="shared" si="13"/>
        <v>100</v>
      </c>
      <c r="V31" s="705" t="s">
        <v>14</v>
      </c>
      <c r="W31" s="706">
        <f t="shared" si="14"/>
        <v>100</v>
      </c>
      <c r="X31" s="1355"/>
      <c r="Y31" s="3913"/>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699"/>
      <c r="M32" s="2693"/>
      <c r="N32" s="2693"/>
      <c r="O32" s="2693"/>
      <c r="P32" s="3911"/>
      <c r="Q32" s="1352">
        <f t="shared" si="11"/>
        <v>111</v>
      </c>
      <c r="R32" s="705" t="s">
        <v>14</v>
      </c>
      <c r="S32" s="706">
        <f t="shared" si="12"/>
        <v>100</v>
      </c>
      <c r="T32" s="705" t="s">
        <v>14</v>
      </c>
      <c r="U32" s="706">
        <f t="shared" si="13"/>
        <v>100</v>
      </c>
      <c r="V32" s="705" t="s">
        <v>14</v>
      </c>
      <c r="W32" s="706">
        <f t="shared" si="14"/>
        <v>100</v>
      </c>
      <c r="X32" s="1355"/>
      <c r="Y32" s="3913"/>
      <c r="Z32" s="1356">
        <f t="shared" si="15"/>
        <v>111</v>
      </c>
      <c r="AA32" s="1353">
        <f t="shared" si="3"/>
        <v>1</v>
      </c>
      <c r="AB32" s="1353">
        <f t="shared" si="4"/>
        <v>1</v>
      </c>
      <c r="AC32" s="1962">
        <f t="shared" si="5"/>
        <v>1</v>
      </c>
    </row>
    <row r="33" spans="1:29" ht="15">
      <c r="A33" s="391" t="s">
        <v>1678</v>
      </c>
      <c r="B33" s="63" t="s">
        <v>1801</v>
      </c>
      <c r="C33" s="1967" t="s">
        <v>4472</v>
      </c>
      <c r="D33" s="418">
        <v>100</v>
      </c>
      <c r="E33" s="1967" t="s">
        <v>4472</v>
      </c>
      <c r="F33" s="412">
        <f>SUMIF(101:101,E33,102:102)-SUMIF(101:101,C33,102:102)+100</f>
        <v>100</v>
      </c>
      <c r="G33" s="1967" t="s">
        <v>4472</v>
      </c>
      <c r="H33" s="386">
        <f>SUMIF(101:101,G33,102:102)-SUMIF(101:101,C33,102:102)+100</f>
        <v>100</v>
      </c>
      <c r="I33" s="1967" t="s">
        <v>4472</v>
      </c>
      <c r="J33" s="418">
        <f>SUMIF(101:101,I33,102:102)-SUMIF(101:101,C33,102:102)+100</f>
        <v>100</v>
      </c>
      <c r="K33" s="561">
        <v>2</v>
      </c>
      <c r="L33" s="2699"/>
      <c r="M33" s="2693"/>
      <c r="N33" s="2693"/>
      <c r="O33" s="2693"/>
      <c r="P33" s="3914" t="s">
        <v>1680</v>
      </c>
      <c r="Q33" s="1352" t="str">
        <f t="shared" si="11"/>
        <v>建筑类型</v>
      </c>
      <c r="R33" s="705" t="s">
        <v>14</v>
      </c>
      <c r="S33" s="706">
        <f t="shared" si="12"/>
        <v>100</v>
      </c>
      <c r="T33" s="705" t="s">
        <v>14</v>
      </c>
      <c r="U33" s="706">
        <f t="shared" si="13"/>
        <v>100</v>
      </c>
      <c r="V33" s="705" t="s">
        <v>14</v>
      </c>
      <c r="W33" s="706">
        <f t="shared" si="14"/>
        <v>100</v>
      </c>
      <c r="X33" s="1355"/>
      <c r="Y33" s="3917" t="s">
        <v>1680</v>
      </c>
      <c r="Z33" s="1356" t="str">
        <f t="shared" si="15"/>
        <v>建筑类型</v>
      </c>
      <c r="AA33" s="1353">
        <f t="shared" si="3"/>
        <v>1</v>
      </c>
      <c r="AB33" s="1353">
        <f t="shared" si="4"/>
        <v>1</v>
      </c>
      <c r="AC33" s="1962">
        <f t="shared" si="5"/>
        <v>1</v>
      </c>
    </row>
    <row r="34" spans="1:29" s="422" customFormat="1" ht="15">
      <c r="A34" s="419"/>
      <c r="B34" s="375" t="s">
        <v>1681</v>
      </c>
      <c r="C34" s="420">
        <f>'数据-汇总表'!E3</f>
        <v>48720.729999999974</v>
      </c>
      <c r="D34" s="127">
        <v>100</v>
      </c>
      <c r="E34" s="381">
        <f>'2021'!I111</f>
        <v>52838</v>
      </c>
      <c r="F34" s="376">
        <f>LOOKUP(E34,104:104,105:105)-LOOKUP(C34,104:104,105:105)+100</f>
        <v>98</v>
      </c>
      <c r="G34" s="380">
        <f>'2021'!I27</f>
        <v>46330.33</v>
      </c>
      <c r="H34" s="127">
        <f>LOOKUP(G34,104:104,105:105)-LOOKUP(C34,104:104,105:105)+100</f>
        <v>100</v>
      </c>
      <c r="I34" s="380">
        <f>'2021'!I83</f>
        <v>39145.39</v>
      </c>
      <c r="J34" s="127">
        <f>LOOKUP(I34,104:104,105:105)-LOOKUP(C34,104:104,105:105)+100</f>
        <v>100</v>
      </c>
      <c r="K34" s="562"/>
      <c r="L34" s="2698"/>
      <c r="M34" s="2700"/>
      <c r="N34" s="2700"/>
      <c r="O34" s="2700"/>
      <c r="P34" s="3915"/>
      <c r="Q34" s="707" t="str">
        <f t="shared" si="11"/>
        <v>项目建筑规模</v>
      </c>
      <c r="R34" s="708" t="s">
        <v>14</v>
      </c>
      <c r="S34" s="709">
        <f t="shared" si="12"/>
        <v>98</v>
      </c>
      <c r="T34" s="708" t="s">
        <v>14</v>
      </c>
      <c r="U34" s="709">
        <f t="shared" si="13"/>
        <v>100</v>
      </c>
      <c r="V34" s="708" t="s">
        <v>14</v>
      </c>
      <c r="W34" s="709">
        <f t="shared" si="14"/>
        <v>100</v>
      </c>
      <c r="X34" s="710"/>
      <c r="Y34" s="3917"/>
      <c r="Z34" s="711" t="str">
        <f t="shared" si="15"/>
        <v>项目建筑规模</v>
      </c>
      <c r="AA34" s="1353">
        <f t="shared" si="3"/>
        <v>1.0204081632653061</v>
      </c>
      <c r="AB34" s="1353">
        <f t="shared" si="4"/>
        <v>1</v>
      </c>
      <c r="AC34" s="1962">
        <f t="shared" si="5"/>
        <v>1</v>
      </c>
    </row>
    <row r="35" spans="1:29" ht="15">
      <c r="A35" s="423"/>
      <c r="B35" s="375" t="s">
        <v>1682</v>
      </c>
      <c r="C35" s="411" t="s">
        <v>3423</v>
      </c>
      <c r="D35" s="386">
        <v>100</v>
      </c>
      <c r="E35" s="411" t="s">
        <v>3423</v>
      </c>
      <c r="F35" s="412">
        <f>SUMIF(106:106,E35,107:107)-SUMIF(106:106,C35,107:107)+100</f>
        <v>100</v>
      </c>
      <c r="G35" s="411" t="s">
        <v>3423</v>
      </c>
      <c r="H35" s="386">
        <f>SUMIF(106:106,G35,107:107)-SUMIF(106:106,C35,107:107)+100</f>
        <v>100</v>
      </c>
      <c r="I35" s="411" t="s">
        <v>3423</v>
      </c>
      <c r="J35" s="386">
        <f>SUMIF(106:106,I35,107:107)-SUMIF(106:106,C35,107:107)+100</f>
        <v>100</v>
      </c>
      <c r="K35" s="561">
        <v>2</v>
      </c>
      <c r="L35" s="2699"/>
      <c r="M35" s="2693"/>
      <c r="N35" s="2693"/>
      <c r="O35" s="2693"/>
      <c r="P35" s="3915"/>
      <c r="Q35" s="1352" t="str">
        <f t="shared" si="11"/>
        <v>建筑结构</v>
      </c>
      <c r="R35" s="705" t="s">
        <v>14</v>
      </c>
      <c r="S35" s="706">
        <f t="shared" si="12"/>
        <v>100</v>
      </c>
      <c r="T35" s="705" t="s">
        <v>14</v>
      </c>
      <c r="U35" s="706">
        <f t="shared" si="13"/>
        <v>100</v>
      </c>
      <c r="V35" s="705" t="s">
        <v>14</v>
      </c>
      <c r="W35" s="706">
        <f t="shared" si="14"/>
        <v>100</v>
      </c>
      <c r="X35" s="1355"/>
      <c r="Y35" s="3917"/>
      <c r="Z35" s="1356" t="str">
        <f t="shared" si="15"/>
        <v>建筑结构</v>
      </c>
      <c r="AA35" s="1353">
        <f t="shared" si="3"/>
        <v>1</v>
      </c>
      <c r="AB35" s="1353">
        <f t="shared" si="4"/>
        <v>1</v>
      </c>
      <c r="AC35" s="1962">
        <f t="shared" si="5"/>
        <v>1</v>
      </c>
    </row>
    <row r="36" spans="1:29" ht="15">
      <c r="A36" s="423"/>
      <c r="B36" s="375" t="s">
        <v>1769</v>
      </c>
      <c r="C36" s="411" t="s">
        <v>4464</v>
      </c>
      <c r="D36" s="386">
        <v>100</v>
      </c>
      <c r="E36" s="411" t="s">
        <v>4464</v>
      </c>
      <c r="F36" s="412">
        <f>SUMIF(108:108,E36,109:109)-SUMIF(108:108,C36,109:109)+100</f>
        <v>100</v>
      </c>
      <c r="G36" s="411" t="s">
        <v>4464</v>
      </c>
      <c r="H36" s="386">
        <f>SUMIF(108:108,G36,109:109)-SUMIF(108:108,C36,109:109)+100</f>
        <v>100</v>
      </c>
      <c r="I36" s="411" t="s">
        <v>4464</v>
      </c>
      <c r="J36" s="386">
        <f>SUMIF(108:108,I36,109:109)-SUMIF(108:108,C36,109:109)+100</f>
        <v>100</v>
      </c>
      <c r="K36" s="561">
        <v>2</v>
      </c>
      <c r="L36" s="2699"/>
      <c r="M36" s="2693"/>
      <c r="N36" s="2693"/>
      <c r="O36" s="2693"/>
      <c r="P36" s="3915"/>
      <c r="Q36" s="1352" t="str">
        <f t="shared" si="11"/>
        <v>公共部分装修</v>
      </c>
      <c r="R36" s="705" t="s">
        <v>14</v>
      </c>
      <c r="S36" s="706">
        <f t="shared" si="12"/>
        <v>100</v>
      </c>
      <c r="T36" s="705" t="s">
        <v>14</v>
      </c>
      <c r="U36" s="706">
        <f t="shared" si="13"/>
        <v>100</v>
      </c>
      <c r="V36" s="705" t="s">
        <v>14</v>
      </c>
      <c r="W36" s="706">
        <f t="shared" si="14"/>
        <v>100</v>
      </c>
      <c r="X36" s="1355"/>
      <c r="Y36" s="3917"/>
      <c r="Z36" s="1356" t="str">
        <f t="shared" si="15"/>
        <v>公共部分装修</v>
      </c>
      <c r="AA36" s="1353">
        <f t="shared" si="3"/>
        <v>1</v>
      </c>
      <c r="AB36" s="1353">
        <f t="shared" si="4"/>
        <v>1</v>
      </c>
      <c r="AC36" s="1962">
        <f t="shared" si="5"/>
        <v>1</v>
      </c>
    </row>
    <row r="37" spans="1:29" ht="15">
      <c r="A37" s="423"/>
      <c r="B37" s="375" t="s">
        <v>1770</v>
      </c>
      <c r="C37" s="425">
        <f>'数据-取费表'!N6</f>
        <v>0.85</v>
      </c>
      <c r="D37" s="386">
        <v>100</v>
      </c>
      <c r="E37" s="425">
        <v>0.8</v>
      </c>
      <c r="F37" s="412">
        <f>LOOKUP(E37,111:111,112:112)-LOOKUP(C37,111:111,112:112)+100</f>
        <v>100</v>
      </c>
      <c r="G37" s="425">
        <v>0.8</v>
      </c>
      <c r="H37" s="412">
        <f>LOOKUP(G37,111:111,112:112)-LOOKUP(C37,111:111,112:112)+100</f>
        <v>100</v>
      </c>
      <c r="I37" s="425">
        <v>0.85</v>
      </c>
      <c r="J37" s="386">
        <f>LOOKUP(I37,111:111,112:112)-LOOKUP(C37,111:111,112:112)+100</f>
        <v>100</v>
      </c>
      <c r="K37" s="561">
        <v>1</v>
      </c>
      <c r="L37" s="2699"/>
      <c r="M37" s="2693"/>
      <c r="N37" s="2693"/>
      <c r="O37" s="2693"/>
      <c r="P37" s="3915"/>
      <c r="Q37" s="1352" t="str">
        <f t="shared" si="11"/>
        <v>成新度</v>
      </c>
      <c r="R37" s="705" t="s">
        <v>14</v>
      </c>
      <c r="S37" s="706">
        <f t="shared" si="12"/>
        <v>100</v>
      </c>
      <c r="T37" s="705" t="s">
        <v>14</v>
      </c>
      <c r="U37" s="706">
        <f t="shared" si="13"/>
        <v>100</v>
      </c>
      <c r="V37" s="705" t="s">
        <v>14</v>
      </c>
      <c r="W37" s="706">
        <f t="shared" si="14"/>
        <v>100</v>
      </c>
      <c r="X37" s="1355"/>
      <c r="Y37" s="3917"/>
      <c r="Z37" s="1356" t="str">
        <f t="shared" si="15"/>
        <v>成新度</v>
      </c>
      <c r="AA37" s="1353">
        <f t="shared" si="3"/>
        <v>1</v>
      </c>
      <c r="AB37" s="1353">
        <f t="shared" si="4"/>
        <v>1</v>
      </c>
      <c r="AC37" s="1962">
        <f t="shared" si="5"/>
        <v>1</v>
      </c>
    </row>
    <row r="38" spans="1:29" s="108" customFormat="1" ht="15">
      <c r="A38" s="424"/>
      <c r="B38" s="375" t="s">
        <v>1802</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694"/>
      <c r="M38" s="2695"/>
      <c r="N38" s="2695"/>
      <c r="O38" s="2695"/>
      <c r="P38" s="3915"/>
      <c r="Q38" s="1343" t="str">
        <f t="shared" si="11"/>
        <v>写字楼等级</v>
      </c>
      <c r="R38" s="701" t="s">
        <v>14</v>
      </c>
      <c r="S38" s="702">
        <f t="shared" si="12"/>
        <v>100</v>
      </c>
      <c r="T38" s="701" t="s">
        <v>14</v>
      </c>
      <c r="U38" s="702">
        <f t="shared" si="13"/>
        <v>100</v>
      </c>
      <c r="V38" s="701" t="s">
        <v>14</v>
      </c>
      <c r="W38" s="702">
        <f t="shared" si="14"/>
        <v>100</v>
      </c>
      <c r="X38" s="703"/>
      <c r="Y38" s="3917"/>
      <c r="Z38" s="52" t="str">
        <f t="shared" si="15"/>
        <v>写字楼等级</v>
      </c>
      <c r="AA38" s="704">
        <f t="shared" si="3"/>
        <v>1</v>
      </c>
      <c r="AB38" s="704">
        <f t="shared" si="4"/>
        <v>1</v>
      </c>
      <c r="AC38" s="1959">
        <f t="shared" si="5"/>
        <v>1</v>
      </c>
    </row>
    <row r="39" spans="1:29" ht="15">
      <c r="A39" s="423"/>
      <c r="B39" s="375" t="s">
        <v>1803</v>
      </c>
      <c r="C39" s="411" t="s">
        <v>4479</v>
      </c>
      <c r="D39" s="386">
        <v>100</v>
      </c>
      <c r="E39" s="411" t="s">
        <v>4479</v>
      </c>
      <c r="F39" s="412">
        <f>SUMIF(115:115,E39,116:116)-SUMIF(115:115,C39,116:116)+100</f>
        <v>100</v>
      </c>
      <c r="G39" s="411" t="s">
        <v>4479</v>
      </c>
      <c r="H39" s="386">
        <f>SUMIF(115:115,G39,116:116)-SUMIF(115:115,C39,116:116)+100</f>
        <v>100</v>
      </c>
      <c r="I39" s="411" t="s">
        <v>4479</v>
      </c>
      <c r="J39" s="386">
        <f>SUMIF(115:115,I39,116:116)-SUMIF(115:115,C39,116:116)+100</f>
        <v>100</v>
      </c>
      <c r="K39" s="561">
        <v>2</v>
      </c>
      <c r="L39" s="2699"/>
      <c r="M39" s="2693"/>
      <c r="N39" s="2693"/>
      <c r="O39" s="2693"/>
      <c r="P39" s="3915" t="s">
        <v>1680</v>
      </c>
      <c r="Q39" s="1352" t="str">
        <f t="shared" si="11"/>
        <v>物业管理</v>
      </c>
      <c r="R39" s="705" t="s">
        <v>14</v>
      </c>
      <c r="S39" s="706">
        <f t="shared" si="12"/>
        <v>100</v>
      </c>
      <c r="T39" s="705" t="s">
        <v>14</v>
      </c>
      <c r="U39" s="706">
        <f t="shared" si="13"/>
        <v>100</v>
      </c>
      <c r="V39" s="705" t="s">
        <v>14</v>
      </c>
      <c r="W39" s="706">
        <f t="shared" si="14"/>
        <v>100</v>
      </c>
      <c r="X39" s="1355"/>
      <c r="Y39" s="3917" t="s">
        <v>1680</v>
      </c>
      <c r="Z39" s="1356" t="str">
        <f t="shared" si="15"/>
        <v>物业管理</v>
      </c>
      <c r="AA39" s="1353">
        <f t="shared" si="3"/>
        <v>1</v>
      </c>
      <c r="AB39" s="1353">
        <f t="shared" si="4"/>
        <v>1</v>
      </c>
      <c r="AC39" s="1962">
        <f t="shared" si="5"/>
        <v>1</v>
      </c>
    </row>
    <row r="40" spans="1:29" ht="15">
      <c r="A40" s="423"/>
      <c r="B40" s="375" t="s">
        <v>1771</v>
      </c>
      <c r="C40" s="411" t="s">
        <v>3826</v>
      </c>
      <c r="D40" s="386">
        <v>100</v>
      </c>
      <c r="E40" s="411" t="s">
        <v>4482</v>
      </c>
      <c r="F40" s="412">
        <f>SUMIF(117:117,E40,118:118)-SUMIF(117:117,C40,118:118)+100</f>
        <v>99</v>
      </c>
      <c r="G40" s="411" t="s">
        <v>4482</v>
      </c>
      <c r="H40" s="386">
        <f>SUMIF(117:117,G40,118:118)-SUMIF(117:117,C40,118:118)+100</f>
        <v>99</v>
      </c>
      <c r="I40" s="411" t="s">
        <v>4482</v>
      </c>
      <c r="J40" s="386">
        <f>SUMIF(117:117,I40,118:118)-SUMIF(117:117,C40,118:118)+100</f>
        <v>99</v>
      </c>
      <c r="K40" s="561">
        <v>1</v>
      </c>
      <c r="L40" s="2699"/>
      <c r="M40" s="2693"/>
      <c r="N40" s="2693"/>
      <c r="O40" s="2693"/>
      <c r="P40" s="3915"/>
      <c r="Q40" s="1352" t="str">
        <f t="shared" si="11"/>
        <v>市政基础设施</v>
      </c>
      <c r="R40" s="705" t="s">
        <v>14</v>
      </c>
      <c r="S40" s="706">
        <f t="shared" si="12"/>
        <v>99</v>
      </c>
      <c r="T40" s="705" t="s">
        <v>14</v>
      </c>
      <c r="U40" s="706">
        <f t="shared" si="13"/>
        <v>99</v>
      </c>
      <c r="V40" s="705" t="s">
        <v>14</v>
      </c>
      <c r="W40" s="706">
        <f t="shared" si="14"/>
        <v>99</v>
      </c>
      <c r="X40" s="1355"/>
      <c r="Y40" s="3917"/>
      <c r="Z40" s="1356" t="str">
        <f t="shared" si="15"/>
        <v>市政基础设施</v>
      </c>
      <c r="AA40" s="1353">
        <f t="shared" si="3"/>
        <v>1.0101010101010102</v>
      </c>
      <c r="AB40" s="1353">
        <f t="shared" si="4"/>
        <v>1.0101010101010102</v>
      </c>
      <c r="AC40" s="1962">
        <f t="shared" si="5"/>
        <v>1.0101010101010102</v>
      </c>
    </row>
    <row r="41" spans="1:29" ht="15">
      <c r="A41" s="423"/>
      <c r="B41" s="375" t="s">
        <v>1773</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699"/>
      <c r="M41" s="2693"/>
      <c r="N41" s="2693"/>
      <c r="O41" s="2693"/>
      <c r="P41" s="3915"/>
      <c r="Q41" s="1352" t="str">
        <f t="shared" si="11"/>
        <v>层高</v>
      </c>
      <c r="R41" s="705" t="s">
        <v>14</v>
      </c>
      <c r="S41" s="706">
        <f t="shared" si="12"/>
        <v>100</v>
      </c>
      <c r="T41" s="705" t="s">
        <v>14</v>
      </c>
      <c r="U41" s="706">
        <f t="shared" si="13"/>
        <v>100</v>
      </c>
      <c r="V41" s="705" t="s">
        <v>14</v>
      </c>
      <c r="W41" s="706">
        <f t="shared" si="14"/>
        <v>100</v>
      </c>
      <c r="X41" s="1355"/>
      <c r="Y41" s="3917"/>
      <c r="Z41" s="1356" t="str">
        <f t="shared" si="15"/>
        <v>层高</v>
      </c>
      <c r="AA41" s="1353">
        <f t="shared" si="3"/>
        <v>1</v>
      </c>
      <c r="AB41" s="1353">
        <f t="shared" si="4"/>
        <v>1</v>
      </c>
      <c r="AC41" s="1962">
        <f t="shared" si="5"/>
        <v>1</v>
      </c>
    </row>
    <row r="42" spans="1:29" s="422" customFormat="1" ht="15">
      <c r="A42" s="419"/>
      <c r="B42" s="1354" t="s">
        <v>1804</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698"/>
      <c r="M42" s="2700"/>
      <c r="N42" s="2700"/>
      <c r="O42" s="2700"/>
      <c r="P42" s="3915"/>
      <c r="Q42" s="707" t="str">
        <f t="shared" si="11"/>
        <v>单套建筑面积</v>
      </c>
      <c r="R42" s="708" t="s">
        <v>14</v>
      </c>
      <c r="S42" s="709">
        <f t="shared" si="12"/>
        <v>100</v>
      </c>
      <c r="T42" s="708" t="s">
        <v>14</v>
      </c>
      <c r="U42" s="709">
        <f t="shared" si="13"/>
        <v>100</v>
      </c>
      <c r="V42" s="708" t="s">
        <v>14</v>
      </c>
      <c r="W42" s="709">
        <f t="shared" si="14"/>
        <v>100</v>
      </c>
      <c r="X42" s="710"/>
      <c r="Y42" s="3917"/>
      <c r="Z42" s="711" t="str">
        <f t="shared" si="15"/>
        <v>单套建筑面积</v>
      </c>
      <c r="AA42" s="1353">
        <f t="shared" si="3"/>
        <v>1</v>
      </c>
      <c r="AB42" s="1353">
        <f t="shared" si="4"/>
        <v>1</v>
      </c>
      <c r="AC42" s="1962">
        <f t="shared" si="5"/>
        <v>1</v>
      </c>
    </row>
    <row r="43" spans="1:29" ht="15">
      <c r="A43" s="423"/>
      <c r="B43" s="375" t="s">
        <v>1776</v>
      </c>
      <c r="C43" s="411" t="s">
        <v>4459</v>
      </c>
      <c r="D43" s="386">
        <v>100</v>
      </c>
      <c r="E43" s="411" t="s">
        <v>4459</v>
      </c>
      <c r="F43" s="412">
        <f>SUMIF(123:123,E43,124:124)-SUMIF(123:123,C43,124:124)+100</f>
        <v>100</v>
      </c>
      <c r="G43" s="411" t="s">
        <v>4459</v>
      </c>
      <c r="H43" s="386">
        <f>SUMIF(123:123,G43,124:124)-SUMIF(123:123,C43,124:124)+100</f>
        <v>100</v>
      </c>
      <c r="I43" s="411" t="s">
        <v>4459</v>
      </c>
      <c r="J43" s="386">
        <f>SUMIF(123:123,I43,124:124)-SUMIF(123:123,C43,124:124)+100</f>
        <v>100</v>
      </c>
      <c r="K43" s="561">
        <v>2</v>
      </c>
      <c r="L43" s="2699"/>
      <c r="M43" s="2693"/>
      <c r="N43" s="2693"/>
      <c r="O43" s="2693"/>
      <c r="P43" s="3915"/>
      <c r="Q43" s="1352" t="str">
        <f t="shared" si="11"/>
        <v>内部装修</v>
      </c>
      <c r="R43" s="705" t="s">
        <v>14</v>
      </c>
      <c r="S43" s="706">
        <f t="shared" si="12"/>
        <v>100</v>
      </c>
      <c r="T43" s="705" t="s">
        <v>14</v>
      </c>
      <c r="U43" s="706">
        <f t="shared" si="13"/>
        <v>100</v>
      </c>
      <c r="V43" s="705" t="s">
        <v>14</v>
      </c>
      <c r="W43" s="706">
        <f t="shared" si="14"/>
        <v>100</v>
      </c>
      <c r="X43" s="1355"/>
      <c r="Y43" s="3917"/>
      <c r="Z43" s="1356" t="str">
        <f t="shared" si="15"/>
        <v>内部装修</v>
      </c>
      <c r="AA43" s="1353">
        <f t="shared" si="3"/>
        <v>1</v>
      </c>
      <c r="AB43" s="1353">
        <f t="shared" si="4"/>
        <v>1</v>
      </c>
      <c r="AC43" s="1962">
        <f t="shared" si="5"/>
        <v>1</v>
      </c>
    </row>
    <row r="44" spans="1:29" ht="15">
      <c r="A44" s="423"/>
      <c r="B44" s="375" t="s">
        <v>1691</v>
      </c>
      <c r="C44" s="411" t="s">
        <v>3428</v>
      </c>
      <c r="D44" s="386">
        <v>100</v>
      </c>
      <c r="E44" s="411" t="s">
        <v>3428</v>
      </c>
      <c r="F44" s="412">
        <f>SUMIF(125:125,E44,126:126)-SUMIF(125:125,C44,126:126)+100</f>
        <v>100</v>
      </c>
      <c r="G44" s="411" t="s">
        <v>3428</v>
      </c>
      <c r="H44" s="386">
        <f>SUMIF(125:125,G44,126:126)-SUMIF(125:125,C44,126:126)+100</f>
        <v>100</v>
      </c>
      <c r="I44" s="411" t="s">
        <v>3428</v>
      </c>
      <c r="J44" s="386">
        <f>SUMIF(125:125,I44,126:126)-SUMIF(125:125,C44,126:126)+100</f>
        <v>100</v>
      </c>
      <c r="K44" s="561">
        <v>2</v>
      </c>
      <c r="L44" s="2699"/>
      <c r="M44" s="2693"/>
      <c r="N44" s="2693"/>
      <c r="O44" s="2693"/>
      <c r="P44" s="3915"/>
      <c r="Q44" s="1352" t="str">
        <f t="shared" si="11"/>
        <v>内部装修维护情况</v>
      </c>
      <c r="R44" s="705" t="s">
        <v>14</v>
      </c>
      <c r="S44" s="706">
        <f t="shared" si="12"/>
        <v>100</v>
      </c>
      <c r="T44" s="705" t="s">
        <v>14</v>
      </c>
      <c r="U44" s="706">
        <f t="shared" si="13"/>
        <v>100</v>
      </c>
      <c r="V44" s="705" t="s">
        <v>14</v>
      </c>
      <c r="W44" s="706">
        <f t="shared" si="14"/>
        <v>100</v>
      </c>
      <c r="X44" s="1355"/>
      <c r="Y44" s="3917"/>
      <c r="Z44" s="1356" t="str">
        <f t="shared" si="15"/>
        <v>内部装修维护情况</v>
      </c>
      <c r="AA44" s="1353">
        <f t="shared" si="3"/>
        <v>1</v>
      </c>
      <c r="AB44" s="1353">
        <f t="shared" si="4"/>
        <v>1</v>
      </c>
      <c r="AC44" s="1962">
        <f t="shared" si="5"/>
        <v>1</v>
      </c>
    </row>
    <row r="45" spans="1:29" s="108" customFormat="1" ht="15">
      <c r="A45" s="424"/>
      <c r="B45" s="3588" t="s">
        <v>3835</v>
      </c>
      <c r="C45" s="603" t="str">
        <f>F127</f>
        <v>10-15</v>
      </c>
      <c r="D45" s="127">
        <v>100</v>
      </c>
      <c r="E45" s="416" t="str">
        <f>D127</f>
        <v>0-5</v>
      </c>
      <c r="F45" s="376">
        <f>SUMIF(127:127,E45,128:128)-SUMIF(127:127,C45,128:128)+100</f>
        <v>104</v>
      </c>
      <c r="G45" s="383" t="str">
        <f>H127</f>
        <v>20-25</v>
      </c>
      <c r="H45" s="127">
        <f>SUMIF(127:127,G45,128:128)-SUMIF(127:127,C45,128:128)+100</f>
        <v>96</v>
      </c>
      <c r="I45" s="416" t="str">
        <f>G127</f>
        <v>15-20</v>
      </c>
      <c r="J45" s="127">
        <f>SUMIF(127:127,I45,128:128)-SUMIF(127:127,C45,128:128)+100</f>
        <v>98</v>
      </c>
      <c r="K45" s="562"/>
      <c r="L45" s="2694"/>
      <c r="M45" s="2695"/>
      <c r="N45" s="2695"/>
      <c r="O45" s="2695"/>
      <c r="P45" s="3915"/>
      <c r="Q45" s="1343" t="str">
        <f t="shared" si="11"/>
        <v>地下占比</v>
      </c>
      <c r="R45" s="701" t="s">
        <v>14</v>
      </c>
      <c r="S45" s="702">
        <f t="shared" si="12"/>
        <v>104</v>
      </c>
      <c r="T45" s="701" t="s">
        <v>14</v>
      </c>
      <c r="U45" s="702">
        <f t="shared" si="13"/>
        <v>96</v>
      </c>
      <c r="V45" s="701" t="s">
        <v>14</v>
      </c>
      <c r="W45" s="702">
        <f t="shared" si="14"/>
        <v>98</v>
      </c>
      <c r="X45" s="703"/>
      <c r="Y45" s="3917"/>
      <c r="Z45" s="52" t="str">
        <f t="shared" si="15"/>
        <v>地下占比</v>
      </c>
      <c r="AA45" s="704">
        <f t="shared" si="3"/>
        <v>0.96153846153846156</v>
      </c>
      <c r="AB45" s="704">
        <f t="shared" si="4"/>
        <v>1.0416666666666667</v>
      </c>
      <c r="AC45" s="1959">
        <f t="shared" si="5"/>
        <v>1.0204081632653061</v>
      </c>
    </row>
    <row r="46" spans="1:29" ht="15">
      <c r="A46" s="423"/>
      <c r="B46" s="1133">
        <v>111</v>
      </c>
      <c r="C46" s="420">
        <f>'数据-汇总表'!G27/'数据-汇总表'!E3</f>
        <v>0.12621321560658066</v>
      </c>
      <c r="D46" s="386">
        <v>100</v>
      </c>
      <c r="E46" s="383">
        <f>'2021'!K4/'2021'!I4</f>
        <v>0</v>
      </c>
      <c r="F46" s="412">
        <f>SUMIF(129:129,E46,130:130)-SUMIF(129:129,C46,130:130)+100</f>
        <v>100</v>
      </c>
      <c r="G46" s="383">
        <f>'2021'!K27/'2021'!I27</f>
        <v>0.23398969962009766</v>
      </c>
      <c r="H46" s="386">
        <f>SUMIF(129:129,G46,130:130)-SUMIF(129:129,C46,130:130)+100</f>
        <v>100</v>
      </c>
      <c r="I46" s="383">
        <f>('2021'!I83-'2021'!J83)/'2021'!I83</f>
        <v>0.15698885615905217</v>
      </c>
      <c r="J46" s="386">
        <f>SUMIF(129:129,I46,130:130)-SUMIF(129:129,C46,130:130)+100</f>
        <v>100</v>
      </c>
      <c r="K46" s="562"/>
      <c r="L46" s="2699"/>
      <c r="M46" s="2693"/>
      <c r="N46" s="2693"/>
      <c r="O46" s="2693"/>
      <c r="P46" s="3915"/>
      <c r="Q46" s="1352">
        <f t="shared" si="11"/>
        <v>111</v>
      </c>
      <c r="R46" s="705" t="s">
        <v>14</v>
      </c>
      <c r="S46" s="706">
        <f t="shared" si="12"/>
        <v>100</v>
      </c>
      <c r="T46" s="705" t="s">
        <v>14</v>
      </c>
      <c r="U46" s="706">
        <f t="shared" si="13"/>
        <v>100</v>
      </c>
      <c r="V46" s="705" t="s">
        <v>14</v>
      </c>
      <c r="W46" s="706">
        <f t="shared" si="14"/>
        <v>100</v>
      </c>
      <c r="X46" s="1355"/>
      <c r="Y46" s="3917"/>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699"/>
      <c r="M47" s="2693"/>
      <c r="N47" s="2693"/>
      <c r="O47" s="2693"/>
      <c r="P47" s="3916"/>
      <c r="Q47" s="1352">
        <f t="shared" si="11"/>
        <v>111</v>
      </c>
      <c r="R47" s="705" t="s">
        <v>14</v>
      </c>
      <c r="S47" s="706">
        <f t="shared" si="12"/>
        <v>100</v>
      </c>
      <c r="T47" s="705" t="s">
        <v>14</v>
      </c>
      <c r="U47" s="706">
        <f t="shared" si="13"/>
        <v>100</v>
      </c>
      <c r="V47" s="705" t="s">
        <v>14</v>
      </c>
      <c r="W47" s="706">
        <f t="shared" si="14"/>
        <v>100</v>
      </c>
      <c r="X47" s="1355"/>
      <c r="Y47" s="3918"/>
      <c r="Z47" s="1356">
        <f t="shared" si="15"/>
        <v>111</v>
      </c>
      <c r="AA47" s="1353">
        <f t="shared" si="3"/>
        <v>1</v>
      </c>
      <c r="AB47" s="1353">
        <f t="shared" si="4"/>
        <v>1</v>
      </c>
      <c r="AC47" s="1962">
        <f t="shared" si="5"/>
        <v>1</v>
      </c>
    </row>
    <row r="48" spans="1:29" ht="15">
      <c r="A48" s="430" t="s">
        <v>1692</v>
      </c>
      <c r="B48" s="431"/>
      <c r="C48" s="1154" t="s">
        <v>0</v>
      </c>
      <c r="D48" s="1155"/>
      <c r="E48" s="1156">
        <f>'2021'!M4</f>
        <v>60981</v>
      </c>
      <c r="F48" s="1157"/>
      <c r="G48" s="1158">
        <f>'2021'!M27</f>
        <v>57198</v>
      </c>
      <c r="H48" s="1159"/>
      <c r="I48" s="1156">
        <f>'2021'!M83</f>
        <v>63864</v>
      </c>
      <c r="J48" s="436"/>
      <c r="K48" s="714"/>
      <c r="L48" s="2701"/>
      <c r="M48" s="2693"/>
      <c r="N48" s="2693"/>
      <c r="O48" s="2693"/>
      <c r="P48" s="3904" t="str">
        <f>A48</f>
        <v>成交单价（元/平方米）</v>
      </c>
      <c r="Q48" s="3905"/>
      <c r="R48" s="3906">
        <f>E48</f>
        <v>60981</v>
      </c>
      <c r="S48" s="3906"/>
      <c r="T48" s="3906">
        <f>G48</f>
        <v>57198</v>
      </c>
      <c r="U48" s="3906"/>
      <c r="V48" s="3906">
        <f>I48</f>
        <v>63864</v>
      </c>
      <c r="W48" s="3906"/>
      <c r="X48" s="397"/>
      <c r="Y48" s="712"/>
      <c r="Z48" s="397"/>
      <c r="AA48" s="397"/>
      <c r="AB48" s="397"/>
      <c r="AC48" s="578"/>
    </row>
    <row r="49" spans="1:56" ht="15.75" thickBot="1">
      <c r="A49" s="437" t="s">
        <v>1777</v>
      </c>
      <c r="B49" s="438"/>
      <c r="C49" s="1160">
        <f>R50</f>
        <v>50133</v>
      </c>
      <c r="D49" s="2317" t="s">
        <v>2122</v>
      </c>
      <c r="E49" s="1161">
        <f>R49</f>
        <v>47019</v>
      </c>
      <c r="F49" s="2318"/>
      <c r="G49" s="1160">
        <f>T49</f>
        <v>49052</v>
      </c>
      <c r="H49" s="2318"/>
      <c r="I49" s="1161">
        <f>V49</f>
        <v>54327</v>
      </c>
      <c r="J49" s="2318"/>
      <c r="K49" s="2320">
        <f>F49+H49+J49</f>
        <v>0</v>
      </c>
      <c r="L49" s="2701"/>
      <c r="M49" s="2693"/>
      <c r="N49" s="2693"/>
      <c r="O49" s="2693"/>
      <c r="P49" s="3904" t="str">
        <f>A49</f>
        <v>比较价值（元/平方米）</v>
      </c>
      <c r="Q49" s="3905"/>
      <c r="R49" s="3906">
        <f>IF(F1="售价",ROUND(PRODUCT(R48,AA7:AA47),0),ROUND(PRODUCT(R48,AA7:AA47),1))</f>
        <v>47019</v>
      </c>
      <c r="S49" s="3906"/>
      <c r="T49" s="3906">
        <f>IF(F1="售价",ROUND(PRODUCT(T48,AB7:AB47),0),ROUND(PRODUCT(T48,AB7:AB47),1))</f>
        <v>49052</v>
      </c>
      <c r="U49" s="3906"/>
      <c r="V49" s="3906">
        <f>IF(F1="售价",ROUND(PRODUCT(V48,AC7:AC47),0),ROUND(PRODUCT(V48,AC7:AC47),1))</f>
        <v>54327</v>
      </c>
      <c r="W49" s="3906"/>
      <c r="X49" s="397"/>
      <c r="Y49" s="397"/>
      <c r="Z49" s="397"/>
      <c r="AA49" s="397"/>
      <c r="AB49" s="397"/>
      <c r="AC49" s="578"/>
    </row>
    <row r="50" spans="1:56" ht="15.75" thickBot="1">
      <c r="A50" s="441" t="s">
        <v>1778</v>
      </c>
      <c r="B50" s="442"/>
      <c r="C50" s="1163">
        <f>R50</f>
        <v>50133</v>
      </c>
      <c r="D50" s="1163"/>
      <c r="E50" s="1163"/>
      <c r="F50" s="1163"/>
      <c r="G50" s="1163"/>
      <c r="H50" s="1163"/>
      <c r="I50" s="1163"/>
      <c r="J50" s="443"/>
      <c r="K50" s="715"/>
      <c r="L50" s="2701"/>
      <c r="M50" s="2693"/>
      <c r="N50" s="2693"/>
      <c r="O50" s="2693"/>
      <c r="P50" s="3907" t="str">
        <f>A50</f>
        <v>估价对象XX用房的比较价值（楼面单价，元/平方米）</v>
      </c>
      <c r="Q50" s="3908"/>
      <c r="R50" s="3909">
        <f>IF(F1="售价",ROUND(IF(D49="简单平均",AVERAGE(R49:V49),R49*F49+T49*H49+V49*J49),0),ROUND(IF(D49="简单平均",AVERAGE(R49:V49),R49*F49+T49*H49+V49*J49),1))</f>
        <v>50133</v>
      </c>
      <c r="S50" s="3909"/>
      <c r="T50" s="3909"/>
      <c r="U50" s="3909"/>
      <c r="V50" s="3909"/>
      <c r="W50" s="3909"/>
      <c r="X50" s="1946"/>
      <c r="Y50" s="1946"/>
      <c r="Z50" s="1946"/>
      <c r="AA50" s="1946"/>
      <c r="AB50" s="1946"/>
      <c r="AC50" s="1947"/>
    </row>
    <row r="51" spans="1:56">
      <c r="A51" s="2702"/>
      <c r="B51" s="2702"/>
      <c r="C51" s="2702"/>
      <c r="D51" s="2702"/>
      <c r="E51" s="2702"/>
      <c r="F51" s="2702"/>
      <c r="G51" s="2706"/>
      <c r="H51" s="2702"/>
      <c r="I51" s="2702"/>
      <c r="J51" s="2702"/>
      <c r="K51" s="2707"/>
      <c r="L51" s="2703"/>
      <c r="M51" s="2702"/>
      <c r="N51" s="2702"/>
      <c r="O51" s="2702"/>
      <c r="P51" s="2733"/>
      <c r="Q51" s="2702"/>
      <c r="R51" s="2702"/>
      <c r="S51" s="2702"/>
      <c r="T51" s="2702"/>
      <c r="U51" s="2702"/>
      <c r="V51" s="2702"/>
      <c r="W51" s="2702"/>
      <c r="X51" s="2702"/>
      <c r="Y51" s="2702"/>
      <c r="Z51" s="2702"/>
      <c r="AA51" s="2702"/>
      <c r="AB51" s="2702"/>
      <c r="AC51" s="2702"/>
    </row>
    <row r="52" spans="1:56">
      <c r="A52" s="2702"/>
      <c r="B52" s="2702"/>
      <c r="C52" s="2702"/>
      <c r="D52" s="2702"/>
      <c r="E52" s="2702"/>
      <c r="F52" s="2702"/>
      <c r="G52" s="2702"/>
      <c r="H52" s="2702"/>
      <c r="I52" s="2702"/>
      <c r="J52" s="2702"/>
      <c r="K52" s="2707"/>
      <c r="L52" s="2703"/>
      <c r="M52" s="2702"/>
      <c r="N52" s="2702"/>
      <c r="O52" s="2702"/>
      <c r="P52" s="2733"/>
      <c r="Q52" s="2702"/>
      <c r="R52" s="2702"/>
      <c r="S52" s="2702"/>
      <c r="T52" s="2702"/>
      <c r="U52" s="2702"/>
      <c r="V52" s="2702"/>
      <c r="W52" s="2702"/>
      <c r="X52" s="2702"/>
      <c r="Y52" s="2702"/>
      <c r="Z52" s="2702"/>
      <c r="AA52" s="2702"/>
      <c r="AB52" s="2702"/>
      <c r="AC52" s="2702"/>
    </row>
    <row r="53" spans="1:56" ht="13.5" customHeight="1">
      <c r="A53" s="2702"/>
      <c r="B53" s="2702"/>
      <c r="C53" s="446" t="s">
        <v>1779</v>
      </c>
      <c r="D53" s="447"/>
      <c r="E53" s="448">
        <f>IF(E48&lt;E49,E49/E48-1,E48/E49-1)</f>
        <v>0.29694378868117144</v>
      </c>
      <c r="F53" s="449" t="str">
        <f>IF(OR(E53&gt;=0.3,E53&lt;=-0.3),"超过30%","")</f>
        <v/>
      </c>
      <c r="G53" s="448">
        <f>IF(G48&lt;G49,G49/G48-1,G48/G49-1)</f>
        <v>0.16606866182826385</v>
      </c>
      <c r="H53" s="449" t="str">
        <f>IF(OR(G53&gt;=0.3,G53&lt;=-0.3),"超过30%","")</f>
        <v/>
      </c>
      <c r="I53" s="448">
        <f>IF(I48&lt;I49,I49/I48-1,I48/I49-1)</f>
        <v>0.17554807002043193</v>
      </c>
      <c r="J53" s="449" t="str">
        <f>IF(OR(I53&gt;=0.3,I53&lt;=-0.3),"超过30%","")</f>
        <v/>
      </c>
      <c r="K53" s="2707"/>
      <c r="L53" s="2703"/>
      <c r="M53" s="2702"/>
      <c r="N53" s="2702"/>
      <c r="O53" s="2702"/>
      <c r="P53" s="2733"/>
      <c r="Q53" s="2702"/>
      <c r="R53" s="2702"/>
      <c r="S53" s="2702"/>
      <c r="T53" s="2702"/>
      <c r="U53" s="2702"/>
      <c r="V53" s="2702"/>
      <c r="W53" s="2702"/>
      <c r="X53" s="2702"/>
      <c r="Y53" s="2702"/>
      <c r="Z53" s="2702"/>
      <c r="AA53" s="2702"/>
      <c r="AB53" s="2702"/>
      <c r="AC53" s="2702"/>
    </row>
    <row r="54" spans="1:56" ht="13.5" customHeight="1">
      <c r="A54" s="2702"/>
      <c r="B54" s="2702"/>
      <c r="C54" s="446" t="s">
        <v>1780</v>
      </c>
      <c r="D54" s="450"/>
      <c r="E54" s="448">
        <f>IF(E49&lt;G49,G49/E49-1,E49/G49-1)</f>
        <v>4.3237840022118723E-2</v>
      </c>
      <c r="F54" s="449" t="str">
        <f>IF(OR(E54&gt;=0.2,E54&lt;=-0.2),"超过20%","")</f>
        <v/>
      </c>
      <c r="G54" s="448">
        <f>IF(G49&lt;I49,I49/G49-1,G49/I49-1)</f>
        <v>0.10753893826959149</v>
      </c>
      <c r="H54" s="449" t="str">
        <f>IF(OR(G54&gt;=0.2,G54&lt;=-0.2),"超过20%","")</f>
        <v/>
      </c>
      <c r="I54" s="448">
        <f>IF(I49&lt;E49,E49/I49-1,I49/E49-1)</f>
        <v>0.15542652970075932</v>
      </c>
      <c r="J54" s="449" t="str">
        <f>IF(OR(I54&gt;=0.2,I54&lt;=-0.2),"超过20%","")</f>
        <v/>
      </c>
      <c r="K54" s="2707"/>
      <c r="L54" s="2703"/>
      <c r="M54" s="2702"/>
      <c r="N54" s="2702"/>
      <c r="O54" s="2702"/>
      <c r="P54" s="2733"/>
      <c r="Q54" s="2702"/>
      <c r="R54" s="2702"/>
      <c r="S54" s="2702"/>
      <c r="T54" s="2702"/>
      <c r="U54" s="2702"/>
      <c r="V54" s="2702"/>
      <c r="W54" s="2702"/>
      <c r="X54" s="2702"/>
      <c r="Y54" s="2702"/>
      <c r="Z54" s="2702"/>
      <c r="AA54" s="2702"/>
      <c r="AB54" s="2702"/>
      <c r="AC54" s="2702"/>
    </row>
    <row r="55" spans="1:56" s="451" customFormat="1" ht="13.5" customHeight="1">
      <c r="A55" s="2705"/>
      <c r="B55" s="2705"/>
      <c r="C55" s="446" t="s">
        <v>1781</v>
      </c>
      <c r="D55" s="450"/>
      <c r="E55" s="448">
        <f>IF(E48&lt;G48,G48/E48-1,E48/G48-1)</f>
        <v>6.6138676177488698E-2</v>
      </c>
      <c r="F55" s="449" t="str">
        <f>IF(OR(E55&gt;=0.3,E55&lt;=-0.3),"超过30%","")</f>
        <v/>
      </c>
      <c r="G55" s="448">
        <f>IF(G48&lt;I48,I48/G48-1,G48/I48-1)</f>
        <v>0.1165425364523236</v>
      </c>
      <c r="H55" s="449" t="str">
        <f>IF(OR(G55&gt;=0.3,G55&lt;=-0.3),"超过30%","")</f>
        <v/>
      </c>
      <c r="I55" s="448">
        <f>IF(I48&lt;E48,E48/I48-1,I48/E48-1)</f>
        <v>4.7277020711369078E-2</v>
      </c>
      <c r="J55" s="449" t="str">
        <f>IF(OR(I55&gt;=0.3,I55&lt;=-0.3),"超过30%","")</f>
        <v/>
      </c>
      <c r="K55" s="2710"/>
      <c r="L55" s="2704"/>
      <c r="M55" s="2705"/>
      <c r="N55" s="2705"/>
      <c r="O55" s="2705"/>
      <c r="P55" s="2734"/>
      <c r="Q55" s="2705"/>
      <c r="R55" s="2705"/>
      <c r="S55" s="2705"/>
      <c r="T55" s="2705"/>
      <c r="U55" s="2705"/>
      <c r="V55" s="2705"/>
      <c r="W55" s="2705"/>
      <c r="X55" s="2705"/>
      <c r="Y55" s="2705"/>
      <c r="Z55" s="2705"/>
      <c r="AA55" s="2705"/>
      <c r="AB55" s="2705"/>
      <c r="AC55" s="2705"/>
    </row>
    <row r="56" spans="1:56" s="451" customFormat="1">
      <c r="A56" s="2705"/>
      <c r="B56" s="2708"/>
      <c r="C56" s="2709"/>
      <c r="D56" s="2705"/>
      <c r="E56" s="2705"/>
      <c r="F56" s="2705"/>
      <c r="G56" s="2705"/>
      <c r="H56" s="2705"/>
      <c r="I56" s="2705"/>
      <c r="J56" s="2705"/>
      <c r="K56" s="2710"/>
      <c r="L56" s="2704"/>
      <c r="M56" s="2705"/>
      <c r="N56" s="2705"/>
      <c r="O56" s="2705"/>
      <c r="P56" s="2734"/>
      <c r="Q56" s="2705"/>
      <c r="R56" s="2705"/>
      <c r="S56" s="2705"/>
      <c r="T56" s="2705"/>
      <c r="U56" s="2705"/>
      <c r="V56" s="2705"/>
      <c r="W56" s="2705"/>
      <c r="X56" s="2705"/>
      <c r="Y56" s="2705"/>
      <c r="Z56" s="2705"/>
      <c r="AA56" s="2705"/>
      <c r="AB56" s="2705"/>
      <c r="AC56" s="2705"/>
    </row>
    <row r="57" spans="1:56">
      <c r="A57" s="2702"/>
      <c r="B57" s="2708"/>
      <c r="C57" s="2709"/>
      <c r="D57" s="2702"/>
      <c r="E57" s="2702"/>
      <c r="F57" s="2702"/>
      <c r="G57" s="2702"/>
      <c r="H57" s="2702"/>
      <c r="I57" s="2702"/>
      <c r="J57" s="2702"/>
      <c r="K57" s="2707"/>
      <c r="L57" s="2703"/>
      <c r="M57" s="2702"/>
      <c r="N57" s="2702"/>
      <c r="O57" s="2702"/>
      <c r="P57" s="2733"/>
      <c r="Q57" s="2702"/>
      <c r="R57" s="2702"/>
      <c r="S57" s="2702"/>
      <c r="T57" s="2702"/>
      <c r="U57" s="2702"/>
      <c r="V57" s="2702"/>
      <c r="W57" s="2702"/>
      <c r="X57" s="2702"/>
      <c r="Y57" s="2702"/>
      <c r="Z57" s="2702"/>
      <c r="AA57" s="2702"/>
      <c r="AB57" s="2702"/>
      <c r="AC57" s="2702"/>
    </row>
    <row r="58" spans="1:56" ht="21.75" thickBot="1">
      <c r="A58" s="694" t="s">
        <v>1782</v>
      </c>
      <c r="B58" s="690"/>
      <c r="C58" s="695"/>
      <c r="D58" s="695"/>
      <c r="E58" s="695"/>
      <c r="F58" s="696"/>
      <c r="G58" s="696"/>
      <c r="H58" s="695"/>
      <c r="I58" s="695"/>
      <c r="J58" s="695"/>
      <c r="K58" s="697"/>
      <c r="L58" s="942"/>
      <c r="M58" s="940"/>
      <c r="N58" s="2746"/>
      <c r="O58" s="2746"/>
      <c r="P58" s="2735"/>
      <c r="Q58" s="2716"/>
      <c r="R58" s="2702"/>
      <c r="S58" s="2702"/>
      <c r="T58" s="2702"/>
      <c r="U58" s="2702"/>
      <c r="V58" s="2702"/>
      <c r="W58" s="2702"/>
      <c r="X58" s="2702"/>
      <c r="Y58" s="2702"/>
      <c r="Z58" s="2702"/>
      <c r="AA58" s="2702"/>
      <c r="AB58" s="2702"/>
      <c r="AC58" s="2702"/>
    </row>
    <row r="59" spans="1:56" s="457" customFormat="1" ht="15">
      <c r="A59" s="454" t="s">
        <v>1663</v>
      </c>
      <c r="B59" s="455"/>
      <c r="C59" s="1184" t="str">
        <f>YEAR(C7)&amp;"-"&amp;MONTH(C7)</f>
        <v>2023-12</v>
      </c>
      <c r="D59" s="1185">
        <f>EDATE(C59,-1)</f>
        <v>45231</v>
      </c>
      <c r="E59" s="1185">
        <f>EDATE(D59,-1)</f>
        <v>45200</v>
      </c>
      <c r="F59" s="1185">
        <f t="shared" ref="F59:O59" si="16">EDATE(E59,-1)</f>
        <v>45170</v>
      </c>
      <c r="G59" s="1185">
        <f t="shared" si="16"/>
        <v>45139</v>
      </c>
      <c r="H59" s="1185">
        <f t="shared" si="16"/>
        <v>45108</v>
      </c>
      <c r="I59" s="1185">
        <f t="shared" si="16"/>
        <v>45078</v>
      </c>
      <c r="J59" s="1185">
        <f t="shared" si="16"/>
        <v>45047</v>
      </c>
      <c r="K59" s="1185">
        <f t="shared" si="16"/>
        <v>45017</v>
      </c>
      <c r="L59" s="1185">
        <f t="shared" si="16"/>
        <v>44986</v>
      </c>
      <c r="M59" s="1185">
        <f t="shared" si="16"/>
        <v>44958</v>
      </c>
      <c r="N59" s="1185">
        <f t="shared" si="16"/>
        <v>44927</v>
      </c>
      <c r="O59" s="1185">
        <f t="shared" si="16"/>
        <v>44896</v>
      </c>
      <c r="P59" s="3591">
        <f t="shared" ref="P59" si="17">EDATE(O59,-1)</f>
        <v>44866</v>
      </c>
      <c r="Q59" s="3591">
        <f t="shared" ref="Q59" si="18">EDATE(P59,-1)</f>
        <v>44835</v>
      </c>
      <c r="R59" s="3591">
        <f t="shared" ref="R59" si="19">EDATE(Q59,-1)</f>
        <v>44805</v>
      </c>
      <c r="S59" s="3591">
        <f t="shared" ref="S59" si="20">EDATE(R59,-1)</f>
        <v>44774</v>
      </c>
      <c r="T59" s="3591">
        <f t="shared" ref="T59" si="21">EDATE(S59,-1)</f>
        <v>44743</v>
      </c>
      <c r="U59" s="3591">
        <f t="shared" ref="U59" si="22">EDATE(T59,-1)</f>
        <v>44713</v>
      </c>
      <c r="V59" s="3591">
        <f t="shared" ref="V59" si="23">EDATE(U59,-1)</f>
        <v>44682</v>
      </c>
      <c r="W59" s="3591">
        <f t="shared" ref="W59" si="24">EDATE(V59,-1)</f>
        <v>44652</v>
      </c>
      <c r="X59" s="3591">
        <f t="shared" ref="X59" si="25">EDATE(W59,-1)</f>
        <v>44621</v>
      </c>
      <c r="Y59" s="3591">
        <f t="shared" ref="Y59" si="26">EDATE(X59,-1)</f>
        <v>44593</v>
      </c>
      <c r="Z59" s="3591">
        <f t="shared" ref="Z59" si="27">EDATE(Y59,-1)</f>
        <v>44562</v>
      </c>
      <c r="AA59" s="3591">
        <f t="shared" ref="AA59" si="28">EDATE(Z59,-1)</f>
        <v>44531</v>
      </c>
      <c r="AB59" s="3591">
        <f t="shared" ref="AB59" si="29">EDATE(AA59,-1)</f>
        <v>44501</v>
      </c>
      <c r="AC59" s="3591">
        <f t="shared" ref="AC59" si="30">EDATE(AB59,-1)</f>
        <v>44470</v>
      </c>
      <c r="AD59" s="3591">
        <f t="shared" ref="AD59" si="31">EDATE(AC59,-1)</f>
        <v>44440</v>
      </c>
      <c r="AE59" s="3591">
        <f t="shared" ref="AE59" si="32">EDATE(AD59,-1)</f>
        <v>44409</v>
      </c>
      <c r="AF59" s="3591">
        <f t="shared" ref="AF59" si="33">EDATE(AE59,-1)</f>
        <v>44378</v>
      </c>
      <c r="AG59" s="3591">
        <f t="shared" ref="AG59" si="34">EDATE(AF59,-1)</f>
        <v>44348</v>
      </c>
      <c r="AH59" s="3591">
        <f t="shared" ref="AH59" si="35">EDATE(AG59,-1)</f>
        <v>44317</v>
      </c>
      <c r="AI59" s="3591">
        <f t="shared" ref="AI59" si="36">EDATE(AH59,-1)</f>
        <v>44287</v>
      </c>
      <c r="AJ59" s="3591">
        <f t="shared" ref="AJ59" si="37">EDATE(AI59,-1)</f>
        <v>44256</v>
      </c>
      <c r="AK59" s="3591">
        <f t="shared" ref="AK59" si="38">EDATE(AJ59,-1)</f>
        <v>44228</v>
      </c>
      <c r="AL59" s="3591">
        <f t="shared" ref="AL59" si="39">EDATE(AK59,-1)</f>
        <v>44197</v>
      </c>
      <c r="AM59" s="3591">
        <f t="shared" ref="AM59" si="40">EDATE(AL59,-1)</f>
        <v>44166</v>
      </c>
      <c r="AN59" s="3591">
        <f t="shared" ref="AN59" si="41">EDATE(AM59,-1)</f>
        <v>44136</v>
      </c>
      <c r="AO59" s="3591">
        <f t="shared" ref="AO59" si="42">EDATE(AN59,-1)</f>
        <v>44105</v>
      </c>
      <c r="AP59" s="3591">
        <f t="shared" ref="AP59" si="43">EDATE(AO59,-1)</f>
        <v>44075</v>
      </c>
      <c r="AQ59" s="3591">
        <f t="shared" ref="AQ59" si="44">EDATE(AP59,-1)</f>
        <v>44044</v>
      </c>
      <c r="AR59" s="3591">
        <f t="shared" ref="AR59" si="45">EDATE(AQ59,-1)</f>
        <v>44013</v>
      </c>
      <c r="AS59" s="3591">
        <f t="shared" ref="AS59" si="46">EDATE(AR59,-1)</f>
        <v>43983</v>
      </c>
      <c r="AT59" s="3591">
        <f t="shared" ref="AT59" si="47">EDATE(AS59,-1)</f>
        <v>43952</v>
      </c>
      <c r="AU59" s="3591">
        <f t="shared" ref="AU59" si="48">EDATE(AT59,-1)</f>
        <v>43922</v>
      </c>
      <c r="AV59" s="3591">
        <f t="shared" ref="AV59" si="49">EDATE(AU59,-1)</f>
        <v>43891</v>
      </c>
      <c r="AW59" s="3591">
        <f t="shared" ref="AW59" si="50">EDATE(AV59,-1)</f>
        <v>43862</v>
      </c>
      <c r="AX59" s="3591">
        <f t="shared" ref="AX59" si="51">EDATE(AW59,-1)</f>
        <v>43831</v>
      </c>
      <c r="AY59" s="3591">
        <f t="shared" ref="AY59" si="52">EDATE(AX59,-1)</f>
        <v>43800</v>
      </c>
      <c r="AZ59" s="3591">
        <f t="shared" ref="AZ59" si="53">EDATE(AY59,-1)</f>
        <v>43770</v>
      </c>
      <c r="BA59" s="3591">
        <f t="shared" ref="BA59" si="54">EDATE(AZ59,-1)</f>
        <v>43739</v>
      </c>
      <c r="BB59" s="3591">
        <f t="shared" ref="BB59" si="55">EDATE(BA59,-1)</f>
        <v>43709</v>
      </c>
      <c r="BC59" s="3591">
        <f t="shared" ref="BC59" si="56">EDATE(BB59,-1)</f>
        <v>43678</v>
      </c>
      <c r="BD59" s="3591">
        <f t="shared" ref="BD59" si="57">EDATE(BC59,-1)</f>
        <v>43647</v>
      </c>
    </row>
    <row r="60" spans="1:56" s="108" customFormat="1" ht="15">
      <c r="A60" s="458"/>
      <c r="B60" s="459"/>
      <c r="C60" s="1183">
        <v>100</v>
      </c>
      <c r="D60" s="461">
        <v>100</v>
      </c>
      <c r="E60" s="461">
        <v>100</v>
      </c>
      <c r="F60" s="461">
        <v>100</v>
      </c>
      <c r="G60" s="461">
        <v>100</v>
      </c>
      <c r="H60" s="461">
        <v>100</v>
      </c>
      <c r="I60" s="461">
        <v>100</v>
      </c>
      <c r="J60" s="461">
        <v>100</v>
      </c>
      <c r="K60" s="461">
        <v>100</v>
      </c>
      <c r="L60" s="461">
        <v>100</v>
      </c>
      <c r="M60" s="461">
        <v>100</v>
      </c>
      <c r="N60" s="461">
        <v>100</v>
      </c>
      <c r="O60" s="461">
        <f>N60-1</f>
        <v>99</v>
      </c>
      <c r="P60" s="461">
        <f t="shared" ref="P60:Z60" si="58">O60</f>
        <v>99</v>
      </c>
      <c r="Q60" s="461">
        <f t="shared" si="58"/>
        <v>99</v>
      </c>
      <c r="R60" s="461">
        <f t="shared" si="58"/>
        <v>99</v>
      </c>
      <c r="S60" s="461">
        <f t="shared" si="58"/>
        <v>99</v>
      </c>
      <c r="T60" s="461">
        <f t="shared" si="58"/>
        <v>99</v>
      </c>
      <c r="U60" s="461">
        <f t="shared" si="58"/>
        <v>99</v>
      </c>
      <c r="V60" s="461">
        <f t="shared" si="58"/>
        <v>99</v>
      </c>
      <c r="W60" s="461">
        <f t="shared" si="58"/>
        <v>99</v>
      </c>
      <c r="X60" s="461">
        <f t="shared" si="58"/>
        <v>99</v>
      </c>
      <c r="Y60" s="461">
        <f t="shared" si="58"/>
        <v>99</v>
      </c>
      <c r="Z60" s="461">
        <f t="shared" si="58"/>
        <v>99</v>
      </c>
      <c r="AA60" s="461">
        <f>Z60-1</f>
        <v>98</v>
      </c>
      <c r="AB60" s="461">
        <f t="shared" ref="AB60:AL60" si="59">AA60</f>
        <v>98</v>
      </c>
      <c r="AC60" s="461">
        <f t="shared" si="59"/>
        <v>98</v>
      </c>
      <c r="AD60" s="461">
        <f t="shared" si="59"/>
        <v>98</v>
      </c>
      <c r="AE60" s="461">
        <f t="shared" si="59"/>
        <v>98</v>
      </c>
      <c r="AF60" s="461">
        <f t="shared" si="59"/>
        <v>98</v>
      </c>
      <c r="AG60" s="461">
        <f t="shared" si="59"/>
        <v>98</v>
      </c>
      <c r="AH60" s="461">
        <f t="shared" si="59"/>
        <v>98</v>
      </c>
      <c r="AI60" s="461">
        <f t="shared" si="59"/>
        <v>98</v>
      </c>
      <c r="AJ60" s="461">
        <f t="shared" si="59"/>
        <v>98</v>
      </c>
      <c r="AK60" s="461">
        <f t="shared" si="59"/>
        <v>98</v>
      </c>
      <c r="AL60" s="461">
        <f t="shared" si="59"/>
        <v>98</v>
      </c>
      <c r="AM60" s="461">
        <f>AL60-1</f>
        <v>97</v>
      </c>
      <c r="AN60" s="461">
        <f t="shared" ref="AN60:AW60" si="60">AM60</f>
        <v>97</v>
      </c>
      <c r="AO60" s="461">
        <f t="shared" si="60"/>
        <v>97</v>
      </c>
      <c r="AP60" s="461">
        <f t="shared" si="60"/>
        <v>97</v>
      </c>
      <c r="AQ60" s="461">
        <f t="shared" si="60"/>
        <v>97</v>
      </c>
      <c r="AR60" s="461">
        <f t="shared" si="60"/>
        <v>97</v>
      </c>
      <c r="AS60" s="461">
        <f t="shared" si="60"/>
        <v>97</v>
      </c>
      <c r="AT60" s="461">
        <f t="shared" si="60"/>
        <v>97</v>
      </c>
      <c r="AU60" s="461">
        <f t="shared" si="60"/>
        <v>97</v>
      </c>
      <c r="AV60" s="461">
        <f t="shared" si="60"/>
        <v>97</v>
      </c>
      <c r="AW60" s="461">
        <f t="shared" si="60"/>
        <v>97</v>
      </c>
      <c r="AX60" s="461">
        <v>100</v>
      </c>
      <c r="AY60" s="461">
        <v>100</v>
      </c>
      <c r="AZ60" s="461">
        <v>100</v>
      </c>
      <c r="BA60" s="461">
        <v>100</v>
      </c>
      <c r="BB60" s="461">
        <v>100</v>
      </c>
      <c r="BC60" s="461">
        <v>100</v>
      </c>
      <c r="BD60" s="461">
        <v>100</v>
      </c>
    </row>
    <row r="61" spans="1:56" s="108" customFormat="1" ht="15.75" thickBot="1">
      <c r="A61" s="464" t="s">
        <v>1700</v>
      </c>
      <c r="B61" s="465"/>
      <c r="C61" s="466"/>
      <c r="D61" s="467"/>
      <c r="E61" s="467"/>
      <c r="F61" s="467"/>
      <c r="G61" s="467"/>
      <c r="H61" s="467"/>
      <c r="I61" s="467"/>
      <c r="J61" s="467"/>
      <c r="K61" s="467"/>
      <c r="L61" s="467"/>
      <c r="M61" s="468"/>
      <c r="N61" s="467"/>
      <c r="O61" s="468"/>
      <c r="P61" s="2737"/>
      <c r="Q61" s="2716"/>
      <c r="R61" s="2638"/>
      <c r="S61" s="2638"/>
      <c r="T61" s="2638"/>
      <c r="U61" s="2638"/>
      <c r="V61" s="2638"/>
      <c r="W61" s="2638"/>
      <c r="X61" s="2638"/>
      <c r="Y61" s="2638"/>
      <c r="Z61" s="2638"/>
      <c r="AA61" s="2638"/>
      <c r="AB61" s="2638"/>
      <c r="AC61" s="2638"/>
    </row>
    <row r="62" spans="1:56" s="108" customFormat="1" ht="15">
      <c r="A62" s="470" t="s">
        <v>1665</v>
      </c>
      <c r="B62" s="459"/>
      <c r="C62" s="471" t="s">
        <v>1760</v>
      </c>
      <c r="D62" s="472"/>
      <c r="E62" s="472"/>
      <c r="F62" s="472"/>
      <c r="G62" s="472"/>
      <c r="H62" s="472"/>
      <c r="I62" s="472"/>
      <c r="J62" s="472"/>
      <c r="K62" s="472"/>
      <c r="L62" s="473"/>
      <c r="M62" s="474"/>
      <c r="N62" s="2729"/>
      <c r="O62" s="2729"/>
      <c r="P62" s="2738"/>
      <c r="Q62" s="2716"/>
      <c r="R62" s="2638"/>
      <c r="S62" s="2638"/>
      <c r="T62" s="2638"/>
      <c r="U62" s="2638"/>
      <c r="V62" s="2638"/>
      <c r="W62" s="2638"/>
      <c r="X62" s="2638"/>
      <c r="Y62" s="2638"/>
      <c r="Z62" s="2638"/>
      <c r="AA62" s="2638"/>
      <c r="AB62" s="2638"/>
      <c r="AC62" s="2638"/>
    </row>
    <row r="63" spans="1:56" s="108" customFormat="1" ht="15.75" thickBot="1">
      <c r="A63" s="470"/>
      <c r="B63" s="459"/>
      <c r="C63" s="460">
        <v>100</v>
      </c>
      <c r="D63" s="461"/>
      <c r="E63" s="461"/>
      <c r="F63" s="461"/>
      <c r="G63" s="461"/>
      <c r="H63" s="461"/>
      <c r="I63" s="461"/>
      <c r="J63" s="461"/>
      <c r="K63" s="461"/>
      <c r="L63" s="461"/>
      <c r="M63" s="463"/>
      <c r="N63" s="2729"/>
      <c r="O63" s="2729"/>
      <c r="P63" s="2737"/>
      <c r="Q63" s="2716"/>
      <c r="R63" s="2638"/>
      <c r="S63" s="2638"/>
      <c r="T63" s="2638"/>
      <c r="U63" s="2638"/>
      <c r="V63" s="2638"/>
      <c r="W63" s="2638"/>
      <c r="X63" s="2638"/>
      <c r="Y63" s="2638"/>
      <c r="Z63" s="2638"/>
      <c r="AA63" s="2638"/>
      <c r="AB63" s="2638"/>
      <c r="AC63" s="2638"/>
    </row>
    <row r="64" spans="1:56">
      <c r="A64" s="476" t="s">
        <v>1703</v>
      </c>
      <c r="B64" s="477" t="s">
        <v>1669</v>
      </c>
      <c r="C64" s="478" t="str">
        <f>C9</f>
        <v>酒店</v>
      </c>
      <c r="D64" s="3590" t="s">
        <v>4453</v>
      </c>
      <c r="E64" s="479"/>
      <c r="F64" s="479"/>
      <c r="G64" s="479"/>
      <c r="H64" s="479"/>
      <c r="I64" s="479"/>
      <c r="J64" s="479"/>
      <c r="K64" s="480"/>
      <c r="L64" s="481"/>
      <c r="M64" s="482"/>
      <c r="N64" s="2730"/>
      <c r="O64" s="2730"/>
      <c r="P64" s="2739"/>
      <c r="Q64" s="2716"/>
      <c r="R64" s="2702"/>
      <c r="S64" s="2702"/>
      <c r="T64" s="2702"/>
      <c r="U64" s="2702"/>
      <c r="V64" s="2702"/>
      <c r="W64" s="2702"/>
      <c r="X64" s="2702"/>
      <c r="Y64" s="2702"/>
      <c r="Z64" s="2702"/>
      <c r="AA64" s="2702"/>
      <c r="AB64" s="2702"/>
      <c r="AC64" s="2702"/>
    </row>
    <row r="65" spans="1:29" ht="15.75" thickBot="1">
      <c r="A65" s="483"/>
      <c r="B65" s="484"/>
      <c r="C65" s="485">
        <v>100</v>
      </c>
      <c r="D65" s="485">
        <v>103</v>
      </c>
      <c r="E65" s="485"/>
      <c r="F65" s="485"/>
      <c r="G65" s="485"/>
      <c r="H65" s="485"/>
      <c r="I65" s="485"/>
      <c r="J65" s="485"/>
      <c r="K65" s="485"/>
      <c r="L65" s="485"/>
      <c r="M65" s="486"/>
      <c r="N65" s="2731"/>
      <c r="O65" s="2731"/>
      <c r="P65" s="2739"/>
      <c r="Q65" s="2716"/>
      <c r="R65" s="2702"/>
      <c r="S65" s="2702"/>
      <c r="T65" s="2702"/>
      <c r="U65" s="2702"/>
      <c r="V65" s="2702"/>
      <c r="W65" s="2702"/>
      <c r="X65" s="2702"/>
      <c r="Y65" s="2702"/>
      <c r="Z65" s="2702"/>
      <c r="AA65" s="2702"/>
      <c r="AB65" s="2702"/>
      <c r="AC65" s="2702"/>
    </row>
    <row r="66" spans="1:29" ht="27.75" thickTop="1">
      <c r="A66" s="483"/>
      <c r="B66" s="487" t="s">
        <v>1672</v>
      </c>
      <c r="C66" s="532" t="s">
        <v>3825</v>
      </c>
      <c r="D66" s="532" t="s">
        <v>3827</v>
      </c>
      <c r="E66" s="3592" t="s">
        <v>3842</v>
      </c>
      <c r="F66" s="532"/>
      <c r="G66" s="532"/>
      <c r="H66" s="532"/>
      <c r="I66" s="532"/>
      <c r="J66" s="532"/>
      <c r="K66" s="533"/>
      <c r="L66" s="534"/>
      <c r="M66" s="535"/>
      <c r="N66" s="2730"/>
      <c r="O66" s="2730"/>
      <c r="P66" s="2739"/>
      <c r="Q66" s="2716"/>
      <c r="R66" s="2702"/>
      <c r="S66" s="2702"/>
      <c r="T66" s="2702"/>
      <c r="U66" s="2702"/>
      <c r="V66" s="2702"/>
      <c r="W66" s="2702"/>
      <c r="X66" s="2702"/>
      <c r="Y66" s="2702"/>
      <c r="Z66" s="2702"/>
      <c r="AA66" s="2702"/>
      <c r="AB66" s="2702"/>
      <c r="AC66" s="2702"/>
    </row>
    <row r="67" spans="1:29" ht="15.75" thickBot="1">
      <c r="A67" s="483"/>
      <c r="B67" s="492"/>
      <c r="C67" s="485">
        <v>105</v>
      </c>
      <c r="D67" s="485">
        <v>110</v>
      </c>
      <c r="E67" s="485">
        <v>100</v>
      </c>
      <c r="F67" s="485"/>
      <c r="G67" s="485"/>
      <c r="H67" s="485"/>
      <c r="I67" s="485"/>
      <c r="J67" s="485"/>
      <c r="K67" s="485"/>
      <c r="L67" s="485"/>
      <c r="M67" s="486"/>
      <c r="N67" s="2731"/>
      <c r="O67" s="2731"/>
      <c r="P67" s="2739"/>
      <c r="Q67" s="2716"/>
      <c r="R67" s="2702"/>
      <c r="S67" s="2702"/>
      <c r="T67" s="2702"/>
      <c r="U67" s="2702"/>
      <c r="V67" s="2702"/>
      <c r="W67" s="2702"/>
      <c r="X67" s="2702"/>
      <c r="Y67" s="2702"/>
      <c r="Z67" s="2702"/>
      <c r="AA67" s="2702"/>
      <c r="AB67" s="2702"/>
      <c r="AC67" s="2702"/>
    </row>
    <row r="68" spans="1:29" ht="15.75" thickTop="1">
      <c r="A68" s="483"/>
      <c r="B68" s="495" t="s">
        <v>1673</v>
      </c>
      <c r="C68" s="496" t="str">
        <f>C69&amp;"（含）"&amp;"-"&amp;D69</f>
        <v>0（含）-3</v>
      </c>
      <c r="D68" s="496" t="str">
        <f t="shared" ref="D68:L68" si="61">D69&amp;"（含）"&amp;"-"&amp;E69</f>
        <v>3（含）-</v>
      </c>
      <c r="E68" s="496" t="str">
        <f t="shared" si="61"/>
        <v>（含）-</v>
      </c>
      <c r="F68" s="496" t="str">
        <f t="shared" si="61"/>
        <v>（含）-</v>
      </c>
      <c r="G68" s="496" t="str">
        <f t="shared" si="61"/>
        <v>（含）-</v>
      </c>
      <c r="H68" s="496" t="str">
        <f t="shared" si="61"/>
        <v>（含）-</v>
      </c>
      <c r="I68" s="496" t="str">
        <f t="shared" si="61"/>
        <v>（含）-</v>
      </c>
      <c r="J68" s="496" t="str">
        <f t="shared" si="61"/>
        <v>（含）-</v>
      </c>
      <c r="K68" s="496" t="str">
        <f t="shared" si="61"/>
        <v>（含）-</v>
      </c>
      <c r="L68" s="496" t="str">
        <f t="shared" si="61"/>
        <v>（含）-</v>
      </c>
      <c r="M68" s="399" t="str">
        <f>M69&amp;"（含）"&amp;"-"&amp;P69</f>
        <v>（含）-</v>
      </c>
      <c r="N68" s="2731"/>
      <c r="O68" s="2731"/>
      <c r="P68" s="2739"/>
      <c r="Q68" s="2716"/>
      <c r="R68" s="2702"/>
      <c r="S68" s="2702"/>
      <c r="T68" s="2702"/>
      <c r="U68" s="2702"/>
      <c r="V68" s="2702"/>
      <c r="W68" s="2702"/>
      <c r="X68" s="2702"/>
      <c r="Y68" s="2702"/>
      <c r="Z68" s="2702"/>
      <c r="AA68" s="2702"/>
      <c r="AB68" s="2702"/>
      <c r="AC68" s="2702"/>
    </row>
    <row r="69" spans="1:29" ht="15">
      <c r="A69" s="483"/>
      <c r="B69" s="497"/>
      <c r="C69" s="498">
        <v>0</v>
      </c>
      <c r="D69" s="498">
        <v>3</v>
      </c>
      <c r="E69" s="498"/>
      <c r="F69" s="498"/>
      <c r="G69" s="498"/>
      <c r="H69" s="498"/>
      <c r="I69" s="498"/>
      <c r="J69" s="498"/>
      <c r="K69" s="499"/>
      <c r="L69" s="500"/>
      <c r="M69" s="501"/>
      <c r="N69" s="2730"/>
      <c r="O69" s="2730"/>
      <c r="P69" s="2739"/>
      <c r="Q69" s="2716"/>
      <c r="R69" s="2702"/>
      <c r="S69" s="2702"/>
      <c r="T69" s="2702"/>
      <c r="U69" s="2702"/>
      <c r="V69" s="2702"/>
      <c r="W69" s="2702"/>
      <c r="X69" s="2702"/>
      <c r="Y69" s="2702"/>
      <c r="Z69" s="2702"/>
      <c r="AA69" s="2702"/>
      <c r="AB69" s="2702"/>
      <c r="AC69" s="2702"/>
    </row>
    <row r="70" spans="1:29" ht="15.75" thickBot="1">
      <c r="A70" s="483"/>
      <c r="B70" s="484"/>
      <c r="C70" s="493">
        <v>100</v>
      </c>
      <c r="D70" s="493">
        <f t="shared" ref="D70:M70" si="62">C70-$K11</f>
        <v>100</v>
      </c>
      <c r="E70" s="493">
        <f t="shared" si="62"/>
        <v>100</v>
      </c>
      <c r="F70" s="493">
        <f t="shared" si="62"/>
        <v>100</v>
      </c>
      <c r="G70" s="493">
        <f t="shared" si="62"/>
        <v>100</v>
      </c>
      <c r="H70" s="493">
        <f t="shared" si="62"/>
        <v>100</v>
      </c>
      <c r="I70" s="493">
        <f t="shared" si="62"/>
        <v>100</v>
      </c>
      <c r="J70" s="493">
        <f t="shared" si="62"/>
        <v>100</v>
      </c>
      <c r="K70" s="493">
        <f t="shared" si="62"/>
        <v>100</v>
      </c>
      <c r="L70" s="493">
        <f t="shared" si="62"/>
        <v>100</v>
      </c>
      <c r="M70" s="494">
        <f t="shared" si="62"/>
        <v>100</v>
      </c>
      <c r="N70" s="2731"/>
      <c r="O70" s="2731"/>
      <c r="P70" s="2739"/>
      <c r="Q70" s="2716"/>
      <c r="R70" s="2702"/>
      <c r="S70" s="2702"/>
      <c r="T70" s="2702"/>
      <c r="U70" s="2702"/>
      <c r="V70" s="2702"/>
      <c r="W70" s="2702"/>
      <c r="X70" s="2702"/>
      <c r="Y70" s="2702"/>
      <c r="Z70" s="2702"/>
      <c r="AA70" s="2702"/>
      <c r="AB70" s="2702"/>
      <c r="AC70" s="2702"/>
    </row>
    <row r="71" spans="1:29" s="422" customFormat="1" ht="15.75" thickTop="1">
      <c r="A71" s="502"/>
      <c r="B71" s="487" t="str">
        <f>B12</f>
        <v>建成</v>
      </c>
      <c r="C71" s="503"/>
      <c r="D71" s="503"/>
      <c r="E71" s="503"/>
      <c r="F71" s="503"/>
      <c r="G71" s="503"/>
      <c r="H71" s="504"/>
      <c r="I71" s="504"/>
      <c r="J71" s="504"/>
      <c r="K71" s="504"/>
      <c r="L71" s="505"/>
      <c r="M71" s="506"/>
      <c r="N71" s="2732"/>
      <c r="O71" s="2732"/>
      <c r="P71" s="2740"/>
      <c r="Q71" s="2723"/>
      <c r="R71" s="2724"/>
      <c r="S71" s="2724"/>
      <c r="T71" s="2724"/>
      <c r="U71" s="2724"/>
      <c r="V71" s="2724"/>
      <c r="W71" s="2724"/>
      <c r="X71" s="2724"/>
      <c r="Y71" s="2724"/>
      <c r="Z71" s="2724"/>
      <c r="AA71" s="2724"/>
      <c r="AB71" s="2724"/>
      <c r="AC71" s="2724"/>
    </row>
    <row r="72" spans="1:29" s="422" customFormat="1" ht="15.75" thickBot="1">
      <c r="A72" s="502"/>
      <c r="B72" s="492"/>
      <c r="C72" s="509"/>
      <c r="D72" s="485"/>
      <c r="E72" s="485"/>
      <c r="F72" s="485"/>
      <c r="G72" s="485"/>
      <c r="H72" s="485"/>
      <c r="I72" s="485"/>
      <c r="J72" s="485"/>
      <c r="K72" s="485"/>
      <c r="L72" s="485"/>
      <c r="M72" s="486"/>
      <c r="N72" s="2731"/>
      <c r="O72" s="2731"/>
      <c r="P72" s="2740"/>
      <c r="Q72" s="2723"/>
      <c r="R72" s="2724"/>
      <c r="S72" s="2724"/>
      <c r="T72" s="2724"/>
      <c r="U72" s="2724"/>
      <c r="V72" s="2724"/>
      <c r="W72" s="2724"/>
      <c r="X72" s="2724"/>
      <c r="Y72" s="2724"/>
      <c r="Z72" s="2724"/>
      <c r="AA72" s="2724"/>
      <c r="AB72" s="2724"/>
      <c r="AC72" s="2724"/>
    </row>
    <row r="73" spans="1:29" s="422" customFormat="1" ht="15.75" thickTop="1">
      <c r="A73" s="502"/>
      <c r="B73" s="487">
        <f>B13</f>
        <v>111</v>
      </c>
      <c r="C73" s="503"/>
      <c r="D73" s="503"/>
      <c r="E73" s="503"/>
      <c r="F73" s="503"/>
      <c r="G73" s="503"/>
      <c r="H73" s="504"/>
      <c r="I73" s="504"/>
      <c r="J73" s="504"/>
      <c r="K73" s="504"/>
      <c r="L73" s="505"/>
      <c r="M73" s="506"/>
      <c r="N73" s="2732"/>
      <c r="O73" s="2732"/>
      <c r="P73" s="2741"/>
      <c r="Q73" s="2726"/>
      <c r="R73" s="2724"/>
      <c r="S73" s="2724"/>
      <c r="T73" s="2724"/>
      <c r="U73" s="2724"/>
      <c r="V73" s="2724"/>
      <c r="W73" s="2724"/>
      <c r="X73" s="2724"/>
      <c r="Y73" s="2724"/>
      <c r="Z73" s="2724"/>
      <c r="AA73" s="2724"/>
      <c r="AB73" s="2724"/>
      <c r="AC73" s="2724"/>
    </row>
    <row r="74" spans="1:29" s="422" customFormat="1" ht="15.75" thickBot="1">
      <c r="A74" s="502"/>
      <c r="B74" s="492"/>
      <c r="C74" s="509"/>
      <c r="D74" s="509"/>
      <c r="E74" s="509"/>
      <c r="F74" s="509"/>
      <c r="G74" s="509"/>
      <c r="H74" s="511"/>
      <c r="I74" s="511"/>
      <c r="J74" s="511"/>
      <c r="K74" s="511"/>
      <c r="L74" s="511"/>
      <c r="M74" s="512"/>
      <c r="N74" s="2732"/>
      <c r="O74" s="2732"/>
      <c r="P74" s="2740"/>
      <c r="Q74" s="2723"/>
      <c r="R74" s="2724"/>
      <c r="S74" s="2724"/>
      <c r="T74" s="2724"/>
      <c r="U74" s="2724"/>
      <c r="V74" s="2724"/>
      <c r="W74" s="2724"/>
      <c r="X74" s="2724"/>
      <c r="Y74" s="2724"/>
      <c r="Z74" s="2724"/>
      <c r="AA74" s="2724"/>
      <c r="AB74" s="2724"/>
      <c r="AC74" s="2724"/>
    </row>
    <row r="75" spans="1:29" s="422" customFormat="1" ht="15.75" thickTop="1">
      <c r="A75" s="502"/>
      <c r="B75" s="495">
        <f>B14</f>
        <v>111</v>
      </c>
      <c r="C75" s="472"/>
      <c r="D75" s="472"/>
      <c r="E75" s="472"/>
      <c r="F75" s="472"/>
      <c r="G75" s="472"/>
      <c r="H75" s="513"/>
      <c r="I75" s="513"/>
      <c r="J75" s="513"/>
      <c r="K75" s="513"/>
      <c r="L75" s="514"/>
      <c r="M75" s="515"/>
      <c r="N75" s="2732"/>
      <c r="O75" s="2732"/>
      <c r="P75" s="2742"/>
      <c r="Q75" s="2723"/>
      <c r="R75" s="2724"/>
      <c r="S75" s="2724"/>
      <c r="T75" s="2724"/>
      <c r="U75" s="2724"/>
      <c r="V75" s="2724"/>
      <c r="W75" s="2724"/>
      <c r="X75" s="2724"/>
      <c r="Y75" s="2724"/>
      <c r="Z75" s="2724"/>
      <c r="AA75" s="2724"/>
      <c r="AB75" s="2724"/>
      <c r="AC75" s="2724"/>
    </row>
    <row r="76" spans="1:29" s="422" customFormat="1" ht="15.75" thickBot="1">
      <c r="A76" s="517"/>
      <c r="B76" s="518"/>
      <c r="C76" s="519"/>
      <c r="D76" s="519"/>
      <c r="E76" s="519"/>
      <c r="F76" s="519"/>
      <c r="G76" s="519"/>
      <c r="H76" s="520"/>
      <c r="I76" s="520"/>
      <c r="J76" s="520"/>
      <c r="K76" s="520"/>
      <c r="L76" s="520"/>
      <c r="M76" s="521"/>
      <c r="N76" s="2732"/>
      <c r="O76" s="2732"/>
      <c r="P76" s="2740"/>
      <c r="Q76" s="2723"/>
      <c r="R76" s="2724"/>
      <c r="S76" s="2724"/>
      <c r="T76" s="2724"/>
      <c r="U76" s="2724"/>
      <c r="V76" s="2724"/>
      <c r="W76" s="2724"/>
      <c r="X76" s="2724"/>
      <c r="Y76" s="2724"/>
      <c r="Z76" s="2724"/>
      <c r="AA76" s="2724"/>
      <c r="AB76" s="2724"/>
      <c r="AC76" s="2724"/>
    </row>
    <row r="77" spans="1:29">
      <c r="A77" s="476" t="s">
        <v>1674</v>
      </c>
      <c r="B77" s="477" t="s">
        <v>1805</v>
      </c>
      <c r="C77" s="522" t="s">
        <v>1705</v>
      </c>
      <c r="D77" s="522" t="s">
        <v>1706</v>
      </c>
      <c r="E77" s="522" t="s">
        <v>1707</v>
      </c>
      <c r="F77" s="522" t="s">
        <v>1708</v>
      </c>
      <c r="G77" s="522" t="s">
        <v>1709</v>
      </c>
      <c r="H77" s="478"/>
      <c r="I77" s="478"/>
      <c r="J77" s="478"/>
      <c r="K77" s="523"/>
      <c r="L77" s="524"/>
      <c r="M77" s="525"/>
      <c r="N77" s="2730"/>
      <c r="O77" s="2730"/>
      <c r="P77" s="2743"/>
      <c r="Q77" s="2716"/>
      <c r="R77" s="2702"/>
      <c r="S77" s="2702"/>
      <c r="T77" s="2702"/>
      <c r="U77" s="2702"/>
      <c r="V77" s="2702"/>
      <c r="W77" s="2702"/>
      <c r="X77" s="2702"/>
      <c r="Y77" s="2702"/>
      <c r="Z77" s="2702"/>
      <c r="AA77" s="2702"/>
      <c r="AB77" s="2702"/>
      <c r="AC77" s="2702"/>
    </row>
    <row r="78" spans="1:29" ht="15.75" thickBot="1">
      <c r="A78" s="483"/>
      <c r="B78" s="492"/>
      <c r="C78" s="493">
        <v>100</v>
      </c>
      <c r="D78" s="493">
        <f>C78-$K15</f>
        <v>95</v>
      </c>
      <c r="E78" s="493">
        <f>D78-$K15</f>
        <v>90</v>
      </c>
      <c r="F78" s="493">
        <f>E78-$K15</f>
        <v>85</v>
      </c>
      <c r="G78" s="493">
        <f>F78-$K15</f>
        <v>80</v>
      </c>
      <c r="H78" s="493"/>
      <c r="I78" s="493"/>
      <c r="J78" s="493"/>
      <c r="K78" s="493"/>
      <c r="L78" s="493"/>
      <c r="M78" s="494"/>
      <c r="N78" s="2731"/>
      <c r="O78" s="2731"/>
      <c r="P78" s="2739"/>
      <c r="Q78" s="2716"/>
      <c r="R78" s="2702"/>
      <c r="S78" s="2702"/>
      <c r="T78" s="2702"/>
      <c r="U78" s="2702"/>
      <c r="V78" s="2702"/>
      <c r="W78" s="2702"/>
      <c r="X78" s="2702"/>
      <c r="Y78" s="2702"/>
      <c r="Z78" s="2702"/>
      <c r="AA78" s="2702"/>
      <c r="AB78" s="2702"/>
      <c r="AC78" s="2702"/>
    </row>
    <row r="79" spans="1:29" ht="15.75" thickTop="1">
      <c r="A79" s="483"/>
      <c r="B79" s="487" t="s">
        <v>1710</v>
      </c>
      <c r="C79" s="527" t="s">
        <v>1705</v>
      </c>
      <c r="D79" s="527" t="s">
        <v>1706</v>
      </c>
      <c r="E79" s="527" t="s">
        <v>1707</v>
      </c>
      <c r="F79" s="527" t="s">
        <v>1708</v>
      </c>
      <c r="G79" s="527" t="s">
        <v>1709</v>
      </c>
      <c r="H79" s="488"/>
      <c r="I79" s="488"/>
      <c r="J79" s="488"/>
      <c r="K79" s="489"/>
      <c r="L79" s="490"/>
      <c r="M79" s="491"/>
      <c r="N79" s="2730"/>
      <c r="O79" s="2730"/>
      <c r="P79" s="2739"/>
      <c r="Q79" s="2716"/>
      <c r="R79" s="2702"/>
      <c r="S79" s="2702"/>
      <c r="T79" s="2702"/>
      <c r="U79" s="2702"/>
      <c r="V79" s="2702"/>
      <c r="W79" s="2702"/>
      <c r="X79" s="2702"/>
      <c r="Y79" s="2702"/>
      <c r="Z79" s="2702"/>
      <c r="AA79" s="2702"/>
      <c r="AB79" s="2702"/>
      <c r="AC79" s="2702"/>
    </row>
    <row r="80" spans="1:29" ht="15.75" thickBot="1">
      <c r="A80" s="483"/>
      <c r="B80" s="492"/>
      <c r="C80" s="493">
        <v>100</v>
      </c>
      <c r="D80" s="493">
        <f>C80-$K17</f>
        <v>95</v>
      </c>
      <c r="E80" s="493">
        <f>D80-$K17</f>
        <v>90</v>
      </c>
      <c r="F80" s="493">
        <f>E80-$K17</f>
        <v>85</v>
      </c>
      <c r="G80" s="493">
        <f>F80-$K17</f>
        <v>80</v>
      </c>
      <c r="H80" s="493"/>
      <c r="I80" s="493"/>
      <c r="J80" s="493"/>
      <c r="K80" s="493"/>
      <c r="L80" s="493"/>
      <c r="M80" s="494"/>
      <c r="N80" s="2731"/>
      <c r="O80" s="2731"/>
      <c r="P80" s="2739"/>
      <c r="Q80" s="2716"/>
      <c r="R80" s="2702"/>
      <c r="S80" s="2702"/>
      <c r="T80" s="2702"/>
      <c r="U80" s="2702"/>
      <c r="V80" s="2702"/>
      <c r="W80" s="2702"/>
      <c r="X80" s="2702"/>
      <c r="Y80" s="2702"/>
      <c r="Z80" s="2702"/>
      <c r="AA80" s="2702"/>
      <c r="AB80" s="2702"/>
      <c r="AC80" s="2702"/>
    </row>
    <row r="81" spans="1:29" ht="15.75" thickTop="1">
      <c r="A81" s="483"/>
      <c r="B81" s="487" t="s">
        <v>1711</v>
      </c>
      <c r="C81" s="527" t="s">
        <v>1705</v>
      </c>
      <c r="D81" s="527" t="s">
        <v>1706</v>
      </c>
      <c r="E81" s="527" t="s">
        <v>1707</v>
      </c>
      <c r="F81" s="527" t="s">
        <v>1708</v>
      </c>
      <c r="G81" s="527" t="s">
        <v>1709</v>
      </c>
      <c r="H81" s="488"/>
      <c r="I81" s="488"/>
      <c r="J81" s="488"/>
      <c r="K81" s="489"/>
      <c r="L81" s="490"/>
      <c r="M81" s="491"/>
      <c r="N81" s="2730"/>
      <c r="O81" s="2730"/>
      <c r="P81" s="2739"/>
      <c r="Q81" s="2716"/>
      <c r="R81" s="2702"/>
      <c r="S81" s="2702"/>
      <c r="T81" s="2702"/>
      <c r="U81" s="2702"/>
      <c r="V81" s="2702"/>
      <c r="W81" s="2702"/>
      <c r="X81" s="2702"/>
      <c r="Y81" s="2702"/>
      <c r="Z81" s="2702"/>
      <c r="AA81" s="2702"/>
      <c r="AB81" s="2702"/>
      <c r="AC81" s="2702"/>
    </row>
    <row r="82" spans="1:29" ht="15.75" thickBot="1">
      <c r="A82" s="483"/>
      <c r="B82" s="492"/>
      <c r="C82" s="493">
        <v>100</v>
      </c>
      <c r="D82" s="493">
        <f>C82-$K19</f>
        <v>98</v>
      </c>
      <c r="E82" s="493">
        <f>D82-$K19</f>
        <v>96</v>
      </c>
      <c r="F82" s="493">
        <f>E82-$K19</f>
        <v>94</v>
      </c>
      <c r="G82" s="493">
        <f>F82-$K19</f>
        <v>92</v>
      </c>
      <c r="H82" s="493"/>
      <c r="I82" s="493"/>
      <c r="J82" s="493"/>
      <c r="K82" s="493"/>
      <c r="L82" s="493"/>
      <c r="M82" s="494"/>
      <c r="N82" s="2731"/>
      <c r="O82" s="2731"/>
      <c r="P82" s="2739"/>
      <c r="Q82" s="2716"/>
      <c r="R82" s="2702"/>
      <c r="S82" s="2702"/>
      <c r="T82" s="2702"/>
      <c r="U82" s="2702"/>
      <c r="V82" s="2702"/>
      <c r="W82" s="2702"/>
      <c r="X82" s="2702"/>
      <c r="Y82" s="2702"/>
      <c r="Z82" s="2702"/>
      <c r="AA82" s="2702"/>
      <c r="AB82" s="2702"/>
      <c r="AC82" s="2702"/>
    </row>
    <row r="83" spans="1:29" ht="15.75" thickTop="1">
      <c r="A83" s="483"/>
      <c r="B83" s="495" t="s">
        <v>1797</v>
      </c>
      <c r="C83" s="608" t="s">
        <v>1783</v>
      </c>
      <c r="D83" s="608" t="s">
        <v>1784</v>
      </c>
      <c r="E83" s="608" t="s">
        <v>1785</v>
      </c>
      <c r="F83" s="608" t="s">
        <v>1786</v>
      </c>
      <c r="G83" s="608" t="s">
        <v>1787</v>
      </c>
      <c r="H83" s="488"/>
      <c r="I83" s="488"/>
      <c r="J83" s="488"/>
      <c r="K83" s="488"/>
      <c r="L83" s="488"/>
      <c r="M83" s="1129"/>
      <c r="N83" s="2731"/>
      <c r="O83" s="2731"/>
      <c r="P83" s="2739"/>
      <c r="Q83" s="2716"/>
      <c r="R83" s="2702"/>
      <c r="S83" s="2702"/>
      <c r="T83" s="2702"/>
      <c r="U83" s="2702"/>
      <c r="V83" s="2702"/>
      <c r="W83" s="2702"/>
      <c r="X83" s="2702"/>
      <c r="Y83" s="2702"/>
      <c r="Z83" s="2702"/>
      <c r="AA83" s="2702"/>
      <c r="AB83" s="2702"/>
      <c r="AC83" s="2702"/>
    </row>
    <row r="84" spans="1:29" ht="15.75" thickBot="1">
      <c r="A84" s="483"/>
      <c r="B84" s="495"/>
      <c r="C84" s="493">
        <v>100</v>
      </c>
      <c r="D84" s="493">
        <f>C84-$K21</f>
        <v>99</v>
      </c>
      <c r="E84" s="493">
        <f>D84-$K21</f>
        <v>98</v>
      </c>
      <c r="F84" s="493">
        <f>E84-$K21</f>
        <v>97</v>
      </c>
      <c r="G84" s="493">
        <f>F84-$K21</f>
        <v>96</v>
      </c>
      <c r="H84" s="608"/>
      <c r="I84" s="608"/>
      <c r="J84" s="608"/>
      <c r="K84" s="608"/>
      <c r="L84" s="608"/>
      <c r="M84" s="401"/>
      <c r="N84" s="2731"/>
      <c r="O84" s="2731"/>
      <c r="P84" s="2739"/>
      <c r="Q84" s="2716"/>
      <c r="R84" s="2702"/>
      <c r="S84" s="2702"/>
      <c r="T84" s="2702"/>
      <c r="U84" s="2702"/>
      <c r="V84" s="2702"/>
      <c r="W84" s="2702"/>
      <c r="X84" s="2702"/>
      <c r="Y84" s="2702"/>
      <c r="Z84" s="2702"/>
      <c r="AA84" s="2702"/>
      <c r="AB84" s="2702"/>
      <c r="AC84" s="2702"/>
    </row>
    <row r="85" spans="1:29" ht="15.75" thickTop="1">
      <c r="A85" s="483"/>
      <c r="B85" s="487" t="s">
        <v>1806</v>
      </c>
      <c r="C85" s="527" t="s">
        <v>1705</v>
      </c>
      <c r="D85" s="527" t="s">
        <v>1706</v>
      </c>
      <c r="E85" s="527" t="s">
        <v>1707</v>
      </c>
      <c r="F85" s="527" t="s">
        <v>1708</v>
      </c>
      <c r="G85" s="527" t="s">
        <v>1709</v>
      </c>
      <c r="H85" s="488"/>
      <c r="I85" s="488"/>
      <c r="J85" s="488"/>
      <c r="K85" s="489"/>
      <c r="L85" s="490"/>
      <c r="M85" s="491"/>
      <c r="N85" s="2730"/>
      <c r="O85" s="2730"/>
      <c r="P85" s="2739"/>
      <c r="Q85" s="2716"/>
      <c r="R85" s="2702"/>
      <c r="S85" s="2702"/>
      <c r="T85" s="2702"/>
      <c r="U85" s="2702"/>
      <c r="V85" s="2702"/>
      <c r="W85" s="2702"/>
      <c r="X85" s="2702"/>
      <c r="Y85" s="2702"/>
      <c r="Z85" s="2702"/>
      <c r="AA85" s="2702"/>
      <c r="AB85" s="2702"/>
      <c r="AC85" s="2702"/>
    </row>
    <row r="86" spans="1:29" ht="15.75" thickBot="1">
      <c r="A86" s="483"/>
      <c r="B86" s="492"/>
      <c r="C86" s="493">
        <v>100</v>
      </c>
      <c r="D86" s="493">
        <f>C86-$K23</f>
        <v>98</v>
      </c>
      <c r="E86" s="493">
        <f>D86-$K23</f>
        <v>96</v>
      </c>
      <c r="F86" s="493">
        <f>E86-$K23</f>
        <v>94</v>
      </c>
      <c r="G86" s="493">
        <f>F86-$K23</f>
        <v>92</v>
      </c>
      <c r="H86" s="493"/>
      <c r="I86" s="493"/>
      <c r="J86" s="493"/>
      <c r="K86" s="493"/>
      <c r="L86" s="493"/>
      <c r="M86" s="494"/>
      <c r="N86" s="2731"/>
      <c r="O86" s="2731"/>
      <c r="P86" s="2739"/>
      <c r="Q86" s="2716"/>
      <c r="R86" s="2702"/>
      <c r="S86" s="2702"/>
      <c r="T86" s="2702"/>
      <c r="U86" s="2702"/>
      <c r="V86" s="2702"/>
      <c r="W86" s="2702"/>
      <c r="X86" s="2702"/>
      <c r="Y86" s="2702"/>
      <c r="Z86" s="2702"/>
      <c r="AA86" s="2702"/>
      <c r="AB86" s="2702"/>
      <c r="AC86" s="2702"/>
    </row>
    <row r="87" spans="1:29" s="108" customFormat="1" ht="27.75" thickTop="1">
      <c r="A87" s="528"/>
      <c r="B87" s="487" t="s">
        <v>1807</v>
      </c>
      <c r="C87" s="503"/>
      <c r="D87" s="503"/>
      <c r="E87" s="503"/>
      <c r="F87" s="503"/>
      <c r="G87" s="503"/>
      <c r="H87" s="503"/>
      <c r="I87" s="503"/>
      <c r="J87" s="503"/>
      <c r="K87" s="503"/>
      <c r="L87" s="529"/>
      <c r="M87" s="530"/>
      <c r="N87" s="2729"/>
      <c r="O87" s="2729"/>
      <c r="P87" s="2739"/>
      <c r="Q87" s="2716"/>
      <c r="R87" s="2638"/>
      <c r="S87" s="2638"/>
      <c r="T87" s="2638"/>
      <c r="U87" s="2638"/>
      <c r="V87" s="2638"/>
      <c r="W87" s="2638"/>
      <c r="X87" s="2638"/>
      <c r="Y87" s="2638"/>
      <c r="Z87" s="2638"/>
      <c r="AA87" s="2638"/>
      <c r="AB87" s="2638"/>
      <c r="AC87" s="2638"/>
    </row>
    <row r="88" spans="1:29" s="108" customFormat="1" ht="15.75" thickBot="1">
      <c r="A88" s="528"/>
      <c r="B88" s="492"/>
      <c r="C88" s="531">
        <v>100</v>
      </c>
      <c r="D88" s="493">
        <f t="shared" ref="D88:M88" si="63">C88-$K25</f>
        <v>100</v>
      </c>
      <c r="E88" s="493">
        <f t="shared" si="63"/>
        <v>100</v>
      </c>
      <c r="F88" s="493">
        <f t="shared" si="63"/>
        <v>100</v>
      </c>
      <c r="G88" s="493">
        <f t="shared" si="63"/>
        <v>100</v>
      </c>
      <c r="H88" s="493">
        <f t="shared" si="63"/>
        <v>100</v>
      </c>
      <c r="I88" s="493">
        <f t="shared" si="63"/>
        <v>100</v>
      </c>
      <c r="J88" s="493">
        <f t="shared" si="63"/>
        <v>100</v>
      </c>
      <c r="K88" s="493">
        <f t="shared" si="63"/>
        <v>100</v>
      </c>
      <c r="L88" s="493">
        <f t="shared" si="63"/>
        <v>100</v>
      </c>
      <c r="M88" s="493">
        <f t="shared" si="63"/>
        <v>100</v>
      </c>
      <c r="N88" s="2731"/>
      <c r="O88" s="2731"/>
      <c r="P88" s="2739"/>
      <c r="Q88" s="2716"/>
      <c r="R88" s="2638"/>
      <c r="S88" s="2638"/>
      <c r="T88" s="2638"/>
      <c r="U88" s="2638"/>
      <c r="V88" s="2638"/>
      <c r="W88" s="2638"/>
      <c r="X88" s="2638"/>
      <c r="Y88" s="2638"/>
      <c r="Z88" s="2638"/>
      <c r="AA88" s="2638"/>
      <c r="AB88" s="2638"/>
      <c r="AC88" s="2638"/>
    </row>
    <row r="89" spans="1:29" s="108" customFormat="1" ht="15.75" thickTop="1">
      <c r="A89" s="528"/>
      <c r="B89" s="487" t="str">
        <f>B27</f>
        <v>楼层</v>
      </c>
      <c r="C89" s="503"/>
      <c r="D89" s="503"/>
      <c r="E89" s="503"/>
      <c r="F89" s="1927"/>
      <c r="G89" s="503"/>
      <c r="H89" s="503"/>
      <c r="I89" s="503"/>
      <c r="J89" s="503"/>
      <c r="K89" s="503"/>
      <c r="L89" s="503"/>
      <c r="M89" s="530"/>
      <c r="N89" s="2729"/>
      <c r="O89" s="2729"/>
      <c r="P89" s="2739"/>
      <c r="Q89" s="2716"/>
      <c r="R89" s="2638"/>
      <c r="S89" s="2638"/>
      <c r="T89" s="2638"/>
      <c r="U89" s="2638"/>
      <c r="V89" s="2638"/>
      <c r="W89" s="2638"/>
      <c r="X89" s="2638"/>
      <c r="Y89" s="2638"/>
      <c r="Z89" s="2638"/>
      <c r="AA89" s="2638"/>
      <c r="AB89" s="2638"/>
      <c r="AC89" s="2638"/>
    </row>
    <row r="90" spans="1:29" s="108" customFormat="1" ht="15.75" thickBot="1">
      <c r="A90" s="528"/>
      <c r="B90" s="492"/>
      <c r="C90" s="531">
        <v>100</v>
      </c>
      <c r="D90" s="493">
        <f>C90-$K27</f>
        <v>100</v>
      </c>
      <c r="E90" s="493">
        <f t="shared" ref="E90:M90" si="64">D90-$K27</f>
        <v>100</v>
      </c>
      <c r="F90" s="493">
        <f t="shared" si="64"/>
        <v>100</v>
      </c>
      <c r="G90" s="493">
        <f t="shared" si="64"/>
        <v>100</v>
      </c>
      <c r="H90" s="493">
        <f t="shared" si="64"/>
        <v>100</v>
      </c>
      <c r="I90" s="493">
        <f t="shared" si="64"/>
        <v>100</v>
      </c>
      <c r="J90" s="493">
        <f t="shared" si="64"/>
        <v>100</v>
      </c>
      <c r="K90" s="493">
        <f t="shared" si="64"/>
        <v>100</v>
      </c>
      <c r="L90" s="493">
        <f t="shared" si="64"/>
        <v>100</v>
      </c>
      <c r="M90" s="493">
        <f t="shared" si="64"/>
        <v>100</v>
      </c>
      <c r="N90" s="2731"/>
      <c r="O90" s="2731"/>
      <c r="P90" s="2739"/>
      <c r="Q90" s="2716"/>
      <c r="R90" s="2638"/>
      <c r="S90" s="2638"/>
      <c r="T90" s="2638"/>
      <c r="U90" s="2638"/>
      <c r="V90" s="2638"/>
      <c r="W90" s="2638"/>
      <c r="X90" s="2638"/>
      <c r="Y90" s="2638"/>
      <c r="Z90" s="2638"/>
      <c r="AA90" s="2638"/>
      <c r="AB90" s="2638"/>
      <c r="AC90" s="2638"/>
    </row>
    <row r="91" spans="1:29" s="422" customFormat="1" ht="15.75" thickTop="1">
      <c r="A91" s="502"/>
      <c r="B91" s="487" t="str">
        <f>B28</f>
        <v>朝向</v>
      </c>
      <c r="C91" s="503"/>
      <c r="D91" s="503"/>
      <c r="E91" s="503"/>
      <c r="F91" s="503"/>
      <c r="G91" s="503"/>
      <c r="H91" s="504"/>
      <c r="I91" s="504"/>
      <c r="J91" s="504"/>
      <c r="K91" s="504"/>
      <c r="L91" s="505"/>
      <c r="M91" s="506"/>
      <c r="N91" s="2732"/>
      <c r="O91" s="2732"/>
      <c r="P91" s="2740"/>
      <c r="Q91" s="2723"/>
      <c r="R91" s="2724"/>
      <c r="S91" s="2724"/>
      <c r="T91" s="2724"/>
      <c r="U91" s="2724"/>
      <c r="V91" s="2724"/>
      <c r="W91" s="2724"/>
      <c r="X91" s="2724"/>
      <c r="Y91" s="2724"/>
      <c r="Z91" s="2724"/>
      <c r="AA91" s="2724"/>
      <c r="AB91" s="2724"/>
      <c r="AC91" s="2724"/>
    </row>
    <row r="92" spans="1:29" s="422" customFormat="1" ht="15.75" thickBot="1">
      <c r="A92" s="502"/>
      <c r="B92" s="492"/>
      <c r="C92" s="531">
        <v>100</v>
      </c>
      <c r="D92" s="493">
        <f t="shared" ref="D92:M92" si="65">C92-$K28</f>
        <v>100</v>
      </c>
      <c r="E92" s="493">
        <f t="shared" si="65"/>
        <v>100</v>
      </c>
      <c r="F92" s="493">
        <f t="shared" si="65"/>
        <v>100</v>
      </c>
      <c r="G92" s="493">
        <f t="shared" si="65"/>
        <v>100</v>
      </c>
      <c r="H92" s="493">
        <f t="shared" si="65"/>
        <v>100</v>
      </c>
      <c r="I92" s="493">
        <f t="shared" si="65"/>
        <v>100</v>
      </c>
      <c r="J92" s="493">
        <f t="shared" si="65"/>
        <v>100</v>
      </c>
      <c r="K92" s="493">
        <f t="shared" si="65"/>
        <v>100</v>
      </c>
      <c r="L92" s="493">
        <f t="shared" si="65"/>
        <v>100</v>
      </c>
      <c r="M92" s="493">
        <f t="shared" si="65"/>
        <v>100</v>
      </c>
      <c r="N92" s="2732"/>
      <c r="O92" s="2732"/>
      <c r="P92" s="2740"/>
      <c r="Q92" s="2723"/>
      <c r="R92" s="2724"/>
      <c r="S92" s="2724"/>
      <c r="T92" s="2724"/>
      <c r="U92" s="2724"/>
      <c r="V92" s="2724"/>
      <c r="W92" s="2724"/>
      <c r="X92" s="2724"/>
      <c r="Y92" s="2724"/>
      <c r="Z92" s="2724"/>
      <c r="AA92" s="2724"/>
      <c r="AB92" s="2724"/>
      <c r="AC92" s="2724"/>
    </row>
    <row r="93" spans="1:29" ht="15.75" thickTop="1">
      <c r="A93" s="483"/>
      <c r="B93" s="487" t="str">
        <f>B29</f>
        <v>商业繁华度</v>
      </c>
      <c r="C93" s="3627" t="s">
        <v>4469</v>
      </c>
      <c r="D93" s="3627" t="s">
        <v>4468</v>
      </c>
      <c r="E93" s="503"/>
      <c r="F93" s="503"/>
      <c r="G93" s="503"/>
      <c r="H93" s="503"/>
      <c r="I93" s="503"/>
      <c r="J93" s="503"/>
      <c r="K93" s="503"/>
      <c r="L93" s="529"/>
      <c r="M93" s="530"/>
      <c r="N93" s="2730"/>
      <c r="O93" s="2730"/>
      <c r="P93" s="2739"/>
      <c r="Q93" s="2716"/>
      <c r="R93" s="2702"/>
      <c r="S93" s="2702"/>
      <c r="T93" s="2702"/>
      <c r="U93" s="2702"/>
      <c r="V93" s="2702"/>
      <c r="W93" s="2702"/>
      <c r="X93" s="2702"/>
      <c r="Y93" s="2702"/>
      <c r="Z93" s="2702"/>
      <c r="AA93" s="2702"/>
      <c r="AB93" s="2702"/>
      <c r="AC93" s="2702"/>
    </row>
    <row r="94" spans="1:29" ht="15.75" thickBot="1">
      <c r="A94" s="483"/>
      <c r="B94" s="492"/>
      <c r="C94" s="509">
        <f>D94+K15</f>
        <v>105</v>
      </c>
      <c r="D94" s="485">
        <v>100</v>
      </c>
      <c r="E94" s="485"/>
      <c r="F94" s="485"/>
      <c r="G94" s="485"/>
      <c r="H94" s="485"/>
      <c r="I94" s="485"/>
      <c r="J94" s="485"/>
      <c r="K94" s="485"/>
      <c r="L94" s="485"/>
      <c r="M94" s="486"/>
      <c r="N94" s="2731"/>
      <c r="O94" s="2731"/>
      <c r="P94" s="2739"/>
      <c r="Q94" s="2716"/>
      <c r="R94" s="2702"/>
      <c r="S94" s="2702"/>
      <c r="T94" s="2702"/>
      <c r="U94" s="2702"/>
      <c r="V94" s="2702"/>
      <c r="W94" s="2702"/>
      <c r="X94" s="2702"/>
      <c r="Y94" s="2702"/>
      <c r="Z94" s="2702"/>
      <c r="AA94" s="2702"/>
      <c r="AB94" s="2702"/>
      <c r="AC94" s="2702"/>
    </row>
    <row r="95" spans="1:29" ht="15.75" thickTop="1">
      <c r="A95" s="483"/>
      <c r="B95" s="487">
        <f>B30</f>
        <v>111</v>
      </c>
      <c r="C95" s="503"/>
      <c r="D95" s="503"/>
      <c r="E95" s="503"/>
      <c r="F95" s="503"/>
      <c r="G95" s="532"/>
      <c r="H95" s="532"/>
      <c r="I95" s="532"/>
      <c r="J95" s="532"/>
      <c r="K95" s="533"/>
      <c r="L95" s="534"/>
      <c r="M95" s="535"/>
      <c r="N95" s="2730"/>
      <c r="O95" s="2730"/>
      <c r="P95" s="2739"/>
      <c r="Q95" s="2716"/>
      <c r="R95" s="2702"/>
      <c r="S95" s="2702"/>
      <c r="T95" s="2702"/>
      <c r="U95" s="2702"/>
      <c r="V95" s="2702"/>
      <c r="W95" s="2702"/>
      <c r="X95" s="2702"/>
      <c r="Y95" s="2702"/>
      <c r="Z95" s="2702"/>
      <c r="AA95" s="2702"/>
      <c r="AB95" s="2702"/>
      <c r="AC95" s="2702"/>
    </row>
    <row r="96" spans="1:29" ht="15.75" thickBot="1">
      <c r="A96" s="483"/>
      <c r="B96" s="492"/>
      <c r="C96" s="509"/>
      <c r="D96" s="509"/>
      <c r="E96" s="509"/>
      <c r="F96" s="509"/>
      <c r="G96" s="485"/>
      <c r="H96" s="485"/>
      <c r="I96" s="485"/>
      <c r="J96" s="485"/>
      <c r="K96" s="485"/>
      <c r="L96" s="485"/>
      <c r="M96" s="486"/>
      <c r="N96" s="2731"/>
      <c r="O96" s="2731"/>
      <c r="P96" s="2739"/>
      <c r="Q96" s="2716"/>
      <c r="R96" s="2702"/>
      <c r="S96" s="2702"/>
      <c r="T96" s="2702"/>
      <c r="U96" s="2702"/>
      <c r="V96" s="2702"/>
      <c r="W96" s="2702"/>
      <c r="X96" s="2702"/>
      <c r="Y96" s="2702"/>
      <c r="Z96" s="2702"/>
      <c r="AA96" s="2702"/>
      <c r="AB96" s="2702"/>
      <c r="AC96" s="2702"/>
    </row>
    <row r="97" spans="1:29" ht="15.75" thickTop="1">
      <c r="A97" s="483"/>
      <c r="B97" s="487">
        <f>B31</f>
        <v>111</v>
      </c>
      <c r="C97" s="503"/>
      <c r="D97" s="503"/>
      <c r="E97" s="503"/>
      <c r="F97" s="503"/>
      <c r="G97" s="532"/>
      <c r="H97" s="532"/>
      <c r="I97" s="532"/>
      <c r="J97" s="532"/>
      <c r="K97" s="533"/>
      <c r="L97" s="534"/>
      <c r="M97" s="535"/>
      <c r="N97" s="2730"/>
      <c r="O97" s="2730"/>
      <c r="P97" s="2739"/>
      <c r="Q97" s="2716"/>
      <c r="R97" s="2702"/>
      <c r="S97" s="2702"/>
      <c r="T97" s="2702"/>
      <c r="U97" s="2702"/>
      <c r="V97" s="2702"/>
      <c r="W97" s="2702"/>
      <c r="X97" s="2702"/>
      <c r="Y97" s="2702"/>
      <c r="Z97" s="2702"/>
      <c r="AA97" s="2702"/>
      <c r="AB97" s="2702"/>
      <c r="AC97" s="2702"/>
    </row>
    <row r="98" spans="1:29" ht="15.75" thickBot="1">
      <c r="A98" s="483"/>
      <c r="B98" s="492"/>
      <c r="C98" s="509"/>
      <c r="D98" s="485"/>
      <c r="E98" s="485"/>
      <c r="F98" s="485"/>
      <c r="G98" s="485"/>
      <c r="H98" s="485"/>
      <c r="I98" s="485"/>
      <c r="J98" s="485"/>
      <c r="K98" s="485"/>
      <c r="L98" s="485"/>
      <c r="M98" s="486"/>
      <c r="N98" s="2731"/>
      <c r="O98" s="2731"/>
      <c r="P98" s="2739"/>
      <c r="Q98" s="2716"/>
      <c r="R98" s="2702"/>
      <c r="S98" s="2702"/>
      <c r="T98" s="2702"/>
      <c r="U98" s="2702"/>
      <c r="V98" s="2702"/>
      <c r="W98" s="2702"/>
      <c r="X98" s="2702"/>
      <c r="Y98" s="2702"/>
      <c r="Z98" s="2702"/>
      <c r="AA98" s="2702"/>
      <c r="AB98" s="2702"/>
      <c r="AC98" s="2702"/>
    </row>
    <row r="99" spans="1:29" ht="15.75" thickTop="1">
      <c r="A99" s="483"/>
      <c r="B99" s="495">
        <f>B32</f>
        <v>111</v>
      </c>
      <c r="C99" s="472"/>
      <c r="D99" s="472"/>
      <c r="E99" s="472"/>
      <c r="F99" s="472"/>
      <c r="G99" s="536"/>
      <c r="H99" s="536"/>
      <c r="I99" s="536"/>
      <c r="J99" s="536"/>
      <c r="K99" s="537"/>
      <c r="L99" s="538"/>
      <c r="M99" s="539"/>
      <c r="N99" s="2730"/>
      <c r="O99" s="2730"/>
      <c r="P99" s="2739"/>
      <c r="Q99" s="2716"/>
      <c r="R99" s="2702"/>
      <c r="S99" s="2702"/>
      <c r="T99" s="2702"/>
      <c r="U99" s="2702"/>
      <c r="V99" s="2702"/>
      <c r="W99" s="2702"/>
      <c r="X99" s="2702"/>
      <c r="Y99" s="2702"/>
      <c r="Z99" s="2702"/>
      <c r="AA99" s="2702"/>
      <c r="AB99" s="2702"/>
      <c r="AC99" s="2702"/>
    </row>
    <row r="100" spans="1:29" ht="15.75" thickBot="1">
      <c r="A100" s="1928"/>
      <c r="B100" s="518"/>
      <c r="C100" s="519"/>
      <c r="D100" s="519"/>
      <c r="E100" s="519"/>
      <c r="F100" s="519"/>
      <c r="G100" s="540"/>
      <c r="H100" s="540"/>
      <c r="I100" s="540"/>
      <c r="J100" s="540"/>
      <c r="K100" s="540"/>
      <c r="L100" s="540"/>
      <c r="M100" s="541"/>
      <c r="N100" s="2731"/>
      <c r="O100" s="2731"/>
      <c r="P100" s="2739"/>
      <c r="Q100" s="2716"/>
      <c r="R100" s="2702"/>
      <c r="S100" s="2702"/>
      <c r="T100" s="2702"/>
      <c r="U100" s="2702"/>
      <c r="V100" s="2702"/>
      <c r="W100" s="2702"/>
      <c r="X100" s="2702"/>
      <c r="Y100" s="2702"/>
      <c r="Z100" s="2702"/>
      <c r="AA100" s="2702"/>
      <c r="AB100" s="2702"/>
      <c r="AC100" s="2702"/>
    </row>
    <row r="101" spans="1:29">
      <c r="A101" s="476" t="s">
        <v>1678</v>
      </c>
      <c r="B101" s="477" t="s">
        <v>1720</v>
      </c>
      <c r="C101" s="3590" t="s">
        <v>4473</v>
      </c>
      <c r="D101" s="479"/>
      <c r="E101" s="479"/>
      <c r="F101" s="479"/>
      <c r="G101" s="479"/>
      <c r="H101" s="479"/>
      <c r="I101" s="479"/>
      <c r="J101" s="479"/>
      <c r="K101" s="480"/>
      <c r="L101" s="481"/>
      <c r="M101" s="482"/>
      <c r="N101" s="2730"/>
      <c r="O101" s="2730"/>
      <c r="P101" s="2739"/>
      <c r="Q101" s="2716"/>
      <c r="R101" s="2702"/>
      <c r="S101" s="2702"/>
      <c r="T101" s="2702"/>
      <c r="U101" s="2702"/>
      <c r="V101" s="2702"/>
      <c r="W101" s="2702"/>
      <c r="X101" s="2702"/>
      <c r="Y101" s="2702"/>
      <c r="Z101" s="2702"/>
      <c r="AA101" s="2702"/>
      <c r="AB101" s="2702"/>
      <c r="AC101" s="2702"/>
    </row>
    <row r="102" spans="1:29" ht="15.75" thickBot="1">
      <c r="A102" s="483"/>
      <c r="B102" s="492"/>
      <c r="C102" s="493">
        <v>100</v>
      </c>
      <c r="D102" s="493">
        <f t="shared" ref="D102:M102" si="66">C102-$K33</f>
        <v>98</v>
      </c>
      <c r="E102" s="493">
        <f t="shared" si="66"/>
        <v>96</v>
      </c>
      <c r="F102" s="493">
        <f t="shared" si="66"/>
        <v>94</v>
      </c>
      <c r="G102" s="493">
        <f t="shared" si="66"/>
        <v>92</v>
      </c>
      <c r="H102" s="493">
        <f t="shared" si="66"/>
        <v>90</v>
      </c>
      <c r="I102" s="493">
        <f t="shared" si="66"/>
        <v>88</v>
      </c>
      <c r="J102" s="493">
        <f t="shared" si="66"/>
        <v>86</v>
      </c>
      <c r="K102" s="493">
        <f t="shared" si="66"/>
        <v>84</v>
      </c>
      <c r="L102" s="493">
        <f t="shared" si="66"/>
        <v>82</v>
      </c>
      <c r="M102" s="494">
        <f t="shared" si="66"/>
        <v>80</v>
      </c>
      <c r="N102" s="2731"/>
      <c r="O102" s="2731"/>
      <c r="P102" s="2739"/>
      <c r="Q102" s="2716"/>
      <c r="R102" s="2702"/>
      <c r="S102" s="2702"/>
      <c r="T102" s="2702"/>
      <c r="U102" s="2702"/>
      <c r="V102" s="2702"/>
      <c r="W102" s="2702"/>
      <c r="X102" s="2702"/>
      <c r="Y102" s="2702"/>
      <c r="Z102" s="2702"/>
      <c r="AA102" s="2702"/>
      <c r="AB102" s="2702"/>
      <c r="AC102" s="2702"/>
    </row>
    <row r="103" spans="1:29" ht="29.25" thickTop="1">
      <c r="A103" s="483"/>
      <c r="B103" s="487" t="s">
        <v>1721</v>
      </c>
      <c r="C103" s="527" t="str">
        <f>C104&amp;"(含)"&amp;"-"&amp;D104</f>
        <v>0(含)-30000</v>
      </c>
      <c r="D103" s="527" t="str">
        <f t="shared" ref="D103:L103" si="67">D104&amp;"(含)"&amp;"-"&amp;E104</f>
        <v>30000(含)-50000</v>
      </c>
      <c r="E103" s="527" t="str">
        <f t="shared" si="67"/>
        <v>50000(含)-100000</v>
      </c>
      <c r="F103" s="527" t="str">
        <f t="shared" si="67"/>
        <v>100000(含)-</v>
      </c>
      <c r="G103" s="527" t="str">
        <f t="shared" si="67"/>
        <v>(含)-</v>
      </c>
      <c r="H103" s="527" t="str">
        <f t="shared" si="67"/>
        <v>(含)-</v>
      </c>
      <c r="I103" s="527" t="str">
        <f t="shared" si="67"/>
        <v>(含)-</v>
      </c>
      <c r="J103" s="527" t="str">
        <f t="shared" si="67"/>
        <v>(含)-</v>
      </c>
      <c r="K103" s="527" t="str">
        <f t="shared" si="67"/>
        <v>(含)-</v>
      </c>
      <c r="L103" s="527" t="str">
        <f t="shared" si="67"/>
        <v>(含)-</v>
      </c>
      <c r="M103" s="570" t="str">
        <f>M104&amp;"(含)"&amp;"-"&amp;P104</f>
        <v>(含)-</v>
      </c>
      <c r="N103" s="2729"/>
      <c r="O103" s="2729"/>
      <c r="P103" s="2739"/>
      <c r="Q103" s="2716"/>
      <c r="R103" s="2702"/>
      <c r="S103" s="2702"/>
      <c r="T103" s="2702"/>
      <c r="U103" s="2702"/>
      <c r="V103" s="2702"/>
      <c r="W103" s="2702"/>
      <c r="X103" s="2702"/>
      <c r="Y103" s="2702"/>
      <c r="Z103" s="2702"/>
      <c r="AA103" s="2702"/>
      <c r="AB103" s="2702"/>
      <c r="AC103" s="2702"/>
    </row>
    <row r="104" spans="1:29" s="422" customFormat="1">
      <c r="A104" s="542"/>
      <c r="B104" s="543"/>
      <c r="C104" s="544">
        <v>0</v>
      </c>
      <c r="D104" s="544">
        <v>30000</v>
      </c>
      <c r="E104" s="544">
        <v>50000</v>
      </c>
      <c r="F104" s="544">
        <v>100000</v>
      </c>
      <c r="G104" s="545"/>
      <c r="H104" s="545"/>
      <c r="I104" s="546"/>
      <c r="J104" s="545"/>
      <c r="K104" s="545"/>
      <c r="L104" s="546"/>
      <c r="M104" s="547"/>
      <c r="N104" s="2732"/>
      <c r="O104" s="2732"/>
      <c r="P104" s="2740"/>
      <c r="Q104" s="2723"/>
      <c r="R104" s="2724"/>
      <c r="S104" s="2724"/>
      <c r="T104" s="2724"/>
      <c r="U104" s="2724"/>
      <c r="V104" s="2724"/>
      <c r="W104" s="2724"/>
      <c r="X104" s="2724"/>
      <c r="Y104" s="2724"/>
      <c r="Z104" s="2724"/>
      <c r="AA104" s="2724"/>
      <c r="AB104" s="2724"/>
      <c r="AC104" s="2724"/>
    </row>
    <row r="105" spans="1:29" s="422" customFormat="1" ht="15.75" thickBot="1">
      <c r="A105" s="502"/>
      <c r="B105" s="492"/>
      <c r="C105" s="509">
        <v>100</v>
      </c>
      <c r="D105" s="485">
        <f>C105-2</f>
        <v>98</v>
      </c>
      <c r="E105" s="485">
        <f>D105-2</f>
        <v>96</v>
      </c>
      <c r="F105" s="485"/>
      <c r="G105" s="485"/>
      <c r="H105" s="485"/>
      <c r="I105" s="485"/>
      <c r="J105" s="485"/>
      <c r="K105" s="485"/>
      <c r="L105" s="485"/>
      <c r="M105" s="486"/>
      <c r="N105" s="2731"/>
      <c r="O105" s="2731"/>
      <c r="P105" s="2740"/>
      <c r="Q105" s="2723"/>
      <c r="R105" s="2724"/>
      <c r="S105" s="2724"/>
      <c r="T105" s="2724"/>
      <c r="U105" s="2724"/>
      <c r="V105" s="2724"/>
      <c r="W105" s="2724"/>
      <c r="X105" s="2724"/>
      <c r="Y105" s="2724"/>
      <c r="Z105" s="2724"/>
      <c r="AA105" s="2724"/>
      <c r="AB105" s="2724"/>
      <c r="AC105" s="2724"/>
    </row>
    <row r="106" spans="1:29" ht="15" thickTop="1">
      <c r="A106" s="548"/>
      <c r="B106" s="487" t="s">
        <v>1722</v>
      </c>
      <c r="C106" s="3627" t="s">
        <v>4474</v>
      </c>
      <c r="D106" s="503"/>
      <c r="E106" s="532"/>
      <c r="F106" s="532"/>
      <c r="G106" s="532"/>
      <c r="H106" s="532"/>
      <c r="I106" s="532"/>
      <c r="J106" s="532"/>
      <c r="K106" s="533"/>
      <c r="L106" s="534"/>
      <c r="M106" s="535"/>
      <c r="N106" s="2730"/>
      <c r="O106" s="2730"/>
      <c r="P106" s="2739"/>
      <c r="Q106" s="2716"/>
      <c r="R106" s="2702"/>
      <c r="S106" s="2702"/>
      <c r="T106" s="2702"/>
      <c r="U106" s="2702"/>
      <c r="V106" s="2702"/>
      <c r="W106" s="2702"/>
      <c r="X106" s="2702"/>
      <c r="Y106" s="2702"/>
      <c r="Z106" s="2702"/>
      <c r="AA106" s="2702"/>
      <c r="AB106" s="2702"/>
      <c r="AC106" s="2702"/>
    </row>
    <row r="107" spans="1:29" ht="15.75" thickBot="1">
      <c r="A107" s="483"/>
      <c r="B107" s="492"/>
      <c r="C107" s="493">
        <v>100</v>
      </c>
      <c r="D107" s="493">
        <f t="shared" ref="D107:M107" si="68">C107-$K35</f>
        <v>98</v>
      </c>
      <c r="E107" s="493">
        <f t="shared" si="68"/>
        <v>96</v>
      </c>
      <c r="F107" s="493">
        <f t="shared" si="68"/>
        <v>94</v>
      </c>
      <c r="G107" s="493">
        <f t="shared" si="68"/>
        <v>92</v>
      </c>
      <c r="H107" s="493">
        <f t="shared" si="68"/>
        <v>90</v>
      </c>
      <c r="I107" s="493">
        <f t="shared" si="68"/>
        <v>88</v>
      </c>
      <c r="J107" s="493">
        <f t="shared" si="68"/>
        <v>86</v>
      </c>
      <c r="K107" s="493">
        <f t="shared" si="68"/>
        <v>84</v>
      </c>
      <c r="L107" s="493">
        <f t="shared" si="68"/>
        <v>82</v>
      </c>
      <c r="M107" s="494">
        <f t="shared" si="68"/>
        <v>80</v>
      </c>
      <c r="N107" s="2731"/>
      <c r="O107" s="2731"/>
      <c r="P107" s="2739"/>
      <c r="Q107" s="2716"/>
      <c r="R107" s="2702"/>
      <c r="S107" s="2702"/>
      <c r="T107" s="2702"/>
      <c r="U107" s="2702"/>
      <c r="V107" s="2702"/>
      <c r="W107" s="2702"/>
      <c r="X107" s="2702"/>
      <c r="Y107" s="2702"/>
      <c r="Z107" s="2702"/>
      <c r="AA107" s="2702"/>
      <c r="AB107" s="2702"/>
      <c r="AC107" s="2702"/>
    </row>
    <row r="108" spans="1:29" ht="15" thickTop="1">
      <c r="A108" s="548"/>
      <c r="B108" s="487" t="s">
        <v>1724</v>
      </c>
      <c r="C108" s="3627" t="s">
        <v>4475</v>
      </c>
      <c r="D108" s="3627" t="s">
        <v>4476</v>
      </c>
      <c r="E108" s="3627" t="s">
        <v>4477</v>
      </c>
      <c r="F108" s="3628" t="s">
        <v>4478</v>
      </c>
      <c r="G108" s="532"/>
      <c r="H108" s="532"/>
      <c r="I108" s="532"/>
      <c r="J108" s="532"/>
      <c r="K108" s="533"/>
      <c r="L108" s="534"/>
      <c r="M108" s="535"/>
      <c r="N108" s="2730"/>
      <c r="O108" s="2730"/>
      <c r="P108" s="2739"/>
      <c r="Q108" s="2716"/>
      <c r="R108" s="2702"/>
      <c r="S108" s="2702"/>
      <c r="T108" s="2702"/>
      <c r="U108" s="2702"/>
      <c r="V108" s="2702"/>
      <c r="W108" s="2702"/>
      <c r="X108" s="2702"/>
      <c r="Y108" s="2702"/>
      <c r="Z108" s="2702"/>
      <c r="AA108" s="2702"/>
      <c r="AB108" s="2702"/>
      <c r="AC108" s="2702"/>
    </row>
    <row r="109" spans="1:29" ht="15.75" thickBot="1">
      <c r="A109" s="483"/>
      <c r="B109" s="492"/>
      <c r="C109" s="493">
        <v>100</v>
      </c>
      <c r="D109" s="493">
        <f t="shared" ref="D109:M109" si="69">C109-$K36</f>
        <v>98</v>
      </c>
      <c r="E109" s="493">
        <f t="shared" si="69"/>
        <v>96</v>
      </c>
      <c r="F109" s="493">
        <f t="shared" si="69"/>
        <v>94</v>
      </c>
      <c r="G109" s="493">
        <f t="shared" si="69"/>
        <v>92</v>
      </c>
      <c r="H109" s="493">
        <f t="shared" si="69"/>
        <v>90</v>
      </c>
      <c r="I109" s="493">
        <f t="shared" si="69"/>
        <v>88</v>
      </c>
      <c r="J109" s="493">
        <f t="shared" si="69"/>
        <v>86</v>
      </c>
      <c r="K109" s="493">
        <f t="shared" si="69"/>
        <v>84</v>
      </c>
      <c r="L109" s="493">
        <f t="shared" si="69"/>
        <v>82</v>
      </c>
      <c r="M109" s="494">
        <f t="shared" si="69"/>
        <v>80</v>
      </c>
      <c r="N109" s="2731"/>
      <c r="O109" s="2731"/>
      <c r="P109" s="2739"/>
      <c r="Q109" s="2716"/>
      <c r="R109" s="2702"/>
      <c r="S109" s="2702"/>
      <c r="T109" s="2702"/>
      <c r="U109" s="2702"/>
      <c r="V109" s="2702"/>
      <c r="W109" s="2702"/>
      <c r="X109" s="2702"/>
      <c r="Y109" s="2702"/>
      <c r="Z109" s="2702"/>
      <c r="AA109" s="2702"/>
      <c r="AB109" s="2702"/>
      <c r="AC109" s="270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30"/>
      <c r="O110" s="2730"/>
      <c r="P110" s="2739"/>
      <c r="Q110" s="2716"/>
      <c r="R110" s="2702"/>
      <c r="S110" s="2702"/>
      <c r="T110" s="2702"/>
      <c r="U110" s="2702"/>
      <c r="V110" s="2702"/>
      <c r="W110" s="2702"/>
      <c r="X110" s="2702"/>
      <c r="Y110" s="2702"/>
      <c r="Z110" s="2702"/>
      <c r="AA110" s="2702"/>
      <c r="AB110" s="2702"/>
      <c r="AC110" s="2702"/>
    </row>
    <row r="111" spans="1:29">
      <c r="A111" s="548"/>
      <c r="B111" s="495"/>
      <c r="C111" s="552">
        <v>0.5</v>
      </c>
      <c r="D111" s="552">
        <v>0.6</v>
      </c>
      <c r="E111" s="552">
        <v>0.7</v>
      </c>
      <c r="F111" s="552">
        <v>0.8</v>
      </c>
      <c r="G111" s="552">
        <v>0.9</v>
      </c>
      <c r="H111" s="552">
        <v>1.0001</v>
      </c>
      <c r="I111" s="571"/>
      <c r="J111" s="571"/>
      <c r="K111" s="572"/>
      <c r="L111" s="573"/>
      <c r="M111" s="574"/>
      <c r="N111" s="2730"/>
      <c r="O111" s="2730"/>
      <c r="P111" s="2739"/>
      <c r="Q111" s="2716"/>
      <c r="R111" s="2702"/>
      <c r="S111" s="2702"/>
      <c r="T111" s="2702"/>
      <c r="U111" s="2702"/>
      <c r="V111" s="2702"/>
      <c r="W111" s="2702"/>
      <c r="X111" s="2702"/>
      <c r="Y111" s="2702"/>
      <c r="Z111" s="2702"/>
      <c r="AA111" s="2702"/>
      <c r="AB111" s="2702"/>
      <c r="AC111" s="2702"/>
    </row>
    <row r="112" spans="1:29" ht="15.75" thickBot="1">
      <c r="A112" s="483"/>
      <c r="B112" s="492"/>
      <c r="C112" s="531">
        <v>100</v>
      </c>
      <c r="D112" s="493">
        <f>C112+$K37</f>
        <v>101</v>
      </c>
      <c r="E112" s="493">
        <f t="shared" ref="E112:M112" si="70">D112+$K37</f>
        <v>102</v>
      </c>
      <c r="F112" s="493">
        <f t="shared" si="70"/>
        <v>103</v>
      </c>
      <c r="G112" s="493">
        <f t="shared" si="70"/>
        <v>104</v>
      </c>
      <c r="H112" s="493">
        <f t="shared" si="70"/>
        <v>105</v>
      </c>
      <c r="I112" s="493">
        <f t="shared" si="70"/>
        <v>106</v>
      </c>
      <c r="J112" s="493">
        <f t="shared" si="70"/>
        <v>107</v>
      </c>
      <c r="K112" s="493">
        <f t="shared" si="70"/>
        <v>108</v>
      </c>
      <c r="L112" s="493">
        <f t="shared" si="70"/>
        <v>109</v>
      </c>
      <c r="M112" s="493">
        <f t="shared" si="70"/>
        <v>110</v>
      </c>
      <c r="N112" s="2731"/>
      <c r="O112" s="2731"/>
      <c r="P112" s="2739"/>
      <c r="Q112" s="2716"/>
      <c r="R112" s="2702"/>
      <c r="S112" s="2702"/>
      <c r="T112" s="2702"/>
      <c r="U112" s="2702"/>
      <c r="V112" s="2702"/>
      <c r="W112" s="2702"/>
      <c r="X112" s="2702"/>
      <c r="Y112" s="2702"/>
      <c r="Z112" s="2702"/>
      <c r="AA112" s="2702"/>
      <c r="AB112" s="2702"/>
      <c r="AC112" s="2702"/>
    </row>
    <row r="113" spans="1:29" s="422" customFormat="1" ht="15" thickTop="1">
      <c r="A113" s="542"/>
      <c r="B113" s="487" t="s">
        <v>1808</v>
      </c>
      <c r="C113" s="503"/>
      <c r="D113" s="503"/>
      <c r="E113" s="503"/>
      <c r="F113" s="503"/>
      <c r="G113" s="503"/>
      <c r="H113" s="532"/>
      <c r="I113" s="532"/>
      <c r="J113" s="532"/>
      <c r="K113" s="533"/>
      <c r="L113" s="534"/>
      <c r="M113" s="535"/>
      <c r="N113" s="2732"/>
      <c r="O113" s="2732"/>
      <c r="P113" s="2740"/>
      <c r="Q113" s="2723"/>
      <c r="R113" s="2724"/>
      <c r="S113" s="2724"/>
      <c r="T113" s="2724"/>
      <c r="U113" s="2724"/>
      <c r="V113" s="2724"/>
      <c r="W113" s="2724"/>
      <c r="X113" s="2724"/>
      <c r="Y113" s="2724"/>
      <c r="Z113" s="2724"/>
      <c r="AA113" s="2724"/>
      <c r="AB113" s="2724"/>
      <c r="AC113" s="2724"/>
    </row>
    <row r="114" spans="1:29" s="422" customFormat="1" ht="15.75" thickBot="1">
      <c r="A114" s="502"/>
      <c r="B114" s="492"/>
      <c r="C114" s="493">
        <v>100</v>
      </c>
      <c r="D114" s="493">
        <f>C114-$K38</f>
        <v>100</v>
      </c>
      <c r="E114" s="493">
        <f t="shared" ref="E114:M114" si="71">D114-$K38</f>
        <v>100</v>
      </c>
      <c r="F114" s="493">
        <f t="shared" si="71"/>
        <v>100</v>
      </c>
      <c r="G114" s="493">
        <f t="shared" si="71"/>
        <v>100</v>
      </c>
      <c r="H114" s="493">
        <f t="shared" si="71"/>
        <v>100</v>
      </c>
      <c r="I114" s="493">
        <f t="shared" si="71"/>
        <v>100</v>
      </c>
      <c r="J114" s="493">
        <f t="shared" si="71"/>
        <v>100</v>
      </c>
      <c r="K114" s="493">
        <f t="shared" si="71"/>
        <v>100</v>
      </c>
      <c r="L114" s="493">
        <f t="shared" si="71"/>
        <v>100</v>
      </c>
      <c r="M114" s="493">
        <f t="shared" si="71"/>
        <v>100</v>
      </c>
      <c r="N114" s="2732"/>
      <c r="O114" s="2732"/>
      <c r="P114" s="2740"/>
      <c r="Q114" s="2723"/>
      <c r="R114" s="2724"/>
      <c r="S114" s="2724"/>
      <c r="T114" s="2724"/>
      <c r="U114" s="2724"/>
      <c r="V114" s="2724"/>
      <c r="W114" s="2724"/>
      <c r="X114" s="2724"/>
      <c r="Y114" s="2724"/>
      <c r="Z114" s="2724"/>
      <c r="AA114" s="2724"/>
      <c r="AB114" s="2724"/>
      <c r="AC114" s="2724"/>
    </row>
    <row r="115" spans="1:29" ht="15" thickTop="1">
      <c r="A115" s="548"/>
      <c r="B115" s="487" t="s">
        <v>1725</v>
      </c>
      <c r="C115" s="3627" t="s">
        <v>4480</v>
      </c>
      <c r="D115" s="3627" t="s">
        <v>4481</v>
      </c>
      <c r="E115" s="532"/>
      <c r="F115" s="532"/>
      <c r="G115" s="532"/>
      <c r="H115" s="532"/>
      <c r="I115" s="532"/>
      <c r="J115" s="532"/>
      <c r="K115" s="533"/>
      <c r="L115" s="534"/>
      <c r="M115" s="535"/>
      <c r="N115" s="2730"/>
      <c r="O115" s="2730"/>
      <c r="P115" s="2739"/>
      <c r="Q115" s="2716"/>
      <c r="R115" s="2702"/>
      <c r="S115" s="2702"/>
      <c r="T115" s="2702"/>
      <c r="U115" s="2702"/>
      <c r="V115" s="2702"/>
      <c r="W115" s="2702"/>
      <c r="X115" s="2702"/>
      <c r="Y115" s="2702"/>
      <c r="Z115" s="2702"/>
      <c r="AA115" s="2702"/>
      <c r="AB115" s="2702"/>
      <c r="AC115" s="2702"/>
    </row>
    <row r="116" spans="1:29" ht="15.75" thickBot="1">
      <c r="A116" s="483"/>
      <c r="B116" s="492"/>
      <c r="C116" s="493">
        <v>100</v>
      </c>
      <c r="D116" s="493">
        <f t="shared" ref="D116:M116" si="72">C116-$K39</f>
        <v>98</v>
      </c>
      <c r="E116" s="493">
        <f t="shared" si="72"/>
        <v>96</v>
      </c>
      <c r="F116" s="493">
        <f t="shared" si="72"/>
        <v>94</v>
      </c>
      <c r="G116" s="493">
        <f t="shared" si="72"/>
        <v>92</v>
      </c>
      <c r="H116" s="493">
        <f t="shared" si="72"/>
        <v>90</v>
      </c>
      <c r="I116" s="493">
        <f t="shared" si="72"/>
        <v>88</v>
      </c>
      <c r="J116" s="493">
        <f t="shared" si="72"/>
        <v>86</v>
      </c>
      <c r="K116" s="493">
        <f t="shared" si="72"/>
        <v>84</v>
      </c>
      <c r="L116" s="493">
        <f t="shared" si="72"/>
        <v>82</v>
      </c>
      <c r="M116" s="494">
        <f t="shared" si="72"/>
        <v>80</v>
      </c>
      <c r="N116" s="2731"/>
      <c r="O116" s="2731"/>
      <c r="P116" s="2739"/>
      <c r="Q116" s="2716"/>
      <c r="R116" s="2702"/>
      <c r="S116" s="2702"/>
      <c r="T116" s="2702"/>
      <c r="U116" s="2702"/>
      <c r="V116" s="2702"/>
      <c r="W116" s="2702"/>
      <c r="X116" s="2702"/>
      <c r="Y116" s="2702"/>
      <c r="Z116" s="2702"/>
      <c r="AA116" s="2702"/>
      <c r="AB116" s="2702"/>
      <c r="AC116" s="2702"/>
    </row>
    <row r="117" spans="1:29" ht="15" thickTop="1">
      <c r="A117" s="548"/>
      <c r="B117" s="487" t="s">
        <v>1726</v>
      </c>
      <c r="C117" s="503" t="str">
        <f>C83</f>
        <v>七通</v>
      </c>
      <c r="D117" s="503" t="str">
        <f>D83</f>
        <v>六通</v>
      </c>
      <c r="E117" s="503" t="str">
        <f>E83</f>
        <v>五通</v>
      </c>
      <c r="F117" s="503" t="str">
        <f>F83</f>
        <v>四通</v>
      </c>
      <c r="G117" s="503" t="str">
        <f>G83</f>
        <v>三通</v>
      </c>
      <c r="H117" s="532"/>
      <c r="I117" s="532"/>
      <c r="J117" s="532"/>
      <c r="K117" s="533"/>
      <c r="L117" s="534"/>
      <c r="M117" s="535"/>
      <c r="N117" s="2730"/>
      <c r="O117" s="2730"/>
      <c r="P117" s="2739"/>
      <c r="Q117" s="2716"/>
      <c r="R117" s="2702"/>
      <c r="S117" s="2702"/>
      <c r="T117" s="2702"/>
      <c r="U117" s="2702"/>
      <c r="V117" s="2702"/>
      <c r="W117" s="2702"/>
      <c r="X117" s="2702"/>
      <c r="Y117" s="2702"/>
      <c r="Z117" s="2702"/>
      <c r="AA117" s="2702"/>
      <c r="AB117" s="2702"/>
      <c r="AC117" s="2702"/>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31"/>
      <c r="O118" s="2731"/>
      <c r="P118" s="2739"/>
      <c r="Q118" s="2716"/>
      <c r="R118" s="2702"/>
      <c r="S118" s="2702"/>
      <c r="T118" s="2702"/>
      <c r="U118" s="2702"/>
      <c r="V118" s="2702"/>
      <c r="W118" s="2702"/>
      <c r="X118" s="2702"/>
      <c r="Y118" s="2702"/>
      <c r="Z118" s="2702"/>
      <c r="AA118" s="2702"/>
      <c r="AB118" s="2702"/>
      <c r="AC118" s="2702"/>
    </row>
    <row r="119" spans="1:29" ht="15" thickTop="1">
      <c r="A119" s="548"/>
      <c r="B119" s="584" t="s">
        <v>1809</v>
      </c>
      <c r="C119" s="532"/>
      <c r="D119" s="532"/>
      <c r="E119" s="532"/>
      <c r="F119" s="532"/>
      <c r="G119" s="532"/>
      <c r="H119" s="532"/>
      <c r="I119" s="532"/>
      <c r="J119" s="532"/>
      <c r="K119" s="532"/>
      <c r="L119" s="1968"/>
      <c r="M119" s="1969"/>
      <c r="N119" s="2731"/>
      <c r="O119" s="2731"/>
      <c r="P119" s="2744"/>
      <c r="Q119" s="2745"/>
      <c r="R119" s="2702"/>
      <c r="S119" s="2702"/>
      <c r="T119" s="2702"/>
      <c r="U119" s="2702"/>
      <c r="V119" s="2702"/>
      <c r="W119" s="2702"/>
      <c r="X119" s="2702"/>
      <c r="Y119" s="2702"/>
      <c r="Z119" s="2702"/>
      <c r="AA119" s="2702"/>
      <c r="AB119" s="2702"/>
      <c r="AC119" s="2702"/>
    </row>
    <row r="120" spans="1:29" ht="15.75" thickBot="1">
      <c r="A120" s="483"/>
      <c r="B120" s="492"/>
      <c r="C120" s="531">
        <v>100</v>
      </c>
      <c r="D120" s="493">
        <f>C120-$K41</f>
        <v>100</v>
      </c>
      <c r="E120" s="493">
        <f t="shared" ref="E120:M120" si="73">D120-$K41</f>
        <v>100</v>
      </c>
      <c r="F120" s="493">
        <f t="shared" si="73"/>
        <v>100</v>
      </c>
      <c r="G120" s="493">
        <f t="shared" si="73"/>
        <v>100</v>
      </c>
      <c r="H120" s="493">
        <f t="shared" si="73"/>
        <v>100</v>
      </c>
      <c r="I120" s="493">
        <f t="shared" si="73"/>
        <v>100</v>
      </c>
      <c r="J120" s="493">
        <f t="shared" si="73"/>
        <v>100</v>
      </c>
      <c r="K120" s="493">
        <f t="shared" si="73"/>
        <v>100</v>
      </c>
      <c r="L120" s="493">
        <f t="shared" si="73"/>
        <v>100</v>
      </c>
      <c r="M120" s="493">
        <f t="shared" si="73"/>
        <v>100</v>
      </c>
      <c r="N120" s="2731"/>
      <c r="O120" s="2731"/>
      <c r="P120" s="2739"/>
      <c r="Q120" s="2716"/>
      <c r="R120" s="2702"/>
      <c r="S120" s="2702"/>
      <c r="T120" s="2702"/>
      <c r="U120" s="2702"/>
      <c r="V120" s="2702"/>
      <c r="W120" s="2702"/>
      <c r="X120" s="2702"/>
      <c r="Y120" s="2702"/>
      <c r="Z120" s="2702"/>
      <c r="AA120" s="2702"/>
      <c r="AB120" s="2702"/>
      <c r="AC120" s="2702"/>
    </row>
    <row r="121" spans="1:29" s="422" customFormat="1" ht="15" thickTop="1">
      <c r="A121" s="542"/>
      <c r="B121" s="487" t="s">
        <v>1792</v>
      </c>
      <c r="C121" s="503"/>
      <c r="D121" s="503"/>
      <c r="E121" s="503"/>
      <c r="F121" s="532"/>
      <c r="G121" s="504"/>
      <c r="H121" s="504"/>
      <c r="I121" s="504"/>
      <c r="J121" s="504"/>
      <c r="K121" s="504"/>
      <c r="L121" s="505"/>
      <c r="M121" s="506"/>
      <c r="N121" s="2732"/>
      <c r="O121" s="2732"/>
      <c r="P121" s="2740"/>
      <c r="Q121" s="2723"/>
      <c r="R121" s="2724"/>
      <c r="S121" s="2724"/>
      <c r="T121" s="2724"/>
      <c r="U121" s="2724"/>
      <c r="V121" s="2724"/>
      <c r="W121" s="2724"/>
      <c r="X121" s="2724"/>
      <c r="Y121" s="2724"/>
      <c r="Z121" s="2724"/>
      <c r="AA121" s="2724"/>
      <c r="AB121" s="2724"/>
      <c r="AC121" s="2724"/>
    </row>
    <row r="122" spans="1:29" s="422" customFormat="1" ht="15.75" thickBot="1">
      <c r="A122" s="502"/>
      <c r="B122" s="484"/>
      <c r="C122" s="509"/>
      <c r="D122" s="509"/>
      <c r="E122" s="509"/>
      <c r="F122" s="509"/>
      <c r="G122" s="509"/>
      <c r="H122" s="509"/>
      <c r="I122" s="509"/>
      <c r="J122" s="509"/>
      <c r="K122" s="509"/>
      <c r="L122" s="509"/>
      <c r="M122" s="509"/>
      <c r="N122" s="2732"/>
      <c r="O122" s="2732"/>
      <c r="P122" s="2740"/>
      <c r="Q122" s="2723"/>
      <c r="R122" s="2724"/>
      <c r="S122" s="2724"/>
      <c r="T122" s="2724"/>
      <c r="U122" s="2724"/>
      <c r="V122" s="2724"/>
      <c r="W122" s="2724"/>
      <c r="X122" s="2724"/>
      <c r="Y122" s="2724"/>
      <c r="Z122" s="2724"/>
      <c r="AA122" s="2724"/>
      <c r="AB122" s="2724"/>
      <c r="AC122" s="2724"/>
    </row>
    <row r="123" spans="1:29" ht="15" thickTop="1">
      <c r="A123" s="548"/>
      <c r="B123" s="487" t="s">
        <v>1728</v>
      </c>
      <c r="C123" s="3627" t="s">
        <v>4458</v>
      </c>
      <c r="D123" s="3627" t="s">
        <v>4460</v>
      </c>
      <c r="E123" s="3627" t="s">
        <v>4461</v>
      </c>
      <c r="F123" s="3628" t="s">
        <v>4462</v>
      </c>
      <c r="G123" s="532"/>
      <c r="H123" s="532"/>
      <c r="I123" s="532"/>
      <c r="J123" s="532"/>
      <c r="K123" s="533"/>
      <c r="L123" s="534"/>
      <c r="M123" s="535"/>
      <c r="N123" s="2730"/>
      <c r="O123" s="2730"/>
      <c r="P123" s="2739"/>
      <c r="Q123" s="2716"/>
      <c r="R123" s="2702"/>
      <c r="S123" s="2702"/>
      <c r="T123" s="2702"/>
      <c r="U123" s="2702"/>
      <c r="V123" s="2702"/>
      <c r="W123" s="2702"/>
      <c r="X123" s="2702"/>
      <c r="Y123" s="2702"/>
      <c r="Z123" s="2702"/>
      <c r="AA123" s="2702"/>
      <c r="AB123" s="2702"/>
      <c r="AC123" s="2702"/>
    </row>
    <row r="124" spans="1:29" ht="15.75" thickBot="1">
      <c r="A124" s="483"/>
      <c r="B124" s="492"/>
      <c r="C124" s="493">
        <v>100</v>
      </c>
      <c r="D124" s="493">
        <f t="shared" ref="D124:M124" si="74">C124-$K43</f>
        <v>98</v>
      </c>
      <c r="E124" s="493">
        <f t="shared" si="74"/>
        <v>96</v>
      </c>
      <c r="F124" s="493">
        <f t="shared" si="74"/>
        <v>94</v>
      </c>
      <c r="G124" s="493">
        <f t="shared" si="74"/>
        <v>92</v>
      </c>
      <c r="H124" s="493">
        <f t="shared" si="74"/>
        <v>90</v>
      </c>
      <c r="I124" s="493">
        <f t="shared" si="74"/>
        <v>88</v>
      </c>
      <c r="J124" s="493">
        <f t="shared" si="74"/>
        <v>86</v>
      </c>
      <c r="K124" s="493">
        <f t="shared" si="74"/>
        <v>84</v>
      </c>
      <c r="L124" s="493">
        <f t="shared" si="74"/>
        <v>82</v>
      </c>
      <c r="M124" s="494">
        <f t="shared" si="74"/>
        <v>80</v>
      </c>
      <c r="N124" s="2731"/>
      <c r="O124" s="2731"/>
      <c r="P124" s="2739"/>
      <c r="Q124" s="2716"/>
      <c r="R124" s="2702"/>
      <c r="S124" s="2702"/>
      <c r="T124" s="2702"/>
      <c r="U124" s="2702"/>
      <c r="V124" s="2702"/>
      <c r="W124" s="2702"/>
      <c r="X124" s="2702"/>
      <c r="Y124" s="2702"/>
      <c r="Z124" s="2702"/>
      <c r="AA124" s="2702"/>
      <c r="AB124" s="2702"/>
      <c r="AC124" s="2702"/>
    </row>
    <row r="125" spans="1:29" ht="15" thickTop="1">
      <c r="A125" s="548"/>
      <c r="B125" s="487" t="s">
        <v>1729</v>
      </c>
      <c r="C125" s="527" t="s">
        <v>1705</v>
      </c>
      <c r="D125" s="527" t="s">
        <v>1706</v>
      </c>
      <c r="E125" s="527" t="s">
        <v>1707</v>
      </c>
      <c r="F125" s="527" t="s">
        <v>1708</v>
      </c>
      <c r="G125" s="527" t="s">
        <v>1709</v>
      </c>
      <c r="H125" s="488"/>
      <c r="I125" s="488"/>
      <c r="J125" s="488"/>
      <c r="K125" s="489"/>
      <c r="L125" s="490"/>
      <c r="M125" s="491"/>
      <c r="N125" s="2730"/>
      <c r="O125" s="2730"/>
      <c r="P125" s="2740"/>
      <c r="Q125" s="2716"/>
      <c r="R125" s="2702"/>
      <c r="S125" s="2702"/>
      <c r="T125" s="2702"/>
      <c r="U125" s="2702"/>
      <c r="V125" s="2702"/>
      <c r="W125" s="2702"/>
      <c r="X125" s="2702"/>
      <c r="Y125" s="2702"/>
      <c r="Z125" s="2702"/>
      <c r="AA125" s="2702"/>
      <c r="AB125" s="2702"/>
      <c r="AC125" s="2702"/>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31"/>
      <c r="O126" s="2731"/>
      <c r="P126" s="2739"/>
      <c r="Q126" s="2716"/>
      <c r="R126" s="2702"/>
      <c r="S126" s="2702"/>
      <c r="T126" s="2702"/>
      <c r="U126" s="2702"/>
      <c r="V126" s="2702"/>
      <c r="W126" s="2702"/>
      <c r="X126" s="2702"/>
      <c r="Y126" s="2702"/>
      <c r="Z126" s="2702"/>
      <c r="AA126" s="2702"/>
      <c r="AB126" s="2702"/>
      <c r="AC126" s="2702"/>
    </row>
    <row r="127" spans="1:29" s="422" customFormat="1" ht="15" thickTop="1">
      <c r="A127" s="542"/>
      <c r="B127" s="487" t="str">
        <f>B45</f>
        <v>地下占比</v>
      </c>
      <c r="C127" s="503">
        <v>0</v>
      </c>
      <c r="D127" s="3589" t="s">
        <v>4483</v>
      </c>
      <c r="E127" s="3589" t="s">
        <v>4484</v>
      </c>
      <c r="F127" s="3589" t="s">
        <v>3862</v>
      </c>
      <c r="G127" s="3589" t="s">
        <v>3863</v>
      </c>
      <c r="H127" s="504" t="s">
        <v>3864</v>
      </c>
      <c r="I127" s="504" t="s">
        <v>3865</v>
      </c>
      <c r="J127" s="504" t="s">
        <v>4485</v>
      </c>
      <c r="K127" s="504"/>
      <c r="L127" s="505"/>
      <c r="M127" s="506"/>
      <c r="N127" s="2732"/>
      <c r="O127" s="2732"/>
      <c r="P127" s="2740"/>
      <c r="Q127" s="2723"/>
      <c r="R127" s="2724"/>
      <c r="S127" s="2724"/>
      <c r="T127" s="2724"/>
      <c r="U127" s="2724"/>
      <c r="V127" s="2724"/>
      <c r="W127" s="2724"/>
      <c r="X127" s="2724"/>
      <c r="Y127" s="2724"/>
      <c r="Z127" s="2724"/>
      <c r="AA127" s="2724"/>
      <c r="AB127" s="2724"/>
      <c r="AC127" s="2724"/>
    </row>
    <row r="128" spans="1:29" s="422" customFormat="1" ht="15.75" thickBot="1">
      <c r="A128" s="502"/>
      <c r="B128" s="492"/>
      <c r="C128" s="509">
        <v>100</v>
      </c>
      <c r="D128" s="485">
        <f>C128-2</f>
        <v>98</v>
      </c>
      <c r="E128" s="485">
        <f t="shared" ref="E128:I128" si="75">D128-2</f>
        <v>96</v>
      </c>
      <c r="F128" s="485">
        <f t="shared" si="75"/>
        <v>94</v>
      </c>
      <c r="G128" s="485">
        <f t="shared" si="75"/>
        <v>92</v>
      </c>
      <c r="H128" s="485">
        <f t="shared" si="75"/>
        <v>90</v>
      </c>
      <c r="I128" s="485">
        <f t="shared" si="75"/>
        <v>88</v>
      </c>
      <c r="J128" s="511"/>
      <c r="K128" s="511"/>
      <c r="L128" s="511"/>
      <c r="M128" s="512"/>
      <c r="N128" s="2732"/>
      <c r="O128" s="2732"/>
      <c r="P128" s="2740"/>
      <c r="Q128" s="2723"/>
      <c r="R128" s="2724"/>
      <c r="S128" s="2724"/>
      <c r="T128" s="2724"/>
      <c r="U128" s="2724"/>
      <c r="V128" s="2724"/>
      <c r="W128" s="2724"/>
      <c r="X128" s="2724"/>
      <c r="Y128" s="2724"/>
      <c r="Z128" s="2724"/>
      <c r="AA128" s="2724"/>
      <c r="AB128" s="2724"/>
      <c r="AC128" s="2724"/>
    </row>
    <row r="129" spans="1:29" ht="15" thickTop="1">
      <c r="A129" s="548"/>
      <c r="B129" s="487">
        <f>B46</f>
        <v>111</v>
      </c>
      <c r="C129" s="503"/>
      <c r="D129" s="503"/>
      <c r="E129" s="503"/>
      <c r="F129" s="503"/>
      <c r="G129" s="532"/>
      <c r="H129" s="532"/>
      <c r="I129" s="532"/>
      <c r="J129" s="532"/>
      <c r="K129" s="533"/>
      <c r="L129" s="534"/>
      <c r="M129" s="535"/>
      <c r="N129" s="2730"/>
      <c r="O129" s="2730"/>
      <c r="P129" s="2739"/>
      <c r="Q129" s="2716"/>
      <c r="R129" s="2702"/>
      <c r="S129" s="2702"/>
      <c r="T129" s="2702"/>
      <c r="U129" s="2702"/>
      <c r="V129" s="2702"/>
      <c r="W129" s="2702"/>
      <c r="X129" s="2702"/>
      <c r="Y129" s="2702"/>
      <c r="Z129" s="2702"/>
      <c r="AA129" s="2702"/>
      <c r="AB129" s="2702"/>
      <c r="AC129" s="2702"/>
    </row>
    <row r="130" spans="1:29" ht="15.75" thickBot="1">
      <c r="A130" s="483"/>
      <c r="B130" s="492"/>
      <c r="C130" s="509"/>
      <c r="D130" s="509"/>
      <c r="E130" s="509"/>
      <c r="F130" s="509"/>
      <c r="G130" s="485"/>
      <c r="H130" s="485"/>
      <c r="I130" s="485"/>
      <c r="J130" s="485"/>
      <c r="K130" s="485"/>
      <c r="L130" s="485"/>
      <c r="M130" s="486"/>
      <c r="N130" s="2731"/>
      <c r="O130" s="2731"/>
      <c r="P130" s="2739"/>
      <c r="Q130" s="2716"/>
      <c r="R130" s="2702"/>
      <c r="S130" s="2702"/>
      <c r="T130" s="2702"/>
      <c r="U130" s="2702"/>
      <c r="V130" s="2702"/>
      <c r="W130" s="2702"/>
      <c r="X130" s="2702"/>
      <c r="Y130" s="2702"/>
      <c r="Z130" s="2702"/>
      <c r="AA130" s="2702"/>
      <c r="AB130" s="2702"/>
      <c r="AC130" s="2702"/>
    </row>
    <row r="131" spans="1:29" ht="15" thickTop="1">
      <c r="A131" s="548"/>
      <c r="B131" s="495">
        <f>B47</f>
        <v>111</v>
      </c>
      <c r="C131" s="472"/>
      <c r="D131" s="472"/>
      <c r="E131" s="472"/>
      <c r="F131" s="472"/>
      <c r="G131" s="536"/>
      <c r="H131" s="536"/>
      <c r="I131" s="536"/>
      <c r="J131" s="536"/>
      <c r="K131" s="472"/>
      <c r="L131" s="473"/>
      <c r="M131" s="539"/>
      <c r="N131" s="2730"/>
      <c r="O131" s="2730"/>
      <c r="P131" s="2739"/>
      <c r="Q131" s="2716"/>
      <c r="R131" s="2702"/>
      <c r="S131" s="2702"/>
      <c r="T131" s="2702"/>
      <c r="U131" s="2702"/>
      <c r="V131" s="2702"/>
      <c r="W131" s="2702"/>
      <c r="X131" s="2702"/>
      <c r="Y131" s="2702"/>
      <c r="Z131" s="2702"/>
      <c r="AA131" s="2702"/>
      <c r="AB131" s="2702"/>
      <c r="AC131" s="2702"/>
    </row>
    <row r="132" spans="1:29" ht="15.75" thickBot="1">
      <c r="A132" s="1928"/>
      <c r="B132" s="518"/>
      <c r="C132" s="519"/>
      <c r="D132" s="519"/>
      <c r="E132" s="519"/>
      <c r="F132" s="519"/>
      <c r="G132" s="540"/>
      <c r="H132" s="540"/>
      <c r="I132" s="540"/>
      <c r="J132" s="540"/>
      <c r="K132" s="540"/>
      <c r="L132" s="540"/>
      <c r="M132" s="541"/>
      <c r="N132" s="2731"/>
      <c r="O132" s="2731"/>
      <c r="P132" s="2739"/>
      <c r="Q132" s="2716"/>
      <c r="R132" s="2702"/>
      <c r="S132" s="2702"/>
      <c r="T132" s="2702"/>
      <c r="U132" s="2702"/>
      <c r="V132" s="2702"/>
      <c r="W132" s="2702"/>
      <c r="X132" s="2702"/>
      <c r="Y132" s="2702"/>
      <c r="Z132" s="2702"/>
      <c r="AA132" s="2702"/>
      <c r="AB132" s="2702"/>
      <c r="AC132" s="270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66" priority="20" stopIfTrue="1" operator="containsText" text="超过">
      <formula>NOT(ISERROR(SEARCH("超过",F53)))</formula>
    </cfRule>
  </conditionalFormatting>
  <conditionalFormatting sqref="H55">
    <cfRule type="containsText" dxfId="165" priority="19" stopIfTrue="1" operator="containsText" text="超过">
      <formula>NOT(ISERROR(SEARCH("超过",H55)))</formula>
    </cfRule>
  </conditionalFormatting>
  <conditionalFormatting sqref="F55">
    <cfRule type="containsText" dxfId="164" priority="18" stopIfTrue="1" operator="containsText" text="超过">
      <formula>NOT(ISERROR(SEARCH("超过",F55)))</formula>
    </cfRule>
  </conditionalFormatting>
  <conditionalFormatting sqref="F54 H54">
    <cfRule type="containsText" dxfId="163" priority="17" stopIfTrue="1" operator="containsText" text="超过">
      <formula>NOT(ISERROR(SEARCH("超过",F54)))</formula>
    </cfRule>
  </conditionalFormatting>
  <conditionalFormatting sqref="E53">
    <cfRule type="expression" dxfId="162" priority="16" stopIfTrue="1">
      <formula>$F$53="超过30%"</formula>
    </cfRule>
  </conditionalFormatting>
  <conditionalFormatting sqref="E54">
    <cfRule type="expression" dxfId="161" priority="15" stopIfTrue="1">
      <formula>$F$54="超过20%"</formula>
    </cfRule>
  </conditionalFormatting>
  <conditionalFormatting sqref="E55">
    <cfRule type="expression" dxfId="160" priority="14" stopIfTrue="1">
      <formula>$F$55="超过30%"</formula>
    </cfRule>
  </conditionalFormatting>
  <conditionalFormatting sqref="G55">
    <cfRule type="expression" dxfId="159" priority="13" stopIfTrue="1">
      <formula>$H$55="超过30%"</formula>
    </cfRule>
  </conditionalFormatting>
  <conditionalFormatting sqref="G53">
    <cfRule type="expression" dxfId="158" priority="12" stopIfTrue="1">
      <formula>$H$53="超过30%"</formula>
    </cfRule>
  </conditionalFormatting>
  <conditionalFormatting sqref="G54">
    <cfRule type="expression" dxfId="157" priority="11" stopIfTrue="1">
      <formula>$H$54="超过20%"</formula>
    </cfRule>
  </conditionalFormatting>
  <conditionalFormatting sqref="J53">
    <cfRule type="containsText" dxfId="156" priority="10" stopIfTrue="1" operator="containsText" text="超过">
      <formula>NOT(ISERROR(SEARCH("超过",J53)))</formula>
    </cfRule>
  </conditionalFormatting>
  <conditionalFormatting sqref="J55">
    <cfRule type="containsText" dxfId="155" priority="9" stopIfTrue="1" operator="containsText" text="超过">
      <formula>NOT(ISERROR(SEARCH("超过",J55)))</formula>
    </cfRule>
  </conditionalFormatting>
  <conditionalFormatting sqref="J54">
    <cfRule type="containsText" dxfId="154" priority="8" stopIfTrue="1" operator="containsText" text="超过">
      <formula>NOT(ISERROR(SEARCH("超过",J54)))</formula>
    </cfRule>
  </conditionalFormatting>
  <conditionalFormatting sqref="I53">
    <cfRule type="expression" dxfId="153" priority="7" stopIfTrue="1">
      <formula>$J$53="超过30%"</formula>
    </cfRule>
  </conditionalFormatting>
  <conditionalFormatting sqref="I54">
    <cfRule type="expression" dxfId="152" priority="6" stopIfTrue="1">
      <formula>$J$53+$J$54="超过20%"</formula>
    </cfRule>
  </conditionalFormatting>
  <conditionalFormatting sqref="I55">
    <cfRule type="expression" dxfId="151" priority="5" stopIfTrue="1">
      <formula>$J$55="超过30%"</formula>
    </cfRule>
  </conditionalFormatting>
  <conditionalFormatting sqref="F49">
    <cfRule type="expression" dxfId="150" priority="4">
      <formula>$D$49="简单平均"</formula>
    </cfRule>
  </conditionalFormatting>
  <conditionalFormatting sqref="H49">
    <cfRule type="expression" dxfId="149" priority="3">
      <formula>$D$49="简单平均"</formula>
    </cfRule>
  </conditionalFormatting>
  <conditionalFormatting sqref="J49">
    <cfRule type="expression" dxfId="148" priority="2">
      <formula>$D$49="简单平均"</formula>
    </cfRule>
  </conditionalFormatting>
  <conditionalFormatting sqref="F7:F47 H7:H47 J7:J47">
    <cfRule type="cellIs" dxfId="14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5"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W119"/>
  <sheetViews>
    <sheetView topLeftCell="A19" zoomScaleNormal="100" zoomScaleSheetLayoutView="100" workbookViewId="0">
      <selection activeCell="I83" sqref="I83"/>
    </sheetView>
  </sheetViews>
  <sheetFormatPr defaultColWidth="9.375" defaultRowHeight="13.5"/>
  <cols>
    <col min="1" max="1" width="9.375" style="3608"/>
    <col min="2" max="2" width="21.625" style="3608" customWidth="1"/>
    <col min="3" max="3" width="28.625" style="3608" customWidth="1"/>
    <col min="4" max="5" width="17" style="3608" bestFit="1" customWidth="1"/>
    <col min="6" max="6" width="16.375" style="3608" customWidth="1"/>
    <col min="7" max="7" width="12.125" style="3608" customWidth="1"/>
    <col min="8" max="8" width="13.375" style="3608" bestFit="1" customWidth="1"/>
    <col min="9" max="9" width="15.25" style="3608" bestFit="1" customWidth="1"/>
    <col min="10" max="11" width="17" style="3608" bestFit="1" customWidth="1"/>
    <col min="12" max="12" width="13.375" style="3608" bestFit="1" customWidth="1"/>
    <col min="13" max="13" width="21.375" style="3608" bestFit="1" customWidth="1"/>
    <col min="14" max="14" width="19.625" style="3608" bestFit="1" customWidth="1"/>
    <col min="15" max="15" width="37.25" style="3608" bestFit="1" customWidth="1"/>
    <col min="16" max="16" width="13.375" style="3608" bestFit="1" customWidth="1"/>
    <col min="17" max="17" width="37.25" style="3608" bestFit="1" customWidth="1"/>
    <col min="18" max="18" width="11.625" style="3608" bestFit="1" customWidth="1"/>
    <col min="19" max="19" width="15.25" style="3608" bestFit="1" customWidth="1"/>
    <col min="20" max="20" width="29.375" style="3608" bestFit="1" customWidth="1"/>
    <col min="21" max="21" width="9.375" style="3608"/>
    <col min="22" max="22" width="17" style="3608" bestFit="1" customWidth="1"/>
    <col min="23" max="16384" width="9.375" style="3608"/>
  </cols>
  <sheetData>
    <row r="1" spans="1:23">
      <c r="A1" s="3607" t="s">
        <v>3870</v>
      </c>
      <c r="B1" s="3607" t="s">
        <v>3871</v>
      </c>
      <c r="C1" s="3607" t="s">
        <v>3872</v>
      </c>
      <c r="D1" s="3607" t="s">
        <v>3873</v>
      </c>
      <c r="E1" s="3607" t="s">
        <v>3874</v>
      </c>
      <c r="F1" s="3607" t="s">
        <v>3875</v>
      </c>
      <c r="G1" s="3607" t="s">
        <v>672</v>
      </c>
      <c r="H1" s="3607" t="s">
        <v>3876</v>
      </c>
      <c r="I1" s="3607" t="s">
        <v>3877</v>
      </c>
      <c r="J1" s="3607" t="s">
        <v>3878</v>
      </c>
      <c r="K1" s="3607" t="s">
        <v>3879</v>
      </c>
      <c r="L1" s="3607" t="s">
        <v>3880</v>
      </c>
      <c r="M1" s="3607" t="s">
        <v>3881</v>
      </c>
      <c r="N1" s="3607" t="s">
        <v>3882</v>
      </c>
      <c r="O1" s="3607" t="s">
        <v>3883</v>
      </c>
      <c r="P1" s="3607" t="s">
        <v>3884</v>
      </c>
      <c r="Q1" s="3607" t="s">
        <v>3885</v>
      </c>
      <c r="R1" s="3607" t="s">
        <v>3886</v>
      </c>
      <c r="S1" s="3607" t="s">
        <v>3887</v>
      </c>
      <c r="T1" s="3607" t="s">
        <v>3888</v>
      </c>
      <c r="U1" s="3607" t="s">
        <v>3889</v>
      </c>
      <c r="V1" s="3607" t="s">
        <v>3890</v>
      </c>
      <c r="W1" s="3607" t="s">
        <v>3891</v>
      </c>
    </row>
    <row r="2" spans="1:23" s="3622" customFormat="1" ht="60">
      <c r="A2" s="3623">
        <v>0</v>
      </c>
      <c r="B2" s="3623" t="s">
        <v>4089</v>
      </c>
      <c r="C2" s="3623" t="s">
        <v>4090</v>
      </c>
      <c r="D2" s="3623" t="s">
        <v>3926</v>
      </c>
      <c r="E2" s="3623" t="s">
        <v>3998</v>
      </c>
      <c r="F2" s="3623" t="s">
        <v>4091</v>
      </c>
      <c r="G2" s="3623" t="s">
        <v>673</v>
      </c>
      <c r="H2" s="3623"/>
      <c r="I2" s="3623">
        <v>1834.56</v>
      </c>
      <c r="J2" s="3623">
        <v>1834.56</v>
      </c>
      <c r="K2" s="3623"/>
      <c r="L2" s="3623">
        <v>11059.343999999999</v>
      </c>
      <c r="M2" s="3623">
        <v>60283</v>
      </c>
      <c r="N2" s="3623">
        <v>60283</v>
      </c>
      <c r="O2" s="3623" t="s">
        <v>4092</v>
      </c>
      <c r="P2" s="3624">
        <v>44205</v>
      </c>
      <c r="Q2" s="3623" t="s">
        <v>4093</v>
      </c>
      <c r="R2" s="3623" t="s">
        <v>4094</v>
      </c>
      <c r="S2" s="3623">
        <v>12841.92</v>
      </c>
      <c r="T2" s="3623"/>
      <c r="U2" s="3623"/>
      <c r="V2" s="3625">
        <v>0.86</v>
      </c>
      <c r="W2" s="3623" t="s">
        <v>3933</v>
      </c>
    </row>
    <row r="3" spans="1:23" ht="84">
      <c r="A3" s="3612">
        <v>1</v>
      </c>
      <c r="B3" s="3612" t="s">
        <v>4095</v>
      </c>
      <c r="C3" s="3612" t="s">
        <v>4096</v>
      </c>
      <c r="D3" s="3612" t="s">
        <v>3893</v>
      </c>
      <c r="E3" s="3612" t="s">
        <v>4097</v>
      </c>
      <c r="F3" s="3612" t="s">
        <v>4020</v>
      </c>
      <c r="G3" s="3612" t="s">
        <v>673</v>
      </c>
      <c r="H3" s="3612">
        <v>649.30999999999995</v>
      </c>
      <c r="I3" s="3612">
        <v>2626.47</v>
      </c>
      <c r="J3" s="3612">
        <v>2003.6</v>
      </c>
      <c r="K3" s="3612">
        <v>622.87</v>
      </c>
      <c r="L3" s="3612">
        <v>8320</v>
      </c>
      <c r="M3" s="3612">
        <v>31677</v>
      </c>
      <c r="N3" s="3612">
        <v>41525</v>
      </c>
      <c r="O3" s="3612" t="s">
        <v>4098</v>
      </c>
      <c r="P3" s="3613">
        <v>44219</v>
      </c>
      <c r="Q3" s="3612" t="s">
        <v>4099</v>
      </c>
      <c r="R3" s="3612" t="s">
        <v>3932</v>
      </c>
      <c r="S3" s="3612">
        <v>10277.780000000001</v>
      </c>
      <c r="T3" s="3612"/>
      <c r="U3" s="3612"/>
      <c r="V3" s="3614">
        <v>0.81</v>
      </c>
      <c r="W3" s="3612" t="s">
        <v>3933</v>
      </c>
    </row>
    <row r="4" spans="1:23" s="3622" customFormat="1" ht="36">
      <c r="A4" s="3623">
        <v>2</v>
      </c>
      <c r="B4" s="3623" t="s">
        <v>4455</v>
      </c>
      <c r="C4" s="3623" t="s">
        <v>3892</v>
      </c>
      <c r="D4" s="3623" t="s">
        <v>3893</v>
      </c>
      <c r="E4" s="3623" t="s">
        <v>3894</v>
      </c>
      <c r="F4" s="3623" t="s">
        <v>3895</v>
      </c>
      <c r="G4" s="3623" t="s">
        <v>21</v>
      </c>
      <c r="H4" s="3623"/>
      <c r="I4" s="3623">
        <v>18396.150000000001</v>
      </c>
      <c r="J4" s="3623">
        <v>18396.150000000001</v>
      </c>
      <c r="K4" s="3623"/>
      <c r="L4" s="3623">
        <v>112181</v>
      </c>
      <c r="M4" s="3623">
        <v>60981</v>
      </c>
      <c r="N4" s="3623">
        <v>60981</v>
      </c>
      <c r="O4" s="3623" t="s">
        <v>3896</v>
      </c>
      <c r="P4" s="3624">
        <v>44187</v>
      </c>
      <c r="Q4" s="3623" t="s">
        <v>3897</v>
      </c>
      <c r="R4" s="3623" t="s">
        <v>3898</v>
      </c>
      <c r="S4" s="3623"/>
      <c r="T4" s="3623"/>
      <c r="U4" s="3623"/>
      <c r="V4" s="3625"/>
      <c r="W4" s="3623"/>
    </row>
    <row r="5" spans="1:23" ht="36" hidden="1">
      <c r="A5" s="3612">
        <v>3</v>
      </c>
      <c r="B5" s="3612" t="s">
        <v>4100</v>
      </c>
      <c r="C5" s="3612" t="s">
        <v>3892</v>
      </c>
      <c r="D5" s="3612" t="s">
        <v>3893</v>
      </c>
      <c r="E5" s="3612" t="s">
        <v>3894</v>
      </c>
      <c r="F5" s="3612" t="s">
        <v>3895</v>
      </c>
      <c r="G5" s="3612" t="s">
        <v>673</v>
      </c>
      <c r="H5" s="3612"/>
      <c r="I5" s="3612">
        <v>33261.14</v>
      </c>
      <c r="J5" s="3612"/>
      <c r="K5" s="3612"/>
      <c r="L5" s="3612">
        <v>85874</v>
      </c>
      <c r="M5" s="3612">
        <v>25818</v>
      </c>
      <c r="N5" s="3612" t="e">
        <v>#DIV/0!</v>
      </c>
      <c r="O5" s="3612" t="s">
        <v>4101</v>
      </c>
      <c r="P5" s="3613">
        <v>44188</v>
      </c>
      <c r="Q5" s="3612" t="s">
        <v>4102</v>
      </c>
      <c r="R5" s="3612" t="s">
        <v>3917</v>
      </c>
      <c r="S5" s="3612"/>
      <c r="T5" s="3612"/>
      <c r="U5" s="3612"/>
      <c r="V5" s="3614"/>
      <c r="W5" s="3612"/>
    </row>
    <row r="6" spans="1:23" ht="24" hidden="1">
      <c r="A6" s="3609">
        <v>4</v>
      </c>
      <c r="B6" s="3609" t="s">
        <v>4103</v>
      </c>
      <c r="C6" s="3609" t="s">
        <v>4104</v>
      </c>
      <c r="D6" s="3609" t="s">
        <v>3901</v>
      </c>
      <c r="E6" s="3609" t="s">
        <v>3920</v>
      </c>
      <c r="F6" s="3609" t="s">
        <v>4105</v>
      </c>
      <c r="G6" s="3609" t="s">
        <v>4106</v>
      </c>
      <c r="H6" s="3609">
        <v>2041.16</v>
      </c>
      <c r="I6" s="3609">
        <v>5860.92</v>
      </c>
      <c r="J6" s="3609"/>
      <c r="K6" s="3609"/>
      <c r="L6" s="3609">
        <v>9587.8790000000008</v>
      </c>
      <c r="M6" s="3609">
        <v>16359</v>
      </c>
      <c r="N6" s="3609" t="e">
        <v>#DIV/0!</v>
      </c>
      <c r="O6" s="3609" t="s">
        <v>4107</v>
      </c>
      <c r="P6" s="3610">
        <v>44151</v>
      </c>
      <c r="Q6" s="3609" t="s">
        <v>4108</v>
      </c>
      <c r="R6" s="3609" t="s">
        <v>4109</v>
      </c>
      <c r="S6" s="3609">
        <v>13696.97</v>
      </c>
      <c r="T6" s="3609">
        <v>23370</v>
      </c>
      <c r="U6" s="3609"/>
      <c r="V6" s="3611">
        <v>0.7</v>
      </c>
      <c r="W6" s="3609" t="s">
        <v>3933</v>
      </c>
    </row>
    <row r="7" spans="1:23" ht="24" hidden="1">
      <c r="A7" s="3612">
        <v>5</v>
      </c>
      <c r="B7" s="3612" t="s">
        <v>4110</v>
      </c>
      <c r="C7" s="3612" t="s">
        <v>4111</v>
      </c>
      <c r="D7" s="3612" t="s">
        <v>3910</v>
      </c>
      <c r="E7" s="3612" t="s">
        <v>3911</v>
      </c>
      <c r="F7" s="3612" t="s">
        <v>4112</v>
      </c>
      <c r="G7" s="3612" t="s">
        <v>673</v>
      </c>
      <c r="H7" s="3612"/>
      <c r="I7" s="3612">
        <v>492.7</v>
      </c>
      <c r="J7" s="3612"/>
      <c r="K7" s="3612"/>
      <c r="L7" s="3612">
        <v>3060</v>
      </c>
      <c r="M7" s="3612">
        <v>62107</v>
      </c>
      <c r="N7" s="3612" t="e">
        <v>#DIV/0!</v>
      </c>
      <c r="O7" s="3612" t="s">
        <v>4113</v>
      </c>
      <c r="P7" s="3613">
        <v>44257</v>
      </c>
      <c r="Q7" s="3612" t="s">
        <v>4114</v>
      </c>
      <c r="R7" s="3612"/>
      <c r="S7" s="3612">
        <v>4285.7142000000003</v>
      </c>
      <c r="T7" s="3612">
        <v>86984</v>
      </c>
      <c r="U7" s="3612"/>
      <c r="V7" s="3614">
        <v>0.71</v>
      </c>
      <c r="W7" s="3612" t="s">
        <v>3933</v>
      </c>
    </row>
    <row r="8" spans="1:23" ht="48" hidden="1">
      <c r="A8" s="3609">
        <v>6</v>
      </c>
      <c r="B8" s="3609" t="s">
        <v>4115</v>
      </c>
      <c r="C8" s="3609" t="s">
        <v>4116</v>
      </c>
      <c r="D8" s="3609" t="s">
        <v>3910</v>
      </c>
      <c r="E8" s="3609" t="s">
        <v>3911</v>
      </c>
      <c r="F8" s="3609" t="s">
        <v>4117</v>
      </c>
      <c r="G8" s="3609" t="s">
        <v>673</v>
      </c>
      <c r="H8" s="3609"/>
      <c r="I8" s="3609">
        <v>1864.93</v>
      </c>
      <c r="J8" s="3609">
        <v>1864.93</v>
      </c>
      <c r="K8" s="3609"/>
      <c r="L8" s="3609">
        <v>15480</v>
      </c>
      <c r="M8" s="3609">
        <v>83001</v>
      </c>
      <c r="N8" s="3609">
        <v>83001</v>
      </c>
      <c r="O8" s="3609" t="s">
        <v>3978</v>
      </c>
      <c r="P8" s="3610">
        <v>44228</v>
      </c>
      <c r="Q8" s="3609" t="s">
        <v>4118</v>
      </c>
      <c r="R8" s="3609" t="s">
        <v>3907</v>
      </c>
      <c r="S8" s="3609"/>
      <c r="T8" s="3609"/>
      <c r="U8" s="3609"/>
      <c r="V8" s="3611"/>
      <c r="W8" s="3609"/>
    </row>
    <row r="9" spans="1:23" ht="48" hidden="1">
      <c r="A9" s="3612">
        <v>7</v>
      </c>
      <c r="B9" s="3612" t="s">
        <v>4115</v>
      </c>
      <c r="C9" s="3612" t="s">
        <v>4116</v>
      </c>
      <c r="D9" s="3612" t="s">
        <v>3910</v>
      </c>
      <c r="E9" s="3612" t="s">
        <v>3911</v>
      </c>
      <c r="F9" s="3612" t="s">
        <v>4117</v>
      </c>
      <c r="G9" s="3612" t="s">
        <v>673</v>
      </c>
      <c r="H9" s="3612"/>
      <c r="I9" s="3612">
        <v>5531.7</v>
      </c>
      <c r="J9" s="3612">
        <v>5531.7</v>
      </c>
      <c r="K9" s="3612"/>
      <c r="L9" s="3612">
        <v>44251</v>
      </c>
      <c r="M9" s="3612">
        <v>80000</v>
      </c>
      <c r="N9" s="3612">
        <v>80000</v>
      </c>
      <c r="O9" s="3612" t="s">
        <v>3978</v>
      </c>
      <c r="P9" s="3613">
        <v>44230</v>
      </c>
      <c r="Q9" s="3612" t="s">
        <v>4118</v>
      </c>
      <c r="R9" s="3612" t="s">
        <v>3907</v>
      </c>
      <c r="S9" s="3612"/>
      <c r="T9" s="3612"/>
      <c r="U9" s="3612"/>
      <c r="V9" s="3614"/>
      <c r="W9" s="3612"/>
    </row>
    <row r="10" spans="1:23" ht="24">
      <c r="A10" s="3609">
        <v>8</v>
      </c>
      <c r="B10" s="3609" t="s">
        <v>4119</v>
      </c>
      <c r="C10" s="3609" t="s">
        <v>4120</v>
      </c>
      <c r="D10" s="3609" t="s">
        <v>3926</v>
      </c>
      <c r="E10" s="3609" t="s">
        <v>4121</v>
      </c>
      <c r="F10" s="3609" t="s">
        <v>4122</v>
      </c>
      <c r="G10" s="3609" t="s">
        <v>4123</v>
      </c>
      <c r="H10" s="3609"/>
      <c r="I10" s="3609">
        <v>25834.13</v>
      </c>
      <c r="J10" s="3609">
        <v>25834.13</v>
      </c>
      <c r="K10" s="3609"/>
      <c r="L10" s="3609">
        <v>78491</v>
      </c>
      <c r="M10" s="3609">
        <v>30383</v>
      </c>
      <c r="N10" s="3609">
        <v>30383</v>
      </c>
      <c r="O10" s="3609" t="s">
        <v>4124</v>
      </c>
      <c r="P10" s="3610">
        <v>44257</v>
      </c>
      <c r="Q10" s="3609" t="s">
        <v>4125</v>
      </c>
      <c r="R10" s="3609" t="s">
        <v>3917</v>
      </c>
      <c r="S10" s="3609"/>
      <c r="T10" s="3609"/>
      <c r="U10" s="3609"/>
      <c r="V10" s="3611"/>
      <c r="W10" s="3609"/>
    </row>
    <row r="11" spans="1:23">
      <c r="A11" s="3612">
        <v>9</v>
      </c>
      <c r="B11" s="3612" t="s">
        <v>4126</v>
      </c>
      <c r="C11" s="3612" t="s">
        <v>4120</v>
      </c>
      <c r="D11" s="3612" t="s">
        <v>3926</v>
      </c>
      <c r="E11" s="3612" t="s">
        <v>4121</v>
      </c>
      <c r="F11" s="3612" t="s">
        <v>4122</v>
      </c>
      <c r="G11" s="3612" t="s">
        <v>4123</v>
      </c>
      <c r="H11" s="3612"/>
      <c r="I11" s="3612">
        <v>12857.96</v>
      </c>
      <c r="J11" s="3612">
        <v>12857.96</v>
      </c>
      <c r="K11" s="3612"/>
      <c r="L11" s="3612">
        <v>39210</v>
      </c>
      <c r="M11" s="3612">
        <v>30495</v>
      </c>
      <c r="N11" s="3612">
        <v>30495</v>
      </c>
      <c r="O11" s="3612" t="s">
        <v>4124</v>
      </c>
      <c r="P11" s="3613">
        <v>44257</v>
      </c>
      <c r="Q11" s="3612" t="s">
        <v>4125</v>
      </c>
      <c r="R11" s="3612" t="s">
        <v>3917</v>
      </c>
      <c r="S11" s="3612"/>
      <c r="T11" s="3612"/>
      <c r="U11" s="3612"/>
      <c r="V11" s="3614"/>
      <c r="W11" s="3612"/>
    </row>
    <row r="12" spans="1:23">
      <c r="A12" s="3609">
        <v>10</v>
      </c>
      <c r="B12" s="3609" t="s">
        <v>4127</v>
      </c>
      <c r="C12" s="3609" t="s">
        <v>4120</v>
      </c>
      <c r="D12" s="3609" t="s">
        <v>3926</v>
      </c>
      <c r="E12" s="3609" t="s">
        <v>4121</v>
      </c>
      <c r="F12" s="3609" t="s">
        <v>4122</v>
      </c>
      <c r="G12" s="3609" t="s">
        <v>4123</v>
      </c>
      <c r="H12" s="3609"/>
      <c r="I12" s="3609">
        <v>12955.85</v>
      </c>
      <c r="J12" s="3609">
        <v>12955.85</v>
      </c>
      <c r="K12" s="3609"/>
      <c r="L12" s="3609">
        <v>38868</v>
      </c>
      <c r="M12" s="3609">
        <v>30000</v>
      </c>
      <c r="N12" s="3609">
        <v>30000</v>
      </c>
      <c r="O12" s="3609" t="s">
        <v>4124</v>
      </c>
      <c r="P12" s="3610">
        <v>44161</v>
      </c>
      <c r="Q12" s="3609" t="s">
        <v>4125</v>
      </c>
      <c r="R12" s="3609" t="s">
        <v>3917</v>
      </c>
      <c r="S12" s="3609"/>
      <c r="T12" s="3609"/>
      <c r="U12" s="3609"/>
      <c r="V12" s="3611"/>
      <c r="W12" s="3609"/>
    </row>
    <row r="13" spans="1:23" hidden="1">
      <c r="A13" s="3612">
        <v>11</v>
      </c>
      <c r="B13" s="3612" t="s">
        <v>4128</v>
      </c>
      <c r="C13" s="3612" t="s">
        <v>4120</v>
      </c>
      <c r="D13" s="3612" t="s">
        <v>3926</v>
      </c>
      <c r="E13" s="3612" t="s">
        <v>4121</v>
      </c>
      <c r="F13" s="3612" t="s">
        <v>4122</v>
      </c>
      <c r="G13" s="3612" t="s">
        <v>4123</v>
      </c>
      <c r="H13" s="3612"/>
      <c r="I13" s="3612">
        <v>16782.07</v>
      </c>
      <c r="J13" s="3612">
        <v>16782.07</v>
      </c>
      <c r="K13" s="3612"/>
      <c r="L13" s="3612">
        <v>38599</v>
      </c>
      <c r="M13" s="3612">
        <v>23000</v>
      </c>
      <c r="N13" s="3612">
        <v>23000</v>
      </c>
      <c r="O13" s="3612" t="s">
        <v>4124</v>
      </c>
      <c r="P13" s="3613">
        <v>44257</v>
      </c>
      <c r="Q13" s="3612" t="s">
        <v>4125</v>
      </c>
      <c r="R13" s="3612" t="s">
        <v>4129</v>
      </c>
      <c r="S13" s="3612"/>
      <c r="T13" s="3612"/>
      <c r="U13" s="3612"/>
      <c r="V13" s="3614"/>
      <c r="W13" s="3612"/>
    </row>
    <row r="14" spans="1:23" hidden="1">
      <c r="A14" s="3609">
        <v>12</v>
      </c>
      <c r="B14" s="3609" t="s">
        <v>4130</v>
      </c>
      <c r="C14" s="3609" t="s">
        <v>4120</v>
      </c>
      <c r="D14" s="3609" t="s">
        <v>3926</v>
      </c>
      <c r="E14" s="3609" t="s">
        <v>4121</v>
      </c>
      <c r="F14" s="3609" t="s">
        <v>4122</v>
      </c>
      <c r="G14" s="3609" t="s">
        <v>4123</v>
      </c>
      <c r="H14" s="3609"/>
      <c r="I14" s="3609">
        <v>16796.16</v>
      </c>
      <c r="J14" s="3609">
        <v>16796.16</v>
      </c>
      <c r="K14" s="3609"/>
      <c r="L14" s="3609">
        <v>39026</v>
      </c>
      <c r="M14" s="3609">
        <v>23235</v>
      </c>
      <c r="N14" s="3609">
        <v>23235</v>
      </c>
      <c r="O14" s="3609" t="s">
        <v>4131</v>
      </c>
      <c r="P14" s="3610">
        <v>44257</v>
      </c>
      <c r="Q14" s="3609" t="s">
        <v>4132</v>
      </c>
      <c r="R14" s="3609" t="s">
        <v>4133</v>
      </c>
      <c r="S14" s="3609"/>
      <c r="T14" s="3609"/>
      <c r="U14" s="3609"/>
      <c r="V14" s="3611"/>
      <c r="W14" s="3609"/>
    </row>
    <row r="15" spans="1:23" hidden="1">
      <c r="A15" s="3612">
        <v>13</v>
      </c>
      <c r="B15" s="3612" t="s">
        <v>4134</v>
      </c>
      <c r="C15" s="3612" t="s">
        <v>4120</v>
      </c>
      <c r="D15" s="3612" t="s">
        <v>3926</v>
      </c>
      <c r="E15" s="3612" t="s">
        <v>4121</v>
      </c>
      <c r="F15" s="3612" t="s">
        <v>4122</v>
      </c>
      <c r="G15" s="3612" t="s">
        <v>4123</v>
      </c>
      <c r="H15" s="3612"/>
      <c r="I15" s="3612">
        <v>28095.98</v>
      </c>
      <c r="J15" s="3612">
        <v>21852.43</v>
      </c>
      <c r="K15" s="3612">
        <v>6243.55</v>
      </c>
      <c r="L15" s="3612">
        <v>64621</v>
      </c>
      <c r="M15" s="3612">
        <v>23000</v>
      </c>
      <c r="N15" s="3612">
        <v>29572</v>
      </c>
      <c r="O15" s="3612" t="s">
        <v>4124</v>
      </c>
      <c r="P15" s="3613">
        <v>44257</v>
      </c>
      <c r="Q15" s="3612" t="s">
        <v>4135</v>
      </c>
      <c r="R15" s="3612" t="s">
        <v>4133</v>
      </c>
      <c r="S15" s="3612"/>
      <c r="T15" s="3612"/>
      <c r="U15" s="3612"/>
      <c r="V15" s="3614"/>
      <c r="W15" s="3612"/>
    </row>
    <row r="16" spans="1:23" hidden="1">
      <c r="A16" s="3609">
        <v>14</v>
      </c>
      <c r="B16" s="3609" t="s">
        <v>4136</v>
      </c>
      <c r="C16" s="3609" t="s">
        <v>4120</v>
      </c>
      <c r="D16" s="3609" t="s">
        <v>3926</v>
      </c>
      <c r="E16" s="3609" t="s">
        <v>4121</v>
      </c>
      <c r="F16" s="3609" t="s">
        <v>4122</v>
      </c>
      <c r="G16" s="3609" t="s">
        <v>4123</v>
      </c>
      <c r="H16" s="3609"/>
      <c r="I16" s="3609">
        <v>14656.14</v>
      </c>
      <c r="J16" s="3609">
        <v>12824.12</v>
      </c>
      <c r="K16" s="3609">
        <v>1832.02</v>
      </c>
      <c r="L16" s="3609">
        <v>38236</v>
      </c>
      <c r="M16" s="3609">
        <v>26089</v>
      </c>
      <c r="N16" s="3609">
        <v>29816</v>
      </c>
      <c r="O16" s="3609" t="s">
        <v>4124</v>
      </c>
      <c r="P16" s="3610">
        <v>44161</v>
      </c>
      <c r="Q16" s="3609" t="s">
        <v>4137</v>
      </c>
      <c r="R16" s="3609" t="s">
        <v>4133</v>
      </c>
      <c r="S16" s="3609"/>
      <c r="T16" s="3609"/>
      <c r="U16" s="3609"/>
      <c r="V16" s="3611"/>
      <c r="W16" s="3609"/>
    </row>
    <row r="17" spans="1:23">
      <c r="A17" s="3612">
        <v>15</v>
      </c>
      <c r="B17" s="3612" t="s">
        <v>4138</v>
      </c>
      <c r="C17" s="3612" t="s">
        <v>4139</v>
      </c>
      <c r="D17" s="3612" t="s">
        <v>3926</v>
      </c>
      <c r="E17" s="3612" t="s">
        <v>4121</v>
      </c>
      <c r="F17" s="3612" t="s">
        <v>4122</v>
      </c>
      <c r="G17" s="3612" t="s">
        <v>4140</v>
      </c>
      <c r="H17" s="3612"/>
      <c r="I17" s="3612">
        <v>66987.539999999994</v>
      </c>
      <c r="J17" s="3612">
        <v>66987.539999999994</v>
      </c>
      <c r="K17" s="3612"/>
      <c r="L17" s="3612">
        <v>267950</v>
      </c>
      <c r="M17" s="3612">
        <v>40000</v>
      </c>
      <c r="N17" s="3612">
        <v>40000</v>
      </c>
      <c r="O17" s="3612" t="s">
        <v>43</v>
      </c>
      <c r="P17" s="3613">
        <v>44161</v>
      </c>
      <c r="Q17" s="3612" t="s">
        <v>4141</v>
      </c>
      <c r="R17" s="3612" t="s">
        <v>3907</v>
      </c>
      <c r="S17" s="3612"/>
      <c r="T17" s="3612"/>
      <c r="U17" s="3612"/>
      <c r="V17" s="3614"/>
      <c r="W17" s="3612"/>
    </row>
    <row r="18" spans="1:23" ht="36">
      <c r="A18" s="3609">
        <v>16</v>
      </c>
      <c r="B18" s="3609" t="s">
        <v>3899</v>
      </c>
      <c r="C18" s="3609" t="s">
        <v>3900</v>
      </c>
      <c r="D18" s="3609" t="s">
        <v>3901</v>
      </c>
      <c r="E18" s="3609" t="s">
        <v>3902</v>
      </c>
      <c r="F18" s="3609" t="s">
        <v>3903</v>
      </c>
      <c r="G18" s="3609" t="s">
        <v>3904</v>
      </c>
      <c r="H18" s="3609"/>
      <c r="I18" s="3609">
        <v>14263.2</v>
      </c>
      <c r="J18" s="3609">
        <v>12079.89</v>
      </c>
      <c r="K18" s="3609">
        <v>2183.31</v>
      </c>
      <c r="L18" s="3609">
        <v>99736</v>
      </c>
      <c r="M18" s="3609">
        <v>69925</v>
      </c>
      <c r="N18" s="3609">
        <v>82564</v>
      </c>
      <c r="O18" s="3609" t="s">
        <v>3905</v>
      </c>
      <c r="P18" s="3610">
        <v>44224</v>
      </c>
      <c r="Q18" s="3609" t="s">
        <v>3906</v>
      </c>
      <c r="R18" s="3609" t="s">
        <v>3907</v>
      </c>
      <c r="S18" s="3609"/>
      <c r="T18" s="3609"/>
      <c r="U18" s="3609"/>
      <c r="V18" s="3611"/>
      <c r="W18" s="3609"/>
    </row>
    <row r="19" spans="1:23" ht="24">
      <c r="A19" s="3612">
        <v>17</v>
      </c>
      <c r="B19" s="3612" t="s">
        <v>4142</v>
      </c>
      <c r="C19" s="3612" t="s">
        <v>4120</v>
      </c>
      <c r="D19" s="3612" t="s">
        <v>3926</v>
      </c>
      <c r="E19" s="3612" t="s">
        <v>4121</v>
      </c>
      <c r="F19" s="3612" t="s">
        <v>4122</v>
      </c>
      <c r="G19" s="3612" t="s">
        <v>4123</v>
      </c>
      <c r="H19" s="3612"/>
      <c r="I19" s="3612">
        <v>30280.83</v>
      </c>
      <c r="J19" s="3612">
        <v>30280.83</v>
      </c>
      <c r="K19" s="3612"/>
      <c r="L19" s="3612">
        <v>91206</v>
      </c>
      <c r="M19" s="3612">
        <v>30120</v>
      </c>
      <c r="N19" s="3612">
        <v>30120</v>
      </c>
      <c r="O19" s="3612" t="s">
        <v>4124</v>
      </c>
      <c r="P19" s="3613">
        <v>44267</v>
      </c>
      <c r="Q19" s="3612" t="s">
        <v>4125</v>
      </c>
      <c r="R19" s="3612" t="s">
        <v>3917</v>
      </c>
      <c r="S19" s="3612"/>
      <c r="T19" s="3612"/>
      <c r="U19" s="3612"/>
      <c r="V19" s="3614"/>
      <c r="W19" s="3612"/>
    </row>
    <row r="20" spans="1:23" hidden="1">
      <c r="A20" s="3609">
        <v>18</v>
      </c>
      <c r="B20" s="3609" t="s">
        <v>4143</v>
      </c>
      <c r="C20" s="3609" t="s">
        <v>4120</v>
      </c>
      <c r="D20" s="3609" t="s">
        <v>3926</v>
      </c>
      <c r="E20" s="3609" t="s">
        <v>4121</v>
      </c>
      <c r="F20" s="3609" t="s">
        <v>4122</v>
      </c>
      <c r="G20" s="3609" t="s">
        <v>4123</v>
      </c>
      <c r="H20" s="3609"/>
      <c r="I20" s="3609">
        <v>28371.47</v>
      </c>
      <c r="J20" s="3609">
        <v>22066.7</v>
      </c>
      <c r="K20" s="3609">
        <v>6304.77</v>
      </c>
      <c r="L20" s="3609">
        <v>65061</v>
      </c>
      <c r="M20" s="3609">
        <v>22932</v>
      </c>
      <c r="N20" s="3609">
        <v>29484</v>
      </c>
      <c r="O20" s="3609" t="s">
        <v>4124</v>
      </c>
      <c r="P20" s="3610">
        <v>44267</v>
      </c>
      <c r="Q20" s="3609" t="s">
        <v>4135</v>
      </c>
      <c r="R20" s="3609" t="s">
        <v>4133</v>
      </c>
      <c r="S20" s="3609"/>
      <c r="T20" s="3609"/>
      <c r="U20" s="3609"/>
      <c r="V20" s="3611"/>
      <c r="W20" s="3609"/>
    </row>
    <row r="21" spans="1:23" ht="24" hidden="1">
      <c r="A21" s="3612">
        <v>19</v>
      </c>
      <c r="B21" s="3612" t="s">
        <v>3908</v>
      </c>
      <c r="C21" s="3612" t="s">
        <v>3909</v>
      </c>
      <c r="D21" s="3612" t="s">
        <v>3910</v>
      </c>
      <c r="E21" s="3612" t="s">
        <v>3911</v>
      </c>
      <c r="F21" s="3612" t="s">
        <v>3912</v>
      </c>
      <c r="G21" s="3612" t="s">
        <v>21</v>
      </c>
      <c r="H21" s="3612"/>
      <c r="I21" s="3612">
        <v>3532.33</v>
      </c>
      <c r="J21" s="3612"/>
      <c r="K21" s="3612"/>
      <c r="L21" s="3612">
        <v>18368</v>
      </c>
      <c r="M21" s="3612">
        <v>52000</v>
      </c>
      <c r="N21" s="3612"/>
      <c r="O21" s="3612" t="s">
        <v>43</v>
      </c>
      <c r="P21" s="3613">
        <v>44273</v>
      </c>
      <c r="Q21" s="3612" t="s">
        <v>3913</v>
      </c>
      <c r="R21" s="3612"/>
      <c r="S21" s="3612"/>
      <c r="T21" s="3612"/>
      <c r="U21" s="3612"/>
      <c r="V21" s="3614"/>
      <c r="W21" s="3612"/>
    </row>
    <row r="22" spans="1:23" ht="24" hidden="1">
      <c r="A22" s="3609">
        <v>20</v>
      </c>
      <c r="B22" s="3609" t="s">
        <v>3914</v>
      </c>
      <c r="C22" s="3609" t="s">
        <v>3909</v>
      </c>
      <c r="D22" s="3609" t="s">
        <v>3910</v>
      </c>
      <c r="E22" s="3609" t="s">
        <v>3911</v>
      </c>
      <c r="F22" s="3609" t="s">
        <v>3915</v>
      </c>
      <c r="G22" s="3609" t="s">
        <v>21</v>
      </c>
      <c r="H22" s="3609"/>
      <c r="I22" s="3609">
        <v>2913.97</v>
      </c>
      <c r="J22" s="3609"/>
      <c r="K22" s="3609"/>
      <c r="L22" s="3609">
        <v>21000</v>
      </c>
      <c r="M22" s="3609">
        <v>72067</v>
      </c>
      <c r="N22" s="3609"/>
      <c r="O22" s="3609" t="s">
        <v>43</v>
      </c>
      <c r="P22" s="3610">
        <v>44040</v>
      </c>
      <c r="Q22" s="3609" t="s">
        <v>3916</v>
      </c>
      <c r="R22" s="3609" t="s">
        <v>3917</v>
      </c>
      <c r="S22" s="3609"/>
      <c r="T22" s="3609"/>
      <c r="U22" s="3609"/>
      <c r="V22" s="3611"/>
      <c r="W22" s="3609"/>
    </row>
    <row r="23" spans="1:23" ht="60" hidden="1">
      <c r="A23" s="3612">
        <v>21</v>
      </c>
      <c r="B23" s="3612" t="s">
        <v>4144</v>
      </c>
      <c r="C23" s="3612" t="s">
        <v>4145</v>
      </c>
      <c r="D23" s="3612" t="s">
        <v>3926</v>
      </c>
      <c r="E23" s="3612" t="s">
        <v>4146</v>
      </c>
      <c r="F23" s="3612" t="s">
        <v>4020</v>
      </c>
      <c r="G23" s="3612" t="s">
        <v>4147</v>
      </c>
      <c r="H23" s="3612"/>
      <c r="I23" s="3612">
        <v>9550.73</v>
      </c>
      <c r="J23" s="3612">
        <v>9550.73</v>
      </c>
      <c r="K23" s="3612"/>
      <c r="L23" s="3612">
        <v>27620</v>
      </c>
      <c r="M23" s="3612">
        <v>28919</v>
      </c>
      <c r="N23" s="3612"/>
      <c r="O23" s="3612" t="s">
        <v>4148</v>
      </c>
      <c r="P23" s="3613">
        <v>44282</v>
      </c>
      <c r="Q23" s="3612" t="s">
        <v>4149</v>
      </c>
      <c r="R23" s="3612" t="s">
        <v>4023</v>
      </c>
      <c r="S23" s="3612"/>
      <c r="T23" s="3612"/>
      <c r="U23" s="3612" t="s">
        <v>3933</v>
      </c>
      <c r="V23" s="3614"/>
      <c r="W23" s="3612"/>
    </row>
    <row r="24" spans="1:23" s="3632" customFormat="1" ht="24">
      <c r="A24" s="3629">
        <v>22</v>
      </c>
      <c r="B24" s="3629" t="s">
        <v>3918</v>
      </c>
      <c r="C24" s="3629" t="s">
        <v>3919</v>
      </c>
      <c r="D24" s="3629" t="s">
        <v>3901</v>
      </c>
      <c r="E24" s="3629" t="s">
        <v>3920</v>
      </c>
      <c r="F24" s="3629" t="s">
        <v>3921</v>
      </c>
      <c r="G24" s="3629" t="s">
        <v>21</v>
      </c>
      <c r="H24" s="3629"/>
      <c r="I24" s="3629">
        <v>4849.38</v>
      </c>
      <c r="J24" s="3629">
        <v>4849.38</v>
      </c>
      <c r="K24" s="3629"/>
      <c r="L24" s="3629">
        <v>24068</v>
      </c>
      <c r="M24" s="3629">
        <v>49631</v>
      </c>
      <c r="N24" s="3629">
        <v>49631</v>
      </c>
      <c r="O24" s="3629" t="s">
        <v>3922</v>
      </c>
      <c r="P24" s="3630">
        <v>44277</v>
      </c>
      <c r="Q24" s="3629" t="s">
        <v>3923</v>
      </c>
      <c r="R24" s="3629"/>
      <c r="S24" s="3629"/>
      <c r="T24" s="3629"/>
      <c r="U24" s="3629"/>
      <c r="V24" s="3631"/>
      <c r="W24" s="3629"/>
    </row>
    <row r="25" spans="1:23" ht="24" hidden="1">
      <c r="A25" s="3612">
        <v>23</v>
      </c>
      <c r="B25" s="3612" t="s">
        <v>3924</v>
      </c>
      <c r="C25" s="3612" t="s">
        <v>3925</v>
      </c>
      <c r="D25" s="3612" t="s">
        <v>3926</v>
      </c>
      <c r="E25" s="3612" t="s">
        <v>3927</v>
      </c>
      <c r="F25" s="3612" t="s">
        <v>3928</v>
      </c>
      <c r="G25" s="3612" t="s">
        <v>3929</v>
      </c>
      <c r="H25" s="3612"/>
      <c r="I25" s="3612">
        <v>10326.35</v>
      </c>
      <c r="J25" s="3612">
        <v>8873.76</v>
      </c>
      <c r="K25" s="3612">
        <v>1452.59</v>
      </c>
      <c r="L25" s="3612">
        <v>26015.737499999999</v>
      </c>
      <c r="M25" s="3612">
        <v>25194</v>
      </c>
      <c r="N25" s="3612">
        <v>29318</v>
      </c>
      <c r="O25" s="3612" t="s">
        <v>3930</v>
      </c>
      <c r="P25" s="3613">
        <v>44309</v>
      </c>
      <c r="Q25" s="3612" t="s">
        <v>3931</v>
      </c>
      <c r="R25" s="3612" t="s">
        <v>3932</v>
      </c>
      <c r="S25" s="3612">
        <v>32956.674099999997</v>
      </c>
      <c r="T25" s="3612">
        <v>31915</v>
      </c>
      <c r="U25" s="3612"/>
      <c r="V25" s="3614">
        <v>0.79</v>
      </c>
      <c r="W25" s="3612" t="s">
        <v>3933</v>
      </c>
    </row>
    <row r="26" spans="1:23" ht="132">
      <c r="A26" s="3609">
        <v>24</v>
      </c>
      <c r="B26" s="3609" t="s">
        <v>4150</v>
      </c>
      <c r="C26" s="3609" t="s">
        <v>4151</v>
      </c>
      <c r="D26" s="3609" t="s">
        <v>3926</v>
      </c>
      <c r="E26" s="3609" t="s">
        <v>4056</v>
      </c>
      <c r="F26" s="3609" t="s">
        <v>4152</v>
      </c>
      <c r="G26" s="3609" t="s">
        <v>4153</v>
      </c>
      <c r="H26" s="3609">
        <v>4154.62</v>
      </c>
      <c r="I26" s="3609">
        <v>2784.8</v>
      </c>
      <c r="J26" s="3609">
        <v>2784.8</v>
      </c>
      <c r="K26" s="3609"/>
      <c r="L26" s="3609">
        <v>10175</v>
      </c>
      <c r="M26" s="3609">
        <v>36538</v>
      </c>
      <c r="N26" s="3609"/>
      <c r="O26" s="3609" t="s">
        <v>4154</v>
      </c>
      <c r="P26" s="3610">
        <v>44302</v>
      </c>
      <c r="Q26" s="3609" t="s">
        <v>4155</v>
      </c>
      <c r="R26" s="3609" t="s">
        <v>4156</v>
      </c>
      <c r="S26" s="3609">
        <v>8664</v>
      </c>
      <c r="T26" s="3609">
        <v>31110</v>
      </c>
      <c r="U26" s="3609"/>
      <c r="V26" s="3611">
        <v>1.17</v>
      </c>
      <c r="W26" s="3609" t="s">
        <v>3933</v>
      </c>
    </row>
    <row r="27" spans="1:23" s="3640" customFormat="1" ht="24">
      <c r="A27" s="3637">
        <v>25</v>
      </c>
      <c r="B27" s="3637" t="s">
        <v>4456</v>
      </c>
      <c r="C27" s="3637" t="s">
        <v>3934</v>
      </c>
      <c r="D27" s="3637" t="s">
        <v>3901</v>
      </c>
      <c r="E27" s="3637" t="s">
        <v>3935</v>
      </c>
      <c r="F27" s="3637" t="s">
        <v>3936</v>
      </c>
      <c r="G27" s="3637" t="s">
        <v>3929</v>
      </c>
      <c r="H27" s="3637">
        <v>4831.42</v>
      </c>
      <c r="I27" s="3637">
        <v>46330.33</v>
      </c>
      <c r="J27" s="3637">
        <v>35489.51</v>
      </c>
      <c r="K27" s="3637">
        <v>10840.82</v>
      </c>
      <c r="L27" s="3637">
        <v>265000</v>
      </c>
      <c r="M27" s="3637">
        <v>57198</v>
      </c>
      <c r="N27" s="3637">
        <v>74670</v>
      </c>
      <c r="O27" s="3637" t="s">
        <v>3937</v>
      </c>
      <c r="P27" s="3638" t="s">
        <v>3938</v>
      </c>
      <c r="Q27" s="3637" t="s">
        <v>3939</v>
      </c>
      <c r="R27" s="3637" t="s">
        <v>3940</v>
      </c>
      <c r="S27" s="3637"/>
      <c r="T27" s="3637"/>
      <c r="U27" s="3637"/>
      <c r="V27" s="3639"/>
      <c r="W27" s="3637"/>
    </row>
    <row r="28" spans="1:23" s="3622" customFormat="1" ht="24">
      <c r="A28" s="3623">
        <v>26</v>
      </c>
      <c r="B28" s="3623" t="s">
        <v>4157</v>
      </c>
      <c r="C28" s="3623" t="s">
        <v>4158</v>
      </c>
      <c r="D28" s="3623" t="s">
        <v>3926</v>
      </c>
      <c r="E28" s="3623" t="s">
        <v>4159</v>
      </c>
      <c r="F28" s="3623" t="s">
        <v>4160</v>
      </c>
      <c r="G28" s="3623" t="s">
        <v>4161</v>
      </c>
      <c r="H28" s="3623"/>
      <c r="I28" s="3623">
        <v>40201.339999999997</v>
      </c>
      <c r="J28" s="3623">
        <v>37923.279999999999</v>
      </c>
      <c r="K28" s="3623">
        <v>2278.06</v>
      </c>
      <c r="L28" s="3623">
        <v>204800</v>
      </c>
      <c r="M28" s="3623">
        <v>50944</v>
      </c>
      <c r="N28" s="3623">
        <v>54004</v>
      </c>
      <c r="O28" s="3623" t="s">
        <v>4162</v>
      </c>
      <c r="P28" s="3624" t="s">
        <v>3938</v>
      </c>
      <c r="Q28" s="3623" t="s">
        <v>4163</v>
      </c>
      <c r="R28" s="3623" t="s">
        <v>4164</v>
      </c>
      <c r="S28" s="3623"/>
      <c r="T28" s="3623"/>
      <c r="U28" s="3623"/>
      <c r="V28" s="3625"/>
      <c r="W28" s="3623"/>
    </row>
    <row r="29" spans="1:23" ht="96" hidden="1">
      <c r="A29" s="3612">
        <v>27</v>
      </c>
      <c r="B29" s="3612" t="s">
        <v>4165</v>
      </c>
      <c r="C29" s="3612" t="s">
        <v>4166</v>
      </c>
      <c r="D29" s="3612" t="s">
        <v>3901</v>
      </c>
      <c r="E29" s="3612" t="s">
        <v>4167</v>
      </c>
      <c r="F29" s="3612" t="s">
        <v>4168</v>
      </c>
      <c r="G29" s="3612" t="s">
        <v>673</v>
      </c>
      <c r="H29" s="3612">
        <v>286843.40000000002</v>
      </c>
      <c r="I29" s="3612">
        <v>279866.98</v>
      </c>
      <c r="J29" s="3612">
        <v>116948.41</v>
      </c>
      <c r="K29" s="3612">
        <v>162918.57</v>
      </c>
      <c r="L29" s="3612">
        <v>663600</v>
      </c>
      <c r="M29" s="3612">
        <v>23711</v>
      </c>
      <c r="N29" s="3612">
        <v>56743</v>
      </c>
      <c r="O29" s="3612" t="s">
        <v>4169</v>
      </c>
      <c r="P29" s="3613" t="s">
        <v>3938</v>
      </c>
      <c r="Q29" s="3612" t="s">
        <v>4170</v>
      </c>
      <c r="R29" s="3612"/>
      <c r="S29" s="3612"/>
      <c r="T29" s="3612"/>
      <c r="U29" s="3612"/>
      <c r="V29" s="3614"/>
      <c r="W29" s="3612"/>
    </row>
    <row r="30" spans="1:23" ht="24" hidden="1">
      <c r="A30" s="3609">
        <v>28</v>
      </c>
      <c r="B30" s="3609" t="s">
        <v>3941</v>
      </c>
      <c r="C30" s="3609" t="s">
        <v>3942</v>
      </c>
      <c r="D30" s="3609" t="s">
        <v>3910</v>
      </c>
      <c r="E30" s="3609" t="s">
        <v>3911</v>
      </c>
      <c r="F30" s="3609" t="s">
        <v>3943</v>
      </c>
      <c r="G30" s="3609" t="s">
        <v>3944</v>
      </c>
      <c r="H30" s="3609"/>
      <c r="I30" s="3609">
        <v>32518.27</v>
      </c>
      <c r="J30" s="3609">
        <v>28822.73</v>
      </c>
      <c r="K30" s="3609">
        <v>3695.54</v>
      </c>
      <c r="L30" s="3609">
        <v>167389</v>
      </c>
      <c r="M30" s="3609">
        <v>51475</v>
      </c>
      <c r="N30" s="3609">
        <v>58075</v>
      </c>
      <c r="O30" s="3609" t="s">
        <v>3945</v>
      </c>
      <c r="P30" s="3610">
        <v>44305</v>
      </c>
      <c r="Q30" s="3609" t="s">
        <v>3946</v>
      </c>
      <c r="R30" s="3609" t="s">
        <v>3907</v>
      </c>
      <c r="S30" s="3609"/>
      <c r="T30" s="3609"/>
      <c r="U30" s="3609"/>
      <c r="V30" s="3611"/>
      <c r="W30" s="3609"/>
    </row>
    <row r="31" spans="1:23" ht="24" hidden="1">
      <c r="A31" s="3612">
        <v>29</v>
      </c>
      <c r="B31" s="3612" t="s">
        <v>4171</v>
      </c>
      <c r="C31" s="3612" t="s">
        <v>4172</v>
      </c>
      <c r="D31" s="3612" t="s">
        <v>4173</v>
      </c>
      <c r="E31" s="3612" t="s">
        <v>4174</v>
      </c>
      <c r="F31" s="3612" t="s">
        <v>4175</v>
      </c>
      <c r="G31" s="3612" t="s">
        <v>21</v>
      </c>
      <c r="H31" s="3612"/>
      <c r="I31" s="3612">
        <v>27743.35</v>
      </c>
      <c r="J31" s="3612">
        <v>27743.35</v>
      </c>
      <c r="K31" s="3612"/>
      <c r="L31" s="3612">
        <v>66308</v>
      </c>
      <c r="M31" s="3612">
        <v>23901</v>
      </c>
      <c r="N31" s="3612">
        <v>23901</v>
      </c>
      <c r="O31" s="3612" t="s">
        <v>43</v>
      </c>
      <c r="P31" s="3613">
        <v>44299</v>
      </c>
      <c r="Q31" s="3612" t="s">
        <v>4176</v>
      </c>
      <c r="R31" s="3612"/>
      <c r="S31" s="3612"/>
      <c r="T31" s="3612"/>
      <c r="U31" s="3612"/>
      <c r="V31" s="3614"/>
      <c r="W31" s="3612"/>
    </row>
    <row r="32" spans="1:23" ht="24" hidden="1">
      <c r="A32" s="3609">
        <v>30</v>
      </c>
      <c r="B32" s="3609" t="s">
        <v>4177</v>
      </c>
      <c r="C32" s="3609" t="s">
        <v>4172</v>
      </c>
      <c r="D32" s="3609" t="s">
        <v>4173</v>
      </c>
      <c r="E32" s="3609" t="s">
        <v>4174</v>
      </c>
      <c r="F32" s="3609" t="s">
        <v>4175</v>
      </c>
      <c r="G32" s="3609" t="s">
        <v>21</v>
      </c>
      <c r="H32" s="3609"/>
      <c r="I32" s="3609">
        <v>19141.03</v>
      </c>
      <c r="J32" s="3609">
        <v>19141.03</v>
      </c>
      <c r="K32" s="3609"/>
      <c r="L32" s="3609">
        <v>65078</v>
      </c>
      <c r="M32" s="3609">
        <v>33999</v>
      </c>
      <c r="N32" s="3609">
        <v>33999</v>
      </c>
      <c r="O32" s="3609" t="s">
        <v>43</v>
      </c>
      <c r="P32" s="3610">
        <v>44187</v>
      </c>
      <c r="Q32" s="3609" t="s">
        <v>4176</v>
      </c>
      <c r="R32" s="3609"/>
      <c r="S32" s="3609"/>
      <c r="T32" s="3609"/>
      <c r="U32" s="3609"/>
      <c r="V32" s="3611"/>
      <c r="W32" s="3609"/>
    </row>
    <row r="33" spans="1:23" s="3618" customFormat="1" ht="24">
      <c r="A33" s="3615">
        <v>31</v>
      </c>
      <c r="B33" s="3615" t="s">
        <v>3947</v>
      </c>
      <c r="C33" s="3615" t="s">
        <v>3948</v>
      </c>
      <c r="D33" s="3615" t="s">
        <v>3901</v>
      </c>
      <c r="E33" s="3615" t="s">
        <v>3949</v>
      </c>
      <c r="F33" s="3615" t="s">
        <v>3950</v>
      </c>
      <c r="G33" s="3615" t="s">
        <v>21</v>
      </c>
      <c r="H33" s="3615">
        <v>26823.14</v>
      </c>
      <c r="I33" s="3615">
        <v>22666.71</v>
      </c>
      <c r="J33" s="3615">
        <v>15766.21</v>
      </c>
      <c r="K33" s="3615">
        <v>6900.5</v>
      </c>
      <c r="L33" s="3615">
        <v>85000</v>
      </c>
      <c r="M33" s="3615">
        <v>37500</v>
      </c>
      <c r="N33" s="3615">
        <v>53913</v>
      </c>
      <c r="O33" s="3615" t="s">
        <v>3951</v>
      </c>
      <c r="P33" s="3616" t="s">
        <v>3938</v>
      </c>
      <c r="Q33" s="3615" t="s">
        <v>3952</v>
      </c>
      <c r="R33" s="3615" t="s">
        <v>3940</v>
      </c>
      <c r="S33" s="3615"/>
      <c r="T33" s="3615"/>
      <c r="U33" s="3615"/>
      <c r="V33" s="3617"/>
      <c r="W33" s="3615"/>
    </row>
    <row r="34" spans="1:23" hidden="1">
      <c r="A34" s="3609">
        <v>32</v>
      </c>
      <c r="B34" s="3609" t="s">
        <v>3953</v>
      </c>
      <c r="C34" s="3609" t="s">
        <v>3954</v>
      </c>
      <c r="D34" s="3609" t="s">
        <v>3910</v>
      </c>
      <c r="E34" s="3609" t="s">
        <v>3911</v>
      </c>
      <c r="F34" s="3609" t="s">
        <v>3955</v>
      </c>
      <c r="G34" s="3609" t="s">
        <v>21</v>
      </c>
      <c r="H34" s="3609"/>
      <c r="I34" s="3609">
        <v>3260.28</v>
      </c>
      <c r="J34" s="3609">
        <v>2445.21</v>
      </c>
      <c r="K34" s="3609">
        <v>815.07</v>
      </c>
      <c r="L34" s="3609">
        <v>10107</v>
      </c>
      <c r="M34" s="3609">
        <v>31000</v>
      </c>
      <c r="N34" s="3609">
        <v>41334</v>
      </c>
      <c r="O34" s="3609" t="s">
        <v>3956</v>
      </c>
      <c r="P34" s="3610">
        <v>44324</v>
      </c>
      <c r="Q34" s="3609" t="s">
        <v>3957</v>
      </c>
      <c r="R34" s="3609"/>
      <c r="S34" s="3609"/>
      <c r="T34" s="3609"/>
      <c r="U34" s="3609"/>
      <c r="V34" s="3611"/>
      <c r="W34" s="3609"/>
    </row>
    <row r="35" spans="1:23" s="3622" customFormat="1" ht="36">
      <c r="A35" s="3619">
        <v>33</v>
      </c>
      <c r="B35" s="3619" t="s">
        <v>4465</v>
      </c>
      <c r="C35" s="3619" t="s">
        <v>3919</v>
      </c>
      <c r="D35" s="3619" t="s">
        <v>3901</v>
      </c>
      <c r="E35" s="3619" t="s">
        <v>3920</v>
      </c>
      <c r="F35" s="3619" t="s">
        <v>3921</v>
      </c>
      <c r="G35" s="3619" t="s">
        <v>21</v>
      </c>
      <c r="H35" s="3619"/>
      <c r="I35" s="3619">
        <v>11646.93</v>
      </c>
      <c r="J35" s="3619">
        <v>11646.93</v>
      </c>
      <c r="K35" s="3619"/>
      <c r="L35" s="3619">
        <v>56093</v>
      </c>
      <c r="M35" s="3619">
        <v>48000</v>
      </c>
      <c r="N35" s="3619">
        <v>48000</v>
      </c>
      <c r="O35" s="3619" t="s">
        <v>3958</v>
      </c>
      <c r="P35" s="3620">
        <v>44329</v>
      </c>
      <c r="Q35" s="3619" t="s">
        <v>3959</v>
      </c>
      <c r="R35" s="3619" t="s">
        <v>3907</v>
      </c>
      <c r="S35" s="3619"/>
      <c r="T35" s="3619"/>
      <c r="U35" s="3619"/>
      <c r="V35" s="3621"/>
      <c r="W35" s="3619"/>
    </row>
    <row r="36" spans="1:23" ht="26.25" customHeight="1">
      <c r="A36" s="3609">
        <v>34</v>
      </c>
      <c r="B36" s="3609" t="s">
        <v>4178</v>
      </c>
      <c r="C36" s="3609" t="s">
        <v>4179</v>
      </c>
      <c r="D36" s="3609" t="s">
        <v>4032</v>
      </c>
      <c r="E36" s="3609" t="s">
        <v>4033</v>
      </c>
      <c r="F36" s="3609" t="s">
        <v>4180</v>
      </c>
      <c r="G36" s="3609" t="s">
        <v>4181</v>
      </c>
      <c r="H36" s="3609"/>
      <c r="I36" s="3609">
        <v>4790.7299999999996</v>
      </c>
      <c r="J36" s="3609">
        <v>4790.7299999999996</v>
      </c>
      <c r="K36" s="3609"/>
      <c r="L36" s="3609">
        <v>19387</v>
      </c>
      <c r="M36" s="3609">
        <v>40468</v>
      </c>
      <c r="N36" s="3609">
        <v>40468</v>
      </c>
      <c r="O36" s="3609" t="s">
        <v>43</v>
      </c>
      <c r="P36" s="3610">
        <v>44329</v>
      </c>
      <c r="Q36" s="3609" t="s">
        <v>4182</v>
      </c>
      <c r="R36" s="3609" t="s">
        <v>4129</v>
      </c>
      <c r="S36" s="3609"/>
      <c r="T36" s="3609"/>
      <c r="U36" s="3609"/>
      <c r="V36" s="3611"/>
      <c r="W36" s="3609"/>
    </row>
    <row r="37" spans="1:23" ht="24" hidden="1">
      <c r="A37" s="3612">
        <v>35</v>
      </c>
      <c r="B37" s="3612" t="s">
        <v>4183</v>
      </c>
      <c r="C37" s="3612" t="s">
        <v>4184</v>
      </c>
      <c r="D37" s="3612" t="s">
        <v>4185</v>
      </c>
      <c r="E37" s="3612" t="s">
        <v>4185</v>
      </c>
      <c r="F37" s="3612" t="s">
        <v>4186</v>
      </c>
      <c r="G37" s="3612" t="s">
        <v>21</v>
      </c>
      <c r="H37" s="3612"/>
      <c r="I37" s="3612">
        <v>7652.17</v>
      </c>
      <c r="J37" s="3612">
        <v>5969.62</v>
      </c>
      <c r="K37" s="3612">
        <v>1682.55</v>
      </c>
      <c r="L37" s="3612">
        <v>29079</v>
      </c>
      <c r="M37" s="3612">
        <v>38001</v>
      </c>
      <c r="N37" s="3612">
        <v>48712</v>
      </c>
      <c r="O37" s="3612" t="s">
        <v>43</v>
      </c>
      <c r="P37" s="3613">
        <v>44334</v>
      </c>
      <c r="Q37" s="3612" t="s">
        <v>4187</v>
      </c>
      <c r="R37" s="3612" t="s">
        <v>3917</v>
      </c>
      <c r="S37" s="3612"/>
      <c r="T37" s="3612"/>
      <c r="U37" s="3612"/>
      <c r="V37" s="3614"/>
      <c r="W37" s="3612"/>
    </row>
    <row r="38" spans="1:23" ht="24">
      <c r="A38" s="3609">
        <v>36</v>
      </c>
      <c r="B38" s="3609" t="s">
        <v>3960</v>
      </c>
      <c r="C38" s="3609" t="s">
        <v>3961</v>
      </c>
      <c r="D38" s="3609" t="s">
        <v>3926</v>
      </c>
      <c r="E38" s="3609" t="s">
        <v>3962</v>
      </c>
      <c r="F38" s="3609" t="s">
        <v>3963</v>
      </c>
      <c r="G38" s="3609" t="s">
        <v>21</v>
      </c>
      <c r="H38" s="3609"/>
      <c r="I38" s="3609">
        <v>107627.08</v>
      </c>
      <c r="J38" s="3609">
        <v>107627.08</v>
      </c>
      <c r="K38" s="3609"/>
      <c r="L38" s="3609">
        <v>906000</v>
      </c>
      <c r="M38" s="3609">
        <v>84180</v>
      </c>
      <c r="N38" s="3609">
        <v>84180</v>
      </c>
      <c r="O38" s="3609" t="s">
        <v>3964</v>
      </c>
      <c r="P38" s="3610">
        <v>44348</v>
      </c>
      <c r="Q38" s="3609" t="s">
        <v>3965</v>
      </c>
      <c r="R38" s="3609" t="s">
        <v>3932</v>
      </c>
      <c r="S38" s="3609"/>
      <c r="T38" s="3609"/>
      <c r="U38" s="3609"/>
      <c r="V38" s="3611"/>
      <c r="W38" s="3609"/>
    </row>
    <row r="39" spans="1:23" ht="24" hidden="1">
      <c r="A39" s="3612">
        <v>37</v>
      </c>
      <c r="B39" s="3612" t="s">
        <v>4188</v>
      </c>
      <c r="C39" s="3612" t="s">
        <v>4189</v>
      </c>
      <c r="D39" s="3612" t="s">
        <v>4190</v>
      </c>
      <c r="E39" s="3612" t="s">
        <v>4191</v>
      </c>
      <c r="F39" s="3612" t="s">
        <v>4192</v>
      </c>
      <c r="G39" s="3612" t="s">
        <v>673</v>
      </c>
      <c r="H39" s="3612">
        <v>949.75</v>
      </c>
      <c r="I39" s="3612">
        <v>1807.6</v>
      </c>
      <c r="J39" s="3612">
        <v>1807.6</v>
      </c>
      <c r="K39" s="3612"/>
      <c r="L39" s="3612">
        <v>3500</v>
      </c>
      <c r="M39" s="3612">
        <v>19363</v>
      </c>
      <c r="N39" s="3612">
        <v>19363</v>
      </c>
      <c r="O39" s="3612" t="s">
        <v>4193</v>
      </c>
      <c r="P39" s="3613">
        <v>44395</v>
      </c>
      <c r="Q39" s="3612" t="s">
        <v>4194</v>
      </c>
      <c r="R39" s="3612" t="s">
        <v>4195</v>
      </c>
      <c r="S39" s="3612">
        <v>3806.6</v>
      </c>
      <c r="T39" s="3612">
        <v>21059</v>
      </c>
      <c r="U39" s="3612"/>
      <c r="V39" s="3614">
        <v>0.92</v>
      </c>
      <c r="W39" s="3612" t="s">
        <v>3933</v>
      </c>
    </row>
    <row r="40" spans="1:23" ht="36" hidden="1">
      <c r="A40" s="3609">
        <v>38</v>
      </c>
      <c r="B40" s="3609" t="s">
        <v>4196</v>
      </c>
      <c r="C40" s="3609" t="s">
        <v>4197</v>
      </c>
      <c r="D40" s="3609" t="s">
        <v>4198</v>
      </c>
      <c r="E40" s="3609" t="s">
        <v>4199</v>
      </c>
      <c r="F40" s="3609" t="s">
        <v>4200</v>
      </c>
      <c r="G40" s="3609" t="s">
        <v>4201</v>
      </c>
      <c r="H40" s="3609"/>
      <c r="I40" s="3609">
        <v>2513.25</v>
      </c>
      <c r="J40" s="3609">
        <v>2513.25</v>
      </c>
      <c r="K40" s="3609"/>
      <c r="L40" s="3609">
        <v>3514.5070000000001</v>
      </c>
      <c r="M40" s="3609">
        <v>13984</v>
      </c>
      <c r="N40" s="3609">
        <v>13984</v>
      </c>
      <c r="O40" s="3609" t="s">
        <v>4202</v>
      </c>
      <c r="P40" s="3610">
        <v>44393</v>
      </c>
      <c r="Q40" s="3609" t="s">
        <v>4203</v>
      </c>
      <c r="R40" s="3609" t="s">
        <v>3970</v>
      </c>
      <c r="S40" s="3609">
        <v>3795.01</v>
      </c>
      <c r="T40" s="3609">
        <v>15100</v>
      </c>
      <c r="U40" s="3609"/>
      <c r="V40" s="3611">
        <v>0.93</v>
      </c>
      <c r="W40" s="3609" t="s">
        <v>3933</v>
      </c>
    </row>
    <row r="41" spans="1:23" hidden="1">
      <c r="A41" s="3612"/>
      <c r="B41" s="3612"/>
      <c r="C41" s="3612"/>
      <c r="D41" s="3612"/>
      <c r="E41" s="3612"/>
      <c r="F41" s="3612"/>
      <c r="G41" s="3612"/>
      <c r="H41" s="3612"/>
      <c r="I41" s="3612"/>
      <c r="J41" s="3612"/>
      <c r="K41" s="3612"/>
      <c r="L41" s="3612"/>
      <c r="M41" s="3612"/>
      <c r="N41" s="3612"/>
      <c r="O41" s="3612"/>
      <c r="P41" s="3613"/>
      <c r="Q41" s="3612" t="s">
        <v>4204</v>
      </c>
      <c r="R41" s="3612"/>
      <c r="S41" s="3612"/>
      <c r="T41" s="3612"/>
      <c r="U41" s="3612"/>
      <c r="V41" s="3614"/>
      <c r="W41" s="3612"/>
    </row>
    <row r="42" spans="1:23" ht="108" hidden="1">
      <c r="A42" s="3609">
        <v>39</v>
      </c>
      <c r="B42" s="3609" t="s">
        <v>3966</v>
      </c>
      <c r="C42" s="3609" t="s">
        <v>3967</v>
      </c>
      <c r="D42" s="3609" t="s">
        <v>3901</v>
      </c>
      <c r="E42" s="3609" t="s">
        <v>3949</v>
      </c>
      <c r="F42" s="3609" t="s">
        <v>3968</v>
      </c>
      <c r="G42" s="3609" t="s">
        <v>3929</v>
      </c>
      <c r="H42" s="3609">
        <v>10958.77</v>
      </c>
      <c r="I42" s="3609">
        <v>16239.52</v>
      </c>
      <c r="J42" s="3609">
        <v>11951.04</v>
      </c>
      <c r="K42" s="3609">
        <v>4288.4799999999996</v>
      </c>
      <c r="L42" s="3609">
        <v>30775.432799999999</v>
      </c>
      <c r="M42" s="3609">
        <v>18951</v>
      </c>
      <c r="N42" s="3609">
        <v>25751</v>
      </c>
      <c r="O42" s="3609" t="s">
        <v>3969</v>
      </c>
      <c r="P42" s="3610">
        <v>44416</v>
      </c>
      <c r="Q42" s="3609" t="s">
        <v>4205</v>
      </c>
      <c r="R42" s="3609" t="s">
        <v>3970</v>
      </c>
      <c r="S42" s="3609">
        <v>54956.13</v>
      </c>
      <c r="T42" s="3609">
        <v>45984</v>
      </c>
      <c r="U42" s="3609"/>
      <c r="V42" s="3611">
        <v>0.56000000000000005</v>
      </c>
      <c r="W42" s="3609" t="s">
        <v>3933</v>
      </c>
    </row>
    <row r="43" spans="1:23" s="3618" customFormat="1" ht="24">
      <c r="A43" s="3615">
        <v>40</v>
      </c>
      <c r="B43" s="3615" t="s">
        <v>3971</v>
      </c>
      <c r="C43" s="3615" t="s">
        <v>3972</v>
      </c>
      <c r="D43" s="3615" t="s">
        <v>3901</v>
      </c>
      <c r="E43" s="3615"/>
      <c r="F43" s="3615" t="s">
        <v>3973</v>
      </c>
      <c r="G43" s="3615" t="s">
        <v>21</v>
      </c>
      <c r="H43" s="3615"/>
      <c r="I43" s="3615">
        <v>4649.72</v>
      </c>
      <c r="J43" s="3615">
        <v>4035.57</v>
      </c>
      <c r="K43" s="3615">
        <v>614.15</v>
      </c>
      <c r="L43" s="3615">
        <v>16499</v>
      </c>
      <c r="M43" s="3615">
        <v>35484</v>
      </c>
      <c r="N43" s="3615">
        <v>40884</v>
      </c>
      <c r="O43" s="3615" t="s">
        <v>43</v>
      </c>
      <c r="P43" s="3616">
        <v>44413</v>
      </c>
      <c r="Q43" s="3615" t="s">
        <v>3974</v>
      </c>
      <c r="R43" s="3615" t="s">
        <v>3907</v>
      </c>
      <c r="S43" s="3615"/>
      <c r="T43" s="3615">
        <v>0</v>
      </c>
      <c r="U43" s="3615"/>
      <c r="V43" s="3617" t="e">
        <v>#DIV/0!</v>
      </c>
      <c r="W43" s="3615"/>
    </row>
    <row r="44" spans="1:23" ht="36">
      <c r="A44" s="3609">
        <v>41</v>
      </c>
      <c r="B44" s="3609" t="s">
        <v>4206</v>
      </c>
      <c r="C44" s="3609" t="s">
        <v>4207</v>
      </c>
      <c r="D44" s="3609" t="s">
        <v>3901</v>
      </c>
      <c r="E44" s="3609" t="s">
        <v>4208</v>
      </c>
      <c r="F44" s="3609" t="s">
        <v>4209</v>
      </c>
      <c r="G44" s="3609" t="s">
        <v>673</v>
      </c>
      <c r="H44" s="3609"/>
      <c r="I44" s="3609">
        <v>2892.36</v>
      </c>
      <c r="J44" s="3609">
        <v>552.79</v>
      </c>
      <c r="K44" s="3609">
        <v>2339.5700000000002</v>
      </c>
      <c r="L44" s="3609">
        <v>12038</v>
      </c>
      <c r="M44" s="3609">
        <v>41620</v>
      </c>
      <c r="N44" s="3609">
        <v>217768</v>
      </c>
      <c r="O44" s="3609" t="s">
        <v>43</v>
      </c>
      <c r="P44" s="3610">
        <v>44413</v>
      </c>
      <c r="Q44" s="3609" t="s">
        <v>4210</v>
      </c>
      <c r="R44" s="3609" t="s">
        <v>4211</v>
      </c>
      <c r="S44" s="3609"/>
      <c r="T44" s="3609">
        <v>0</v>
      </c>
      <c r="U44" s="3609"/>
      <c r="V44" s="3611" t="e">
        <v>#DIV/0!</v>
      </c>
      <c r="W44" s="3609"/>
    </row>
    <row r="45" spans="1:23" ht="24" hidden="1">
      <c r="A45" s="3612">
        <v>42</v>
      </c>
      <c r="B45" s="3612" t="s">
        <v>3975</v>
      </c>
      <c r="C45" s="3612" t="s">
        <v>3976</v>
      </c>
      <c r="D45" s="3612" t="s">
        <v>3901</v>
      </c>
      <c r="E45" s="3612" t="s">
        <v>3977</v>
      </c>
      <c r="F45" s="3612" t="s">
        <v>3978</v>
      </c>
      <c r="G45" s="3612" t="s">
        <v>3979</v>
      </c>
      <c r="H45" s="3612"/>
      <c r="I45" s="3612">
        <v>4269.6899999999996</v>
      </c>
      <c r="J45" s="3612">
        <v>4269.6899999999996</v>
      </c>
      <c r="K45" s="3612"/>
      <c r="L45" s="3612">
        <v>10551.183199999999</v>
      </c>
      <c r="M45" s="3612">
        <v>24712</v>
      </c>
      <c r="N45" s="3612">
        <v>24712</v>
      </c>
      <c r="O45" s="3612" t="s">
        <v>3980</v>
      </c>
      <c r="P45" s="3613">
        <v>44419</v>
      </c>
      <c r="Q45" s="3612" t="s">
        <v>3981</v>
      </c>
      <c r="R45" s="3612" t="s">
        <v>3970</v>
      </c>
      <c r="S45" s="3612">
        <v>10166.183199999999</v>
      </c>
      <c r="T45" s="3612">
        <v>23810</v>
      </c>
      <c r="U45" s="3612"/>
      <c r="V45" s="3614">
        <v>1.04</v>
      </c>
      <c r="W45" s="3612" t="s">
        <v>3933</v>
      </c>
    </row>
    <row r="46" spans="1:23" ht="24" hidden="1">
      <c r="A46" s="3609">
        <v>43</v>
      </c>
      <c r="B46" s="3609" t="s">
        <v>4212</v>
      </c>
      <c r="C46" s="3609" t="s">
        <v>4212</v>
      </c>
      <c r="D46" s="3609" t="s">
        <v>4173</v>
      </c>
      <c r="E46" s="3609" t="s">
        <v>4213</v>
      </c>
      <c r="F46" s="3609" t="s">
        <v>43</v>
      </c>
      <c r="G46" s="3609" t="s">
        <v>673</v>
      </c>
      <c r="H46" s="3609"/>
      <c r="I46" s="3609">
        <v>640.29</v>
      </c>
      <c r="J46" s="3609"/>
      <c r="K46" s="3609"/>
      <c r="L46" s="3609">
        <v>1273.625</v>
      </c>
      <c r="M46" s="3609">
        <v>19891</v>
      </c>
      <c r="N46" s="3609" t="e">
        <v>#DIV/0!</v>
      </c>
      <c r="O46" s="3609" t="s">
        <v>4020</v>
      </c>
      <c r="P46" s="3610">
        <v>44334</v>
      </c>
      <c r="Q46" s="3609" t="s">
        <v>4214</v>
      </c>
      <c r="R46" s="3609" t="s">
        <v>4215</v>
      </c>
      <c r="S46" s="3609">
        <v>1373.75</v>
      </c>
      <c r="T46" s="3609" t="e">
        <v>#DIV/0!</v>
      </c>
      <c r="U46" s="3609"/>
      <c r="V46" s="3611">
        <v>0.93</v>
      </c>
      <c r="W46" s="3609" t="s">
        <v>3933</v>
      </c>
    </row>
    <row r="47" spans="1:23" s="3622" customFormat="1" ht="24">
      <c r="A47" s="3619">
        <v>44</v>
      </c>
      <c r="B47" s="3619" t="s">
        <v>3828</v>
      </c>
      <c r="C47" s="3619" t="s">
        <v>3982</v>
      </c>
      <c r="D47" s="3619" t="s">
        <v>3983</v>
      </c>
      <c r="E47" s="3619" t="s">
        <v>3984</v>
      </c>
      <c r="F47" s="3619" t="s">
        <v>3985</v>
      </c>
      <c r="G47" s="3619" t="s">
        <v>3986</v>
      </c>
      <c r="H47" s="3619"/>
      <c r="I47" s="3619">
        <v>38000</v>
      </c>
      <c r="J47" s="3619">
        <v>26467.47</v>
      </c>
      <c r="K47" s="3619">
        <v>11532.53</v>
      </c>
      <c r="L47" s="3619">
        <v>157500</v>
      </c>
      <c r="M47" s="3619">
        <v>41447</v>
      </c>
      <c r="N47" s="3619">
        <v>59507</v>
      </c>
      <c r="O47" s="3619" t="s">
        <v>43</v>
      </c>
      <c r="P47" s="3620" t="s">
        <v>3987</v>
      </c>
      <c r="Q47" s="3619" t="s">
        <v>3988</v>
      </c>
      <c r="R47" s="3619" t="s">
        <v>3989</v>
      </c>
      <c r="S47" s="3619"/>
      <c r="T47" s="3619">
        <v>0</v>
      </c>
      <c r="U47" s="3619"/>
      <c r="V47" s="3621" t="e">
        <v>#DIV/0!</v>
      </c>
      <c r="W47" s="3619"/>
    </row>
    <row r="48" spans="1:23">
      <c r="A48" s="3609">
        <v>45</v>
      </c>
      <c r="B48" s="3609" t="s">
        <v>3990</v>
      </c>
      <c r="C48" s="3609" t="s">
        <v>3991</v>
      </c>
      <c r="D48" s="3609" t="s">
        <v>3983</v>
      </c>
      <c r="E48" s="3609" t="s">
        <v>3985</v>
      </c>
      <c r="F48" s="3609" t="s">
        <v>3992</v>
      </c>
      <c r="G48" s="3609" t="s">
        <v>21</v>
      </c>
      <c r="H48" s="3609"/>
      <c r="I48" s="3609">
        <v>15941</v>
      </c>
      <c r="J48" s="3609">
        <v>15941</v>
      </c>
      <c r="K48" s="3609"/>
      <c r="L48" s="3609">
        <v>152300</v>
      </c>
      <c r="M48" s="3609">
        <v>95540</v>
      </c>
      <c r="N48" s="3609">
        <v>95540</v>
      </c>
      <c r="O48" s="3609" t="s">
        <v>3993</v>
      </c>
      <c r="P48" s="3610" t="s">
        <v>3994</v>
      </c>
      <c r="Q48" s="3609" t="s">
        <v>3995</v>
      </c>
      <c r="R48" s="3609"/>
      <c r="S48" s="3609"/>
      <c r="T48" s="3609">
        <v>0</v>
      </c>
      <c r="U48" s="3609"/>
      <c r="V48" s="3611" t="e">
        <v>#DIV/0!</v>
      </c>
      <c r="W48" s="3609"/>
    </row>
    <row r="49" spans="1:23" ht="60" hidden="1">
      <c r="A49" s="3612">
        <v>46</v>
      </c>
      <c r="B49" s="3612" t="s">
        <v>3996</v>
      </c>
      <c r="C49" s="3612" t="s">
        <v>3997</v>
      </c>
      <c r="D49" s="3612" t="s">
        <v>3926</v>
      </c>
      <c r="E49" s="3612" t="s">
        <v>3998</v>
      </c>
      <c r="F49" s="3612" t="s">
        <v>3999</v>
      </c>
      <c r="G49" s="3612" t="s">
        <v>4000</v>
      </c>
      <c r="H49" s="3612">
        <v>11620.73</v>
      </c>
      <c r="I49" s="3612">
        <v>82341.570000000007</v>
      </c>
      <c r="J49" s="3612">
        <v>41197.78</v>
      </c>
      <c r="K49" s="3612">
        <v>41143.79</v>
      </c>
      <c r="L49" s="3612">
        <v>164500.37359999999</v>
      </c>
      <c r="M49" s="3612">
        <v>19978</v>
      </c>
      <c r="N49" s="3612">
        <v>39929</v>
      </c>
      <c r="O49" s="3612" t="s">
        <v>4001</v>
      </c>
      <c r="P49" s="3613">
        <v>44406</v>
      </c>
      <c r="Q49" s="3612" t="s">
        <v>4002</v>
      </c>
      <c r="R49" s="3612">
        <v>40695</v>
      </c>
      <c r="S49" s="3612">
        <v>292857.81</v>
      </c>
      <c r="T49" s="3612">
        <v>71086</v>
      </c>
      <c r="U49" s="3612"/>
      <c r="V49" s="3614">
        <v>0.56000000000000005</v>
      </c>
      <c r="W49" s="3612" t="s">
        <v>3933</v>
      </c>
    </row>
    <row r="50" spans="1:23" ht="96" hidden="1">
      <c r="A50" s="3609"/>
      <c r="B50" s="3609"/>
      <c r="C50" s="3609"/>
      <c r="D50" s="3609"/>
      <c r="E50" s="3609"/>
      <c r="F50" s="3609"/>
      <c r="G50" s="3609"/>
      <c r="H50" s="3609"/>
      <c r="I50" s="3609"/>
      <c r="J50" s="3609"/>
      <c r="K50" s="3609"/>
      <c r="L50" s="3609"/>
      <c r="M50" s="3609"/>
      <c r="N50" s="3609"/>
      <c r="O50" s="3609"/>
      <c r="P50" s="3610"/>
      <c r="Q50" s="3609" t="s">
        <v>4216</v>
      </c>
      <c r="R50" s="3609"/>
      <c r="S50" s="3609"/>
      <c r="T50" s="3609"/>
      <c r="U50" s="3609"/>
      <c r="V50" s="3611"/>
      <c r="W50" s="3609"/>
    </row>
    <row r="51" spans="1:23" ht="72">
      <c r="A51" s="3612">
        <v>47</v>
      </c>
      <c r="B51" s="3612" t="s">
        <v>4217</v>
      </c>
      <c r="C51" s="3612" t="s">
        <v>4218</v>
      </c>
      <c r="D51" s="3612" t="s">
        <v>3926</v>
      </c>
      <c r="E51" s="3612" t="s">
        <v>4219</v>
      </c>
      <c r="F51" s="3612" t="s">
        <v>4220</v>
      </c>
      <c r="G51" s="3612" t="s">
        <v>4221</v>
      </c>
      <c r="H51" s="3612"/>
      <c r="I51" s="3612">
        <v>2649.47</v>
      </c>
      <c r="J51" s="3612">
        <v>2649.47</v>
      </c>
      <c r="K51" s="3612"/>
      <c r="L51" s="3612">
        <v>9000</v>
      </c>
      <c r="M51" s="3612">
        <v>33969</v>
      </c>
      <c r="N51" s="3612">
        <v>33969</v>
      </c>
      <c r="O51" s="3612" t="s">
        <v>4222</v>
      </c>
      <c r="P51" s="3613">
        <v>44488</v>
      </c>
      <c r="Q51" s="3612" t="s">
        <v>4223</v>
      </c>
      <c r="R51" s="3612" t="s">
        <v>4156</v>
      </c>
      <c r="S51" s="3612">
        <v>12857.14286</v>
      </c>
      <c r="T51" s="3612">
        <v>48527</v>
      </c>
      <c r="U51" s="3612"/>
      <c r="V51" s="3614">
        <v>0.7</v>
      </c>
      <c r="W51" s="3612" t="s">
        <v>3933</v>
      </c>
    </row>
    <row r="52" spans="1:23" ht="24" hidden="1">
      <c r="A52" s="3609">
        <v>48</v>
      </c>
      <c r="B52" s="3609" t="s">
        <v>4224</v>
      </c>
      <c r="C52" s="3609" t="s">
        <v>4225</v>
      </c>
      <c r="D52" s="3609" t="s">
        <v>3910</v>
      </c>
      <c r="E52" s="3609" t="s">
        <v>3911</v>
      </c>
      <c r="F52" s="3609" t="s">
        <v>4226</v>
      </c>
      <c r="G52" s="3609" t="s">
        <v>3371</v>
      </c>
      <c r="H52" s="3609"/>
      <c r="I52" s="3609">
        <v>48202.94</v>
      </c>
      <c r="J52" s="3609">
        <v>35675.879999999997</v>
      </c>
      <c r="K52" s="3609">
        <v>12527.06</v>
      </c>
      <c r="L52" s="3609">
        <v>130000</v>
      </c>
      <c r="M52" s="3609">
        <v>26969</v>
      </c>
      <c r="N52" s="3609">
        <v>36439</v>
      </c>
      <c r="O52" s="3609" t="s">
        <v>4227</v>
      </c>
      <c r="P52" s="3610" t="s">
        <v>4228</v>
      </c>
      <c r="Q52" s="3609" t="s">
        <v>4229</v>
      </c>
      <c r="R52" s="3609"/>
      <c r="S52" s="3609"/>
      <c r="T52" s="3609">
        <v>0</v>
      </c>
      <c r="U52" s="3609"/>
      <c r="V52" s="3611" t="e">
        <v>#DIV/0!</v>
      </c>
      <c r="W52" s="3609"/>
    </row>
    <row r="53" spans="1:23" hidden="1">
      <c r="A53" s="3612">
        <v>49</v>
      </c>
      <c r="B53" s="3612" t="s">
        <v>4230</v>
      </c>
      <c r="C53" s="3612" t="s">
        <v>4231</v>
      </c>
      <c r="D53" s="3612" t="s">
        <v>3910</v>
      </c>
      <c r="E53" s="3612" t="s">
        <v>3911</v>
      </c>
      <c r="F53" s="3612" t="s">
        <v>4226</v>
      </c>
      <c r="G53" s="3612" t="s">
        <v>673</v>
      </c>
      <c r="H53" s="3612"/>
      <c r="I53" s="3612">
        <v>97213.86</v>
      </c>
      <c r="J53" s="3612">
        <v>59407.53</v>
      </c>
      <c r="K53" s="3612">
        <v>37806.33</v>
      </c>
      <c r="L53" s="3612">
        <v>172735</v>
      </c>
      <c r="M53" s="3612">
        <v>17769</v>
      </c>
      <c r="N53" s="3612">
        <v>29076</v>
      </c>
      <c r="O53" s="3612" t="s">
        <v>4232</v>
      </c>
      <c r="P53" s="3613" t="s">
        <v>4233</v>
      </c>
      <c r="Q53" s="3612" t="s">
        <v>4234</v>
      </c>
      <c r="R53" s="3612"/>
      <c r="S53" s="3612"/>
      <c r="T53" s="3612">
        <v>0</v>
      </c>
      <c r="U53" s="3612"/>
      <c r="V53" s="3614" t="e">
        <v>#DIV/0!</v>
      </c>
      <c r="W53" s="3612"/>
    </row>
    <row r="54" spans="1:23" ht="24" hidden="1">
      <c r="A54" s="3609">
        <v>50</v>
      </c>
      <c r="B54" s="3609" t="s">
        <v>4003</v>
      </c>
      <c r="C54" s="3609" t="s">
        <v>4004</v>
      </c>
      <c r="D54" s="3609" t="s">
        <v>3926</v>
      </c>
      <c r="E54" s="3609" t="s">
        <v>3962</v>
      </c>
      <c r="F54" s="3609" t="s">
        <v>4005</v>
      </c>
      <c r="G54" s="3609" t="s">
        <v>4006</v>
      </c>
      <c r="H54" s="3609"/>
      <c r="I54" s="3609"/>
      <c r="J54" s="3609">
        <v>22716</v>
      </c>
      <c r="K54" s="3609"/>
      <c r="L54" s="3609">
        <v>105000</v>
      </c>
      <c r="M54" s="3609" t="e">
        <v>#DIV/0!</v>
      </c>
      <c r="N54" s="3609">
        <v>46223</v>
      </c>
      <c r="O54" s="3609" t="s">
        <v>4007</v>
      </c>
      <c r="P54" s="3610" t="s">
        <v>4008</v>
      </c>
      <c r="Q54" s="3609" t="s">
        <v>4009</v>
      </c>
      <c r="R54" s="3609"/>
      <c r="S54" s="3609"/>
      <c r="T54" s="3609">
        <v>0</v>
      </c>
      <c r="U54" s="3609"/>
      <c r="V54" s="3611" t="e">
        <v>#DIV/0!</v>
      </c>
      <c r="W54" s="3609"/>
    </row>
    <row r="55" spans="1:23" s="3622" customFormat="1" ht="24">
      <c r="A55" s="3619">
        <v>51</v>
      </c>
      <c r="B55" s="3619" t="s">
        <v>4010</v>
      </c>
      <c r="C55" s="3619" t="s">
        <v>4011</v>
      </c>
      <c r="D55" s="3619" t="s">
        <v>3901</v>
      </c>
      <c r="E55" s="3619" t="s">
        <v>4012</v>
      </c>
      <c r="F55" s="3619" t="s">
        <v>4013</v>
      </c>
      <c r="G55" s="3619" t="s">
        <v>3979</v>
      </c>
      <c r="H55" s="3619">
        <v>327.82</v>
      </c>
      <c r="I55" s="3619">
        <v>1702.62</v>
      </c>
      <c r="J55" s="3619">
        <v>1702.62</v>
      </c>
      <c r="K55" s="3619"/>
      <c r="L55" s="3619">
        <v>6441.5559999999996</v>
      </c>
      <c r="M55" s="3619">
        <v>37833</v>
      </c>
      <c r="N55" s="3619">
        <v>37833</v>
      </c>
      <c r="O55" s="3619" t="s">
        <v>4014</v>
      </c>
      <c r="P55" s="3620">
        <v>44502</v>
      </c>
      <c r="Q55" s="3619" t="s">
        <v>4015</v>
      </c>
      <c r="R55" s="3619" t="s">
        <v>4016</v>
      </c>
      <c r="S55" s="3619">
        <v>10056.35</v>
      </c>
      <c r="T55" s="3619">
        <v>59064</v>
      </c>
      <c r="U55" s="3619"/>
      <c r="V55" s="3621">
        <v>0.64</v>
      </c>
      <c r="W55" s="3619" t="s">
        <v>3933</v>
      </c>
    </row>
    <row r="56" spans="1:23" ht="60" hidden="1">
      <c r="A56" s="3609">
        <v>52</v>
      </c>
      <c r="B56" s="3609" t="s">
        <v>4235</v>
      </c>
      <c r="C56" s="3609" t="s">
        <v>4236</v>
      </c>
      <c r="D56" s="3609" t="s">
        <v>4198</v>
      </c>
      <c r="E56" s="3609" t="s">
        <v>4199</v>
      </c>
      <c r="F56" s="3609" t="s">
        <v>4237</v>
      </c>
      <c r="G56" s="3609" t="s">
        <v>4238</v>
      </c>
      <c r="H56" s="3609">
        <v>2187.62</v>
      </c>
      <c r="I56" s="3609">
        <v>3519.53</v>
      </c>
      <c r="J56" s="3609">
        <v>3519.53</v>
      </c>
      <c r="K56" s="3609"/>
      <c r="L56" s="3609">
        <v>3373</v>
      </c>
      <c r="M56" s="3609">
        <v>9584</v>
      </c>
      <c r="N56" s="3609">
        <v>9584</v>
      </c>
      <c r="O56" s="3609" t="s">
        <v>4239</v>
      </c>
      <c r="P56" s="3610">
        <v>44496</v>
      </c>
      <c r="Q56" s="3609" t="s">
        <v>4240</v>
      </c>
      <c r="R56" s="3609" t="s">
        <v>4241</v>
      </c>
      <c r="S56" s="3609">
        <v>4278.34</v>
      </c>
      <c r="T56" s="3609">
        <v>12156</v>
      </c>
      <c r="U56" s="3609"/>
      <c r="V56" s="3611">
        <v>0.79</v>
      </c>
      <c r="W56" s="3609" t="s">
        <v>3933</v>
      </c>
    </row>
    <row r="57" spans="1:23" ht="24" hidden="1">
      <c r="A57" s="3612">
        <v>53</v>
      </c>
      <c r="B57" s="3612" t="s">
        <v>4242</v>
      </c>
      <c r="C57" s="3612" t="s">
        <v>4243</v>
      </c>
      <c r="D57" s="3612" t="s">
        <v>4244</v>
      </c>
      <c r="E57" s="3612" t="s">
        <v>4245</v>
      </c>
      <c r="F57" s="3612" t="s">
        <v>4246</v>
      </c>
      <c r="G57" s="3612" t="s">
        <v>3</v>
      </c>
      <c r="H57" s="3612">
        <v>6777.98</v>
      </c>
      <c r="I57" s="3612">
        <v>13260.18</v>
      </c>
      <c r="J57" s="3612">
        <v>13260.18</v>
      </c>
      <c r="K57" s="3612"/>
      <c r="L57" s="3612">
        <v>5028</v>
      </c>
      <c r="M57" s="3612">
        <v>3792</v>
      </c>
      <c r="N57" s="3612">
        <v>3792</v>
      </c>
      <c r="O57" s="3612" t="s">
        <v>4247</v>
      </c>
      <c r="P57" s="3613">
        <v>44489</v>
      </c>
      <c r="Q57" s="3612" t="s">
        <v>4248</v>
      </c>
      <c r="R57" s="3612" t="s">
        <v>3898</v>
      </c>
      <c r="S57" s="3612">
        <v>5872.66</v>
      </c>
      <c r="T57" s="3612">
        <v>4429</v>
      </c>
      <c r="U57" s="3612"/>
      <c r="V57" s="3614">
        <v>0.86</v>
      </c>
      <c r="W57" s="3612" t="s">
        <v>3933</v>
      </c>
    </row>
    <row r="58" spans="1:23" ht="24" hidden="1">
      <c r="A58" s="3609">
        <v>54</v>
      </c>
      <c r="B58" s="3609" t="s">
        <v>4235</v>
      </c>
      <c r="C58" s="3609" t="s">
        <v>4249</v>
      </c>
      <c r="D58" s="3609" t="s">
        <v>4198</v>
      </c>
      <c r="E58" s="3609" t="s">
        <v>4199</v>
      </c>
      <c r="F58" s="3609" t="s">
        <v>4250</v>
      </c>
      <c r="G58" s="3609" t="s">
        <v>4238</v>
      </c>
      <c r="H58" s="3609">
        <v>4067.93</v>
      </c>
      <c r="I58" s="3609">
        <v>6544.66</v>
      </c>
      <c r="J58" s="3609">
        <v>6544.66</v>
      </c>
      <c r="K58" s="3609"/>
      <c r="L58" s="3609">
        <v>5422</v>
      </c>
      <c r="M58" s="3609">
        <v>8285</v>
      </c>
      <c r="N58" s="3609">
        <v>8285</v>
      </c>
      <c r="O58" s="3609" t="s">
        <v>4251</v>
      </c>
      <c r="P58" s="3610">
        <v>44503</v>
      </c>
      <c r="Q58" s="3609" t="s">
        <v>4252</v>
      </c>
      <c r="R58" s="3609" t="s">
        <v>4241</v>
      </c>
      <c r="S58" s="3609">
        <v>7874.53</v>
      </c>
      <c r="T58" s="3609">
        <v>12032</v>
      </c>
      <c r="U58" s="3609"/>
      <c r="V58" s="3611">
        <v>0.69</v>
      </c>
      <c r="W58" s="3609" t="s">
        <v>3933</v>
      </c>
    </row>
    <row r="59" spans="1:23" s="3622" customFormat="1" ht="24">
      <c r="A59" s="3619">
        <v>55</v>
      </c>
      <c r="B59" s="3619" t="s">
        <v>4253</v>
      </c>
      <c r="C59" s="3619" t="s">
        <v>4254</v>
      </c>
      <c r="D59" s="3619" t="s">
        <v>3926</v>
      </c>
      <c r="E59" s="3619" t="s">
        <v>3927</v>
      </c>
      <c r="F59" s="3619" t="s">
        <v>4255</v>
      </c>
      <c r="G59" s="3619" t="s">
        <v>673</v>
      </c>
      <c r="H59" s="3619"/>
      <c r="I59" s="3619">
        <v>377.72</v>
      </c>
      <c r="J59" s="3619">
        <v>377.72</v>
      </c>
      <c r="K59" s="3619"/>
      <c r="L59" s="3619">
        <v>1856.491</v>
      </c>
      <c r="M59" s="3619">
        <v>49150</v>
      </c>
      <c r="N59" s="3619">
        <v>49150</v>
      </c>
      <c r="O59" s="3619" t="s">
        <v>4256</v>
      </c>
      <c r="P59" s="3620">
        <v>44493</v>
      </c>
      <c r="Q59" s="3619" t="s">
        <v>4257</v>
      </c>
      <c r="R59" s="3619" t="s">
        <v>4164</v>
      </c>
      <c r="S59" s="3619">
        <v>1872.13</v>
      </c>
      <c r="T59" s="3619">
        <v>49564</v>
      </c>
      <c r="U59" s="3619"/>
      <c r="V59" s="3621">
        <v>0.99</v>
      </c>
      <c r="W59" s="3619" t="s">
        <v>3933</v>
      </c>
    </row>
    <row r="60" spans="1:23" hidden="1">
      <c r="A60" s="3609">
        <v>56</v>
      </c>
      <c r="B60" s="3609" t="s">
        <v>4253</v>
      </c>
      <c r="C60" s="3609" t="s">
        <v>4258</v>
      </c>
      <c r="D60" s="3609" t="s">
        <v>3926</v>
      </c>
      <c r="E60" s="3609" t="s">
        <v>3927</v>
      </c>
      <c r="F60" s="3609" t="s">
        <v>4259</v>
      </c>
      <c r="G60" s="3609" t="s">
        <v>673</v>
      </c>
      <c r="H60" s="3609"/>
      <c r="I60" s="3609">
        <v>488.2</v>
      </c>
      <c r="J60" s="3609">
        <v>488.2</v>
      </c>
      <c r="K60" s="3609"/>
      <c r="L60" s="3609">
        <v>1116.8584000000001</v>
      </c>
      <c r="M60" s="3609">
        <v>22877</v>
      </c>
      <c r="N60" s="3609">
        <v>22877</v>
      </c>
      <c r="O60" s="3609" t="s">
        <v>4260</v>
      </c>
      <c r="P60" s="3610">
        <v>44518</v>
      </c>
      <c r="Q60" s="3609"/>
      <c r="R60" s="3609" t="s">
        <v>4164</v>
      </c>
      <c r="S60" s="3609">
        <v>1994.39</v>
      </c>
      <c r="T60" s="3609">
        <v>40852</v>
      </c>
      <c r="U60" s="3609"/>
      <c r="V60" s="3611">
        <v>0.56000000000000005</v>
      </c>
      <c r="W60" s="3609" t="s">
        <v>3933</v>
      </c>
    </row>
    <row r="61" spans="1:23" ht="36">
      <c r="A61" s="3612">
        <v>57</v>
      </c>
      <c r="B61" s="3612" t="s">
        <v>4261</v>
      </c>
      <c r="C61" s="3612" t="s">
        <v>4262</v>
      </c>
      <c r="D61" s="3612" t="s">
        <v>3926</v>
      </c>
      <c r="E61" s="3612" t="s">
        <v>3927</v>
      </c>
      <c r="F61" s="3612" t="s">
        <v>4020</v>
      </c>
      <c r="G61" s="3612" t="s">
        <v>673</v>
      </c>
      <c r="H61" s="3612">
        <v>428.89</v>
      </c>
      <c r="I61" s="3612">
        <v>1798.66</v>
      </c>
      <c r="J61" s="3612">
        <v>1371.1</v>
      </c>
      <c r="K61" s="3612">
        <v>427.56</v>
      </c>
      <c r="L61" s="3612">
        <v>6671.2269999999999</v>
      </c>
      <c r="M61" s="3612">
        <v>37090</v>
      </c>
      <c r="N61" s="3612">
        <v>48656</v>
      </c>
      <c r="O61" s="3612" t="s">
        <v>4263</v>
      </c>
      <c r="P61" s="3613">
        <v>43709</v>
      </c>
      <c r="Q61" s="3612" t="s">
        <v>4264</v>
      </c>
      <c r="R61" s="3612" t="s">
        <v>3970</v>
      </c>
      <c r="S61" s="3612">
        <v>9530</v>
      </c>
      <c r="T61" s="3612">
        <v>69509</v>
      </c>
      <c r="U61" s="3612"/>
      <c r="V61" s="3614">
        <v>0.7</v>
      </c>
      <c r="W61" s="3612" t="s">
        <v>3933</v>
      </c>
    </row>
    <row r="62" spans="1:23" ht="72">
      <c r="A62" s="3609">
        <v>58</v>
      </c>
      <c r="B62" s="3609" t="s">
        <v>4017</v>
      </c>
      <c r="C62" s="3609" t="s">
        <v>4018</v>
      </c>
      <c r="D62" s="3609" t="s">
        <v>3926</v>
      </c>
      <c r="E62" s="3609" t="s">
        <v>4019</v>
      </c>
      <c r="F62" s="3609" t="s">
        <v>4020</v>
      </c>
      <c r="G62" s="3609" t="s">
        <v>3979</v>
      </c>
      <c r="H62" s="3609">
        <v>1438.41</v>
      </c>
      <c r="I62" s="3609">
        <v>9489.06</v>
      </c>
      <c r="J62" s="3609">
        <v>7690.29</v>
      </c>
      <c r="K62" s="3609">
        <v>1798.77</v>
      </c>
      <c r="L62" s="3609">
        <v>33855</v>
      </c>
      <c r="M62" s="3609">
        <v>35677</v>
      </c>
      <c r="N62" s="3609">
        <v>44023</v>
      </c>
      <c r="O62" s="3609" t="s">
        <v>4021</v>
      </c>
      <c r="P62" s="3610">
        <v>44509</v>
      </c>
      <c r="Q62" s="3609" t="s">
        <v>4022</v>
      </c>
      <c r="R62" s="3609" t="s">
        <v>4023</v>
      </c>
      <c r="S62" s="3609">
        <v>52585.279999999999</v>
      </c>
      <c r="T62" s="3609">
        <v>68379</v>
      </c>
      <c r="U62" s="3609"/>
      <c r="V62" s="3611">
        <v>0.64</v>
      </c>
      <c r="W62" s="3609" t="s">
        <v>3933</v>
      </c>
    </row>
    <row r="63" spans="1:23" ht="24" hidden="1">
      <c r="A63" s="3612">
        <v>59</v>
      </c>
      <c r="B63" s="3612" t="s">
        <v>4024</v>
      </c>
      <c r="C63" s="3612" t="s">
        <v>4025</v>
      </c>
      <c r="D63" s="3612" t="s">
        <v>3926</v>
      </c>
      <c r="E63" s="3612" t="s">
        <v>4026</v>
      </c>
      <c r="F63" s="3612" t="s">
        <v>3368</v>
      </c>
      <c r="G63" s="3612" t="s">
        <v>3979</v>
      </c>
      <c r="H63" s="3612"/>
      <c r="I63" s="3612">
        <v>2076.27</v>
      </c>
      <c r="J63" s="3612">
        <v>2076.27</v>
      </c>
      <c r="K63" s="3612"/>
      <c r="L63" s="3612">
        <v>4370</v>
      </c>
      <c r="M63" s="3612">
        <v>21047</v>
      </c>
      <c r="N63" s="3612">
        <v>21047</v>
      </c>
      <c r="O63" s="3612" t="s">
        <v>4027</v>
      </c>
      <c r="P63" s="3613">
        <v>44512</v>
      </c>
      <c r="Q63" s="3612" t="s">
        <v>4028</v>
      </c>
      <c r="R63" s="3612" t="s">
        <v>4029</v>
      </c>
      <c r="S63" s="3612">
        <v>7802.31</v>
      </c>
      <c r="T63" s="3612">
        <v>37578</v>
      </c>
      <c r="U63" s="3612"/>
      <c r="V63" s="3614">
        <v>0.56000000000000005</v>
      </c>
      <c r="W63" s="3612" t="s">
        <v>3933</v>
      </c>
    </row>
    <row r="64" spans="1:23" hidden="1">
      <c r="A64" s="3609">
        <v>60</v>
      </c>
      <c r="B64" s="3609" t="s">
        <v>4265</v>
      </c>
      <c r="C64" s="3609" t="s">
        <v>4266</v>
      </c>
      <c r="D64" s="3609" t="s">
        <v>4185</v>
      </c>
      <c r="E64" s="3609" t="s">
        <v>4267</v>
      </c>
      <c r="F64" s="3609" t="s">
        <v>3368</v>
      </c>
      <c r="G64" s="3609" t="s">
        <v>4042</v>
      </c>
      <c r="H64" s="3609"/>
      <c r="I64" s="3609">
        <v>35430.589999999997</v>
      </c>
      <c r="J64" s="3609">
        <v>35430.589999999997</v>
      </c>
      <c r="K64" s="3609"/>
      <c r="L64" s="3609">
        <v>115479</v>
      </c>
      <c r="M64" s="3609">
        <v>32593</v>
      </c>
      <c r="N64" s="3609">
        <v>32593</v>
      </c>
      <c r="O64" s="3609" t="s">
        <v>3956</v>
      </c>
      <c r="P64" s="3610">
        <v>44501</v>
      </c>
      <c r="Q64" s="3609" t="s">
        <v>4268</v>
      </c>
      <c r="R64" s="3609" t="s">
        <v>4269</v>
      </c>
      <c r="S64" s="3609"/>
      <c r="T64" s="3609">
        <v>0</v>
      </c>
      <c r="U64" s="3609"/>
      <c r="V64" s="3611" t="e">
        <v>#DIV/0!</v>
      </c>
      <c r="W64" s="3609"/>
    </row>
    <row r="65" spans="1:23" hidden="1">
      <c r="A65" s="3612">
        <v>61</v>
      </c>
      <c r="B65" s="3612" t="s">
        <v>4270</v>
      </c>
      <c r="C65" s="3612" t="s">
        <v>4271</v>
      </c>
      <c r="D65" s="3612" t="s">
        <v>4185</v>
      </c>
      <c r="E65" s="3612" t="s">
        <v>4267</v>
      </c>
      <c r="F65" s="3612" t="s">
        <v>3368</v>
      </c>
      <c r="G65" s="3612" t="s">
        <v>4042</v>
      </c>
      <c r="H65" s="3612"/>
      <c r="I65" s="3612">
        <v>38471.61</v>
      </c>
      <c r="J65" s="3612">
        <v>38471.61</v>
      </c>
      <c r="K65" s="3612"/>
      <c r="L65" s="3612">
        <v>86724</v>
      </c>
      <c r="M65" s="3612">
        <v>22542</v>
      </c>
      <c r="N65" s="3612">
        <v>22542</v>
      </c>
      <c r="O65" s="3612" t="s">
        <v>43</v>
      </c>
      <c r="P65" s="3613">
        <v>44378</v>
      </c>
      <c r="Q65" s="3612" t="s">
        <v>4272</v>
      </c>
      <c r="R65" s="3612" t="s">
        <v>4273</v>
      </c>
      <c r="S65" s="3612"/>
      <c r="T65" s="3612">
        <v>0</v>
      </c>
      <c r="U65" s="3612"/>
      <c r="V65" s="3614" t="e">
        <v>#DIV/0!</v>
      </c>
      <c r="W65" s="3612"/>
    </row>
    <row r="66" spans="1:23" ht="24" hidden="1">
      <c r="A66" s="3609">
        <v>62</v>
      </c>
      <c r="B66" s="3609" t="s">
        <v>4030</v>
      </c>
      <c r="C66" s="3609" t="s">
        <v>4031</v>
      </c>
      <c r="D66" s="3609" t="s">
        <v>4032</v>
      </c>
      <c r="E66" s="3609" t="s">
        <v>4033</v>
      </c>
      <c r="F66" s="3609" t="s">
        <v>4034</v>
      </c>
      <c r="G66" s="3609" t="s">
        <v>3979</v>
      </c>
      <c r="H66" s="3609"/>
      <c r="I66" s="3609">
        <v>76261.53</v>
      </c>
      <c r="J66" s="3609">
        <v>51766.63</v>
      </c>
      <c r="K66" s="3609">
        <v>24494.9</v>
      </c>
      <c r="L66" s="3609">
        <v>193577.51379999999</v>
      </c>
      <c r="M66" s="3609">
        <v>25383</v>
      </c>
      <c r="N66" s="3609">
        <v>37394</v>
      </c>
      <c r="O66" s="3609" t="s">
        <v>3956</v>
      </c>
      <c r="P66" s="3610" t="s">
        <v>4035</v>
      </c>
      <c r="Q66" s="3609" t="s">
        <v>4036</v>
      </c>
      <c r="R66" s="3609" t="s">
        <v>4037</v>
      </c>
      <c r="S66" s="3609"/>
      <c r="T66" s="3609">
        <v>0</v>
      </c>
      <c r="U66" s="3609"/>
      <c r="V66" s="3611" t="e">
        <v>#DIV/0!</v>
      </c>
      <c r="W66" s="3609"/>
    </row>
    <row r="67" spans="1:23" ht="24" hidden="1">
      <c r="A67" s="3612">
        <v>63</v>
      </c>
      <c r="B67" s="3612" t="s">
        <v>4038</v>
      </c>
      <c r="C67" s="3612" t="s">
        <v>4039</v>
      </c>
      <c r="D67" s="3612" t="s">
        <v>3926</v>
      </c>
      <c r="E67" s="3612" t="s">
        <v>4040</v>
      </c>
      <c r="F67" s="3612" t="s">
        <v>4041</v>
      </c>
      <c r="G67" s="3612" t="s">
        <v>4042</v>
      </c>
      <c r="H67" s="3612"/>
      <c r="I67" s="3612">
        <v>19620.759999999998</v>
      </c>
      <c r="J67" s="3612">
        <v>19620.759999999998</v>
      </c>
      <c r="K67" s="3612"/>
      <c r="L67" s="3612">
        <v>57284.58799</v>
      </c>
      <c r="M67" s="3612">
        <v>29196</v>
      </c>
      <c r="N67" s="3612">
        <v>29196</v>
      </c>
      <c r="O67" s="3612" t="s">
        <v>4043</v>
      </c>
      <c r="P67" s="3613">
        <v>44530</v>
      </c>
      <c r="Q67" s="3612" t="s">
        <v>4044</v>
      </c>
      <c r="R67" s="3612" t="s">
        <v>3932</v>
      </c>
      <c r="S67" s="3612">
        <v>81835.125700000004</v>
      </c>
      <c r="T67" s="3612">
        <v>41708</v>
      </c>
      <c r="U67" s="3612"/>
      <c r="V67" s="3614">
        <v>0.7</v>
      </c>
      <c r="W67" s="3612" t="s">
        <v>3933</v>
      </c>
    </row>
    <row r="68" spans="1:23" ht="24" hidden="1">
      <c r="A68" s="3609"/>
      <c r="B68" s="3609"/>
      <c r="C68" s="3609"/>
      <c r="D68" s="3609"/>
      <c r="E68" s="3609"/>
      <c r="F68" s="3609"/>
      <c r="G68" s="3609"/>
      <c r="H68" s="3609"/>
      <c r="I68" s="3609"/>
      <c r="J68" s="3609"/>
      <c r="K68" s="3609"/>
      <c r="L68" s="3609"/>
      <c r="M68" s="3609"/>
      <c r="N68" s="3609"/>
      <c r="O68" s="3609"/>
      <c r="P68" s="3610"/>
      <c r="Q68" s="3609" t="s">
        <v>4274</v>
      </c>
      <c r="R68" s="3609"/>
      <c r="S68" s="3609"/>
      <c r="T68" s="3609"/>
      <c r="U68" s="3609"/>
      <c r="V68" s="3611"/>
      <c r="W68" s="3609"/>
    </row>
    <row r="69" spans="1:23">
      <c r="A69" s="3612">
        <v>64</v>
      </c>
      <c r="B69" s="3612" t="s">
        <v>4045</v>
      </c>
      <c r="C69" s="3612" t="s">
        <v>4046</v>
      </c>
      <c r="D69" s="3612" t="s">
        <v>3901</v>
      </c>
      <c r="E69" s="3612" t="s">
        <v>3935</v>
      </c>
      <c r="F69" s="3612" t="s">
        <v>3368</v>
      </c>
      <c r="G69" s="3612" t="s">
        <v>4042</v>
      </c>
      <c r="H69" s="3612"/>
      <c r="I69" s="3612">
        <v>820.06</v>
      </c>
      <c r="J69" s="3612">
        <v>820.06</v>
      </c>
      <c r="K69" s="3612"/>
      <c r="L69" s="3612">
        <v>3005</v>
      </c>
      <c r="M69" s="3612">
        <v>36644</v>
      </c>
      <c r="N69" s="3612">
        <v>36644</v>
      </c>
      <c r="O69" s="3612" t="s">
        <v>4020</v>
      </c>
      <c r="P69" s="3613">
        <v>44526</v>
      </c>
      <c r="Q69" s="3612" t="s">
        <v>4047</v>
      </c>
      <c r="R69" s="3612" t="s">
        <v>4048</v>
      </c>
      <c r="S69" s="3612">
        <v>3270.47865</v>
      </c>
      <c r="T69" s="3612">
        <v>39881</v>
      </c>
      <c r="U69" s="3612"/>
      <c r="V69" s="3614">
        <v>0.92</v>
      </c>
      <c r="W69" s="3612" t="s">
        <v>3933</v>
      </c>
    </row>
    <row r="70" spans="1:23" s="3618" customFormat="1" ht="24">
      <c r="A70" s="3615">
        <v>65</v>
      </c>
      <c r="B70" s="3615" t="s">
        <v>4049</v>
      </c>
      <c r="C70" s="3615" t="s">
        <v>4050</v>
      </c>
      <c r="D70" s="3615" t="s">
        <v>3893</v>
      </c>
      <c r="E70" s="3615" t="s">
        <v>4051</v>
      </c>
      <c r="F70" s="3615" t="s">
        <v>4052</v>
      </c>
      <c r="G70" s="3615" t="s">
        <v>4053</v>
      </c>
      <c r="H70" s="3615"/>
      <c r="I70" s="3615">
        <v>27481.15</v>
      </c>
      <c r="J70" s="3615">
        <v>25176.93</v>
      </c>
      <c r="K70" s="3615">
        <v>2304.2199999999998</v>
      </c>
      <c r="L70" s="3615">
        <v>102812</v>
      </c>
      <c r="M70" s="3615">
        <v>37412</v>
      </c>
      <c r="N70" s="3615">
        <v>40836</v>
      </c>
      <c r="O70" s="3615" t="s">
        <v>43</v>
      </c>
      <c r="P70" s="3616">
        <v>44531</v>
      </c>
      <c r="Q70" s="3615" t="s">
        <v>4054</v>
      </c>
      <c r="R70" s="3615" t="s">
        <v>3907</v>
      </c>
      <c r="S70" s="3615"/>
      <c r="T70" s="3615"/>
      <c r="U70" s="3615"/>
      <c r="V70" s="3617"/>
      <c r="W70" s="3615"/>
    </row>
    <row r="71" spans="1:23" ht="24">
      <c r="A71" s="3612">
        <v>66</v>
      </c>
      <c r="B71" s="3612" t="s">
        <v>4275</v>
      </c>
      <c r="C71" s="3612" t="s">
        <v>4276</v>
      </c>
      <c r="D71" s="3612" t="s">
        <v>3926</v>
      </c>
      <c r="E71" s="3612" t="s">
        <v>4277</v>
      </c>
      <c r="F71" s="3612" t="s">
        <v>4020</v>
      </c>
      <c r="G71" s="3612" t="s">
        <v>673</v>
      </c>
      <c r="H71" s="3612"/>
      <c r="I71" s="3612">
        <v>110.2</v>
      </c>
      <c r="J71" s="3612">
        <v>110.2</v>
      </c>
      <c r="K71" s="3612"/>
      <c r="L71" s="3612">
        <v>819.49800000000005</v>
      </c>
      <c r="M71" s="3612">
        <v>74365</v>
      </c>
      <c r="N71" s="3612">
        <v>74365</v>
      </c>
      <c r="O71" s="3612"/>
      <c r="P71" s="3613">
        <v>44540</v>
      </c>
      <c r="Q71" s="3612" t="s">
        <v>4278</v>
      </c>
      <c r="R71" s="3612" t="s">
        <v>4164</v>
      </c>
      <c r="S71" s="3612">
        <v>694.14</v>
      </c>
      <c r="T71" s="3612">
        <v>62989</v>
      </c>
      <c r="U71" s="3612"/>
      <c r="V71" s="3614">
        <v>1.18</v>
      </c>
      <c r="W71" s="3612" t="s">
        <v>3933</v>
      </c>
    </row>
    <row r="72" spans="1:23" ht="48">
      <c r="A72" s="3609">
        <v>67</v>
      </c>
      <c r="B72" s="3609" t="s">
        <v>4279</v>
      </c>
      <c r="C72" s="3609" t="s">
        <v>4280</v>
      </c>
      <c r="D72" s="3609" t="s">
        <v>3901</v>
      </c>
      <c r="E72" s="3609" t="s">
        <v>4281</v>
      </c>
      <c r="F72" s="3609" t="s">
        <v>4282</v>
      </c>
      <c r="G72" s="3609" t="s">
        <v>4283</v>
      </c>
      <c r="H72" s="3609"/>
      <c r="I72" s="3609">
        <v>11235.4</v>
      </c>
      <c r="J72" s="3609">
        <v>11235.4</v>
      </c>
      <c r="K72" s="3609"/>
      <c r="L72" s="3609">
        <v>42694.52</v>
      </c>
      <c r="M72" s="3609">
        <v>38000</v>
      </c>
      <c r="N72" s="3609">
        <v>38000</v>
      </c>
      <c r="O72" s="3609" t="s">
        <v>4284</v>
      </c>
      <c r="P72" s="3610">
        <v>44531</v>
      </c>
      <c r="Q72" s="3609" t="s">
        <v>4285</v>
      </c>
      <c r="R72" s="3609" t="s">
        <v>4286</v>
      </c>
      <c r="S72" s="3609"/>
      <c r="T72" s="3609">
        <v>0</v>
      </c>
      <c r="U72" s="3609"/>
      <c r="V72" s="3611" t="e">
        <v>#DIV/0!</v>
      </c>
      <c r="W72" s="3609"/>
    </row>
    <row r="73" spans="1:23" ht="24">
      <c r="A73" s="3612">
        <v>68</v>
      </c>
      <c r="B73" s="3612" t="s">
        <v>4287</v>
      </c>
      <c r="C73" s="3612" t="s">
        <v>4288</v>
      </c>
      <c r="D73" s="3612" t="s">
        <v>3893</v>
      </c>
      <c r="E73" s="3612" t="s">
        <v>3894</v>
      </c>
      <c r="F73" s="3612" t="s">
        <v>4052</v>
      </c>
      <c r="G73" s="3612" t="s">
        <v>673</v>
      </c>
      <c r="H73" s="3612"/>
      <c r="I73" s="3612">
        <v>3593.38</v>
      </c>
      <c r="J73" s="3612">
        <v>2926.37</v>
      </c>
      <c r="K73" s="3612">
        <v>667.01</v>
      </c>
      <c r="L73" s="3612">
        <v>29859</v>
      </c>
      <c r="M73" s="3612">
        <v>83094</v>
      </c>
      <c r="N73" s="3612">
        <v>102034</v>
      </c>
      <c r="O73" s="3612" t="s">
        <v>4289</v>
      </c>
      <c r="P73" s="3613">
        <v>43983</v>
      </c>
      <c r="Q73" s="3612" t="s">
        <v>4290</v>
      </c>
      <c r="R73" s="3612" t="s">
        <v>3917</v>
      </c>
      <c r="S73" s="3612"/>
      <c r="T73" s="3612">
        <v>0</v>
      </c>
      <c r="U73" s="3612"/>
      <c r="V73" s="3614" t="e">
        <v>#DIV/0!</v>
      </c>
      <c r="W73" s="3612"/>
    </row>
    <row r="74" spans="1:23" ht="24">
      <c r="A74" s="3609">
        <v>69</v>
      </c>
      <c r="B74" s="3609" t="s">
        <v>4291</v>
      </c>
      <c r="C74" s="3609" t="s">
        <v>4288</v>
      </c>
      <c r="D74" s="3609" t="s">
        <v>3893</v>
      </c>
      <c r="E74" s="3609" t="s">
        <v>3894</v>
      </c>
      <c r="F74" s="3609" t="s">
        <v>4052</v>
      </c>
      <c r="G74" s="3609" t="s">
        <v>673</v>
      </c>
      <c r="H74" s="3609"/>
      <c r="I74" s="3609">
        <v>3507.36</v>
      </c>
      <c r="J74" s="3609">
        <v>2174.94</v>
      </c>
      <c r="K74" s="3609">
        <v>1332.42</v>
      </c>
      <c r="L74" s="3609">
        <v>29700</v>
      </c>
      <c r="M74" s="3609">
        <v>84679</v>
      </c>
      <c r="N74" s="3609">
        <v>136555</v>
      </c>
      <c r="O74" s="3609" t="s">
        <v>43</v>
      </c>
      <c r="P74" s="3610">
        <v>44378</v>
      </c>
      <c r="Q74" s="3609" t="s">
        <v>4290</v>
      </c>
      <c r="R74" s="3609" t="s">
        <v>3917</v>
      </c>
      <c r="S74" s="3609"/>
      <c r="T74" s="3609">
        <v>0</v>
      </c>
      <c r="U74" s="3609"/>
      <c r="V74" s="3611" t="e">
        <v>#DIV/0!</v>
      </c>
      <c r="W74" s="3609"/>
    </row>
    <row r="75" spans="1:23" ht="24">
      <c r="A75" s="3612">
        <v>70</v>
      </c>
      <c r="B75" s="3612" t="s">
        <v>4292</v>
      </c>
      <c r="C75" s="3612" t="s">
        <v>4288</v>
      </c>
      <c r="D75" s="3612" t="s">
        <v>3893</v>
      </c>
      <c r="E75" s="3612" t="s">
        <v>3894</v>
      </c>
      <c r="F75" s="3612" t="s">
        <v>4052</v>
      </c>
      <c r="G75" s="3612" t="s">
        <v>673</v>
      </c>
      <c r="H75" s="3612"/>
      <c r="I75" s="3612">
        <v>3514.04</v>
      </c>
      <c r="J75" s="3612">
        <v>2220.6</v>
      </c>
      <c r="K75" s="3612">
        <v>1293.44</v>
      </c>
      <c r="L75" s="3612">
        <v>31019</v>
      </c>
      <c r="M75" s="3612">
        <v>88272</v>
      </c>
      <c r="N75" s="3612">
        <v>139687</v>
      </c>
      <c r="O75" s="3612" t="s">
        <v>43</v>
      </c>
      <c r="P75" s="3613">
        <v>44440</v>
      </c>
      <c r="Q75" s="3612" t="s">
        <v>4290</v>
      </c>
      <c r="R75" s="3612" t="s">
        <v>3917</v>
      </c>
      <c r="S75" s="3612"/>
      <c r="T75" s="3612">
        <v>0</v>
      </c>
      <c r="U75" s="3612"/>
      <c r="V75" s="3614" t="e">
        <v>#DIV/0!</v>
      </c>
      <c r="W75" s="3612"/>
    </row>
    <row r="76" spans="1:23" s="3622" customFormat="1" ht="24">
      <c r="A76" s="3623">
        <v>71</v>
      </c>
      <c r="B76" s="3623" t="s">
        <v>4293</v>
      </c>
      <c r="C76" s="3623" t="s">
        <v>4294</v>
      </c>
      <c r="D76" s="3623" t="s">
        <v>3926</v>
      </c>
      <c r="E76" s="3623" t="s">
        <v>4076</v>
      </c>
      <c r="F76" s="3623" t="s">
        <v>4295</v>
      </c>
      <c r="G76" s="3623" t="s">
        <v>673</v>
      </c>
      <c r="H76" s="3623"/>
      <c r="I76" s="3623">
        <v>7405.99</v>
      </c>
      <c r="J76" s="3623">
        <v>5665.98</v>
      </c>
      <c r="K76" s="3623">
        <v>1740.01</v>
      </c>
      <c r="L76" s="3623">
        <v>36838</v>
      </c>
      <c r="M76" s="3623">
        <v>49741</v>
      </c>
      <c r="N76" s="3623">
        <v>65016</v>
      </c>
      <c r="O76" s="3623" t="s">
        <v>43</v>
      </c>
      <c r="P76" s="3624">
        <v>44559</v>
      </c>
      <c r="Q76" s="3623" t="s">
        <v>4296</v>
      </c>
      <c r="R76" s="3623" t="s">
        <v>3932</v>
      </c>
      <c r="S76" s="3623"/>
      <c r="T76" s="3623">
        <v>0</v>
      </c>
      <c r="U76" s="3623"/>
      <c r="V76" s="3625" t="e">
        <v>#DIV/0!</v>
      </c>
      <c r="W76" s="3623"/>
    </row>
    <row r="77" spans="1:23" hidden="1">
      <c r="A77" s="3612">
        <v>72</v>
      </c>
      <c r="B77" s="3612" t="s">
        <v>4297</v>
      </c>
      <c r="C77" s="3612" t="s">
        <v>4298</v>
      </c>
      <c r="D77" s="3612" t="s">
        <v>4185</v>
      </c>
      <c r="E77" s="3612" t="s">
        <v>4299</v>
      </c>
      <c r="F77" s="3612" t="s">
        <v>4300</v>
      </c>
      <c r="G77" s="3612" t="s">
        <v>673</v>
      </c>
      <c r="H77" s="3612"/>
      <c r="I77" s="3612">
        <v>2419.02</v>
      </c>
      <c r="J77" s="3612">
        <v>2419.02</v>
      </c>
      <c r="K77" s="3612"/>
      <c r="L77" s="3612">
        <v>12202</v>
      </c>
      <c r="M77" s="3612">
        <v>50441</v>
      </c>
      <c r="N77" s="3612">
        <v>50441</v>
      </c>
      <c r="O77" s="3612" t="s">
        <v>43</v>
      </c>
      <c r="P77" s="3613">
        <v>44558</v>
      </c>
      <c r="Q77" s="3612" t="s">
        <v>4301</v>
      </c>
      <c r="R77" s="3612" t="s">
        <v>3898</v>
      </c>
      <c r="S77" s="3612"/>
      <c r="T77" s="3612">
        <v>0</v>
      </c>
      <c r="U77" s="3612"/>
      <c r="V77" s="3614" t="e">
        <v>#DIV/0!</v>
      </c>
      <c r="W77" s="3612"/>
    </row>
    <row r="78" spans="1:23" hidden="1">
      <c r="A78" s="3609">
        <v>73</v>
      </c>
      <c r="B78" s="3609" t="s">
        <v>4302</v>
      </c>
      <c r="C78" s="3609" t="s">
        <v>4298</v>
      </c>
      <c r="D78" s="3609" t="s">
        <v>4185</v>
      </c>
      <c r="E78" s="3609" t="s">
        <v>4299</v>
      </c>
      <c r="F78" s="3609" t="s">
        <v>4300</v>
      </c>
      <c r="G78" s="3609" t="s">
        <v>4042</v>
      </c>
      <c r="H78" s="3609"/>
      <c r="I78" s="3609">
        <v>15496.31</v>
      </c>
      <c r="J78" s="3609">
        <v>15496.31</v>
      </c>
      <c r="K78" s="3609"/>
      <c r="L78" s="3609">
        <v>32385</v>
      </c>
      <c r="M78" s="3609">
        <v>20900</v>
      </c>
      <c r="N78" s="3609">
        <v>20900</v>
      </c>
      <c r="O78" s="3609" t="s">
        <v>43</v>
      </c>
      <c r="P78" s="3610">
        <v>44559</v>
      </c>
      <c r="Q78" s="3609" t="s">
        <v>4303</v>
      </c>
      <c r="R78" s="3609" t="s">
        <v>3898</v>
      </c>
      <c r="S78" s="3609"/>
      <c r="T78" s="3609">
        <v>0</v>
      </c>
      <c r="U78" s="3609"/>
      <c r="V78" s="3611" t="e">
        <v>#DIV/0!</v>
      </c>
      <c r="W78" s="3609"/>
    </row>
    <row r="79" spans="1:23" ht="24" hidden="1">
      <c r="A79" s="3612">
        <v>74</v>
      </c>
      <c r="B79" s="3612" t="s">
        <v>4304</v>
      </c>
      <c r="C79" s="3612" t="s">
        <v>4184</v>
      </c>
      <c r="D79" s="3612" t="s">
        <v>4185</v>
      </c>
      <c r="E79" s="3612" t="s">
        <v>4185</v>
      </c>
      <c r="F79" s="3612" t="s">
        <v>4186</v>
      </c>
      <c r="G79" s="3612" t="s">
        <v>21</v>
      </c>
      <c r="H79" s="3612"/>
      <c r="I79" s="3612">
        <v>3567.49</v>
      </c>
      <c r="J79" s="3612">
        <v>2733.55</v>
      </c>
      <c r="K79" s="3612">
        <v>833.94</v>
      </c>
      <c r="L79" s="3612">
        <v>13553</v>
      </c>
      <c r="M79" s="3612">
        <v>37990</v>
      </c>
      <c r="N79" s="3612">
        <v>49580</v>
      </c>
      <c r="O79" s="3612" t="s">
        <v>43</v>
      </c>
      <c r="P79" s="3613">
        <v>44560</v>
      </c>
      <c r="Q79" s="3612" t="s">
        <v>4305</v>
      </c>
      <c r="R79" s="3612" t="s">
        <v>3917</v>
      </c>
      <c r="S79" s="3612"/>
      <c r="T79" s="3612"/>
      <c r="U79" s="3612"/>
      <c r="V79" s="3614"/>
      <c r="W79" s="3612"/>
    </row>
    <row r="80" spans="1:23" ht="96" hidden="1">
      <c r="A80" s="3609">
        <v>75</v>
      </c>
      <c r="B80" s="3609" t="s">
        <v>4306</v>
      </c>
      <c r="C80" s="3609" t="s">
        <v>4307</v>
      </c>
      <c r="D80" s="3609" t="s">
        <v>4198</v>
      </c>
      <c r="E80" s="3609" t="s">
        <v>4198</v>
      </c>
      <c r="F80" s="3609" t="s">
        <v>4308</v>
      </c>
      <c r="G80" s="3609" t="s">
        <v>673</v>
      </c>
      <c r="H80" s="3609"/>
      <c r="I80" s="3609">
        <v>37002.480000000003</v>
      </c>
      <c r="J80" s="3609"/>
      <c r="K80" s="3609"/>
      <c r="L80" s="3609">
        <v>65500</v>
      </c>
      <c r="M80" s="3609">
        <v>17702</v>
      </c>
      <c r="N80" s="3609" t="e">
        <v>#DIV/0!</v>
      </c>
      <c r="O80" s="3609" t="s">
        <v>4309</v>
      </c>
      <c r="P80" s="3610" t="s">
        <v>3938</v>
      </c>
      <c r="Q80" s="3609" t="s">
        <v>4310</v>
      </c>
      <c r="R80" s="3609" t="s">
        <v>4029</v>
      </c>
      <c r="S80" s="3609"/>
      <c r="T80" s="3609" t="e">
        <v>#DIV/0!</v>
      </c>
      <c r="U80" s="3609" t="s">
        <v>4311</v>
      </c>
      <c r="V80" s="3611" t="e">
        <v>#DIV/0!</v>
      </c>
      <c r="W80" s="3609"/>
    </row>
    <row r="81" spans="1:23" ht="24" hidden="1">
      <c r="A81" s="3612">
        <v>76</v>
      </c>
      <c r="B81" s="3612" t="s">
        <v>4312</v>
      </c>
      <c r="C81" s="3612" t="s">
        <v>4313</v>
      </c>
      <c r="D81" s="3612" t="s">
        <v>3926</v>
      </c>
      <c r="E81" s="3612" t="s">
        <v>3926</v>
      </c>
      <c r="F81" s="3612" t="s">
        <v>4020</v>
      </c>
      <c r="G81" s="3612" t="s">
        <v>673</v>
      </c>
      <c r="H81" s="3612"/>
      <c r="I81" s="3612">
        <v>269.43</v>
      </c>
      <c r="J81" s="3612">
        <v>269.43</v>
      </c>
      <c r="K81" s="3612"/>
      <c r="L81" s="3612">
        <v>601.20000000000005</v>
      </c>
      <c r="M81" s="3612">
        <v>22314</v>
      </c>
      <c r="N81" s="3612">
        <v>22314</v>
      </c>
      <c r="O81" s="3612" t="s">
        <v>43</v>
      </c>
      <c r="P81" s="3613">
        <v>44567</v>
      </c>
      <c r="Q81" s="3612" t="s">
        <v>4314</v>
      </c>
      <c r="R81" s="3612" t="s">
        <v>3940</v>
      </c>
      <c r="S81" s="3612">
        <v>575.98</v>
      </c>
      <c r="T81" s="3612">
        <v>21378</v>
      </c>
      <c r="U81" s="3612"/>
      <c r="V81" s="3614">
        <v>1.04</v>
      </c>
      <c r="W81" s="3612" t="s">
        <v>3933</v>
      </c>
    </row>
    <row r="82" spans="1:23" ht="60" hidden="1">
      <c r="A82" s="3609">
        <v>77</v>
      </c>
      <c r="B82" s="3609" t="s">
        <v>4315</v>
      </c>
      <c r="C82" s="3609" t="s">
        <v>4316</v>
      </c>
      <c r="D82" s="3609" t="s">
        <v>3910</v>
      </c>
      <c r="E82" s="3609" t="s">
        <v>3911</v>
      </c>
      <c r="F82" s="3609" t="s">
        <v>4317</v>
      </c>
      <c r="G82" s="3609" t="s">
        <v>673</v>
      </c>
      <c r="H82" s="3609"/>
      <c r="I82" s="3609">
        <v>17264.64</v>
      </c>
      <c r="J82" s="3609">
        <v>5970.8</v>
      </c>
      <c r="K82" s="3609">
        <v>11293.84</v>
      </c>
      <c r="L82" s="3609">
        <v>16296</v>
      </c>
      <c r="M82" s="3609">
        <v>9439</v>
      </c>
      <c r="N82" s="3609">
        <v>27293</v>
      </c>
      <c r="O82" s="3609" t="s">
        <v>4318</v>
      </c>
      <c r="P82" s="3610">
        <v>44572</v>
      </c>
      <c r="Q82" s="3609" t="s">
        <v>4319</v>
      </c>
      <c r="R82" s="3609" t="s">
        <v>4241</v>
      </c>
      <c r="S82" s="3609">
        <v>29091.41</v>
      </c>
      <c r="T82" s="3609">
        <v>48723</v>
      </c>
      <c r="U82" s="3609"/>
      <c r="V82" s="3611">
        <v>0.56000000000000005</v>
      </c>
      <c r="W82" s="3609" t="s">
        <v>3933</v>
      </c>
    </row>
    <row r="83" spans="1:23" s="3640" customFormat="1" ht="72">
      <c r="A83" s="3637">
        <v>78</v>
      </c>
      <c r="B83" s="3637" t="s">
        <v>4457</v>
      </c>
      <c r="C83" s="3637" t="s">
        <v>4055</v>
      </c>
      <c r="D83" s="3637" t="s">
        <v>3926</v>
      </c>
      <c r="E83" s="3637" t="s">
        <v>4056</v>
      </c>
      <c r="F83" s="3637" t="s">
        <v>4057</v>
      </c>
      <c r="G83" s="3637" t="s">
        <v>4042</v>
      </c>
      <c r="H83" s="3637">
        <v>10142.94</v>
      </c>
      <c r="I83" s="3637">
        <v>39145.39</v>
      </c>
      <c r="J83" s="3637">
        <v>33000</v>
      </c>
      <c r="K83" s="3637"/>
      <c r="L83" s="3637">
        <v>250000</v>
      </c>
      <c r="M83" s="3637">
        <v>63864</v>
      </c>
      <c r="N83" s="3637">
        <v>75758</v>
      </c>
      <c r="O83" s="3637" t="s">
        <v>4058</v>
      </c>
      <c r="P83" s="3638" t="s">
        <v>4059</v>
      </c>
      <c r="Q83" s="3637" t="s">
        <v>4060</v>
      </c>
      <c r="R83" s="3637" t="s">
        <v>4061</v>
      </c>
      <c r="S83" s="3637"/>
      <c r="T83" s="3637"/>
      <c r="U83" s="3637" t="s">
        <v>4062</v>
      </c>
      <c r="V83" s="3639"/>
      <c r="W83" s="3637"/>
    </row>
    <row r="84" spans="1:23" ht="72" hidden="1">
      <c r="A84" s="3609">
        <v>79</v>
      </c>
      <c r="B84" s="3609" t="s">
        <v>4063</v>
      </c>
      <c r="C84" s="3609" t="s">
        <v>4064</v>
      </c>
      <c r="D84" s="3609" t="s">
        <v>3893</v>
      </c>
      <c r="E84" s="3609" t="s">
        <v>4065</v>
      </c>
      <c r="F84" s="3609" t="s">
        <v>4066</v>
      </c>
      <c r="G84" s="3609" t="s">
        <v>4067</v>
      </c>
      <c r="H84" s="3609">
        <v>7078.77</v>
      </c>
      <c r="I84" s="3609">
        <v>48597.599999999999</v>
      </c>
      <c r="J84" s="3609">
        <v>41927.449999999997</v>
      </c>
      <c r="K84" s="3609">
        <v>6670.15</v>
      </c>
      <c r="L84" s="3609">
        <v>76978.570000000007</v>
      </c>
      <c r="M84" s="3609">
        <v>15840</v>
      </c>
      <c r="N84" s="3609">
        <v>18360</v>
      </c>
      <c r="O84" s="3609" t="s">
        <v>43</v>
      </c>
      <c r="P84" s="3610">
        <v>44286</v>
      </c>
      <c r="Q84" s="3609" t="s">
        <v>4320</v>
      </c>
      <c r="R84" s="3609" t="s">
        <v>43</v>
      </c>
      <c r="S84" s="3609">
        <v>91230.68</v>
      </c>
      <c r="T84" s="3609">
        <v>21759</v>
      </c>
      <c r="U84" s="3609"/>
      <c r="V84" s="3611">
        <v>0.84</v>
      </c>
      <c r="W84" s="3609" t="s">
        <v>3933</v>
      </c>
    </row>
    <row r="85" spans="1:23" ht="48">
      <c r="A85" s="3612">
        <v>80</v>
      </c>
      <c r="B85" s="3612" t="s">
        <v>4321</v>
      </c>
      <c r="C85" s="3612" t="s">
        <v>4322</v>
      </c>
      <c r="D85" s="3612" t="s">
        <v>4075</v>
      </c>
      <c r="E85" s="3612" t="s">
        <v>4323</v>
      </c>
      <c r="F85" s="3612" t="s">
        <v>4324</v>
      </c>
      <c r="G85" s="3612" t="s">
        <v>673</v>
      </c>
      <c r="H85" s="3612"/>
      <c r="I85" s="3612">
        <v>365.83</v>
      </c>
      <c r="J85" s="3612">
        <v>365.83</v>
      </c>
      <c r="K85" s="3612"/>
      <c r="L85" s="3612">
        <v>2603.1</v>
      </c>
      <c r="M85" s="3612">
        <v>71156</v>
      </c>
      <c r="N85" s="3612">
        <v>71156</v>
      </c>
      <c r="O85" s="3612" t="s">
        <v>43</v>
      </c>
      <c r="P85" s="3613">
        <v>43980</v>
      </c>
      <c r="Q85" s="3612" t="s">
        <v>4325</v>
      </c>
      <c r="R85" s="3612" t="s">
        <v>4326</v>
      </c>
      <c r="S85" s="3612"/>
      <c r="T85" s="3612">
        <v>0</v>
      </c>
      <c r="U85" s="3612"/>
      <c r="V85" s="3614" t="e">
        <v>#DIV/0!</v>
      </c>
      <c r="W85" s="3612"/>
    </row>
    <row r="86" spans="1:23" ht="48" hidden="1">
      <c r="A86" s="3609"/>
      <c r="B86" s="3609"/>
      <c r="C86" s="3609"/>
      <c r="D86" s="3609"/>
      <c r="E86" s="3609"/>
      <c r="F86" s="3609"/>
      <c r="G86" s="3609"/>
      <c r="H86" s="3609"/>
      <c r="I86" s="3609"/>
      <c r="J86" s="3609"/>
      <c r="K86" s="3609"/>
      <c r="L86" s="3609"/>
      <c r="M86" s="3609"/>
      <c r="N86" s="3609"/>
      <c r="O86" s="3609"/>
      <c r="P86" s="3610"/>
      <c r="Q86" s="3609" t="s">
        <v>4327</v>
      </c>
      <c r="R86" s="3609"/>
      <c r="S86" s="3609"/>
      <c r="T86" s="3609"/>
      <c r="U86" s="3609"/>
      <c r="V86" s="3611"/>
      <c r="W86" s="3609"/>
    </row>
    <row r="87" spans="1:23" ht="36" hidden="1">
      <c r="A87" s="3612">
        <v>81</v>
      </c>
      <c r="B87" s="3612" t="s">
        <v>4328</v>
      </c>
      <c r="C87" s="3612" t="s">
        <v>4329</v>
      </c>
      <c r="D87" s="3612" t="s">
        <v>4330</v>
      </c>
      <c r="E87" s="3612" t="s">
        <v>4331</v>
      </c>
      <c r="F87" s="3612" t="s">
        <v>4332</v>
      </c>
      <c r="G87" s="3612" t="s">
        <v>3</v>
      </c>
      <c r="H87" s="3612">
        <v>12403.2</v>
      </c>
      <c r="I87" s="3612">
        <v>8602.56</v>
      </c>
      <c r="J87" s="3612">
        <v>8602.56</v>
      </c>
      <c r="K87" s="3612"/>
      <c r="L87" s="3612">
        <v>3409.424</v>
      </c>
      <c r="M87" s="3612">
        <v>3963</v>
      </c>
      <c r="N87" s="3612">
        <v>3963</v>
      </c>
      <c r="O87" s="3612" t="s">
        <v>4333</v>
      </c>
      <c r="P87" s="3613">
        <v>43837</v>
      </c>
      <c r="Q87" s="3612" t="s">
        <v>4334</v>
      </c>
      <c r="R87" s="3612" t="s">
        <v>3932</v>
      </c>
      <c r="S87" s="3612">
        <v>4261.78</v>
      </c>
      <c r="T87" s="3612">
        <v>4954</v>
      </c>
      <c r="U87" s="3612"/>
      <c r="V87" s="3614">
        <v>0.8</v>
      </c>
      <c r="W87" s="3612" t="s">
        <v>3933</v>
      </c>
    </row>
    <row r="88" spans="1:23" ht="36" hidden="1">
      <c r="A88" s="3609">
        <v>82</v>
      </c>
      <c r="B88" s="3609" t="s">
        <v>4335</v>
      </c>
      <c r="C88" s="3609" t="s">
        <v>4336</v>
      </c>
      <c r="D88" s="3609" t="s">
        <v>4173</v>
      </c>
      <c r="E88" s="3609" t="s">
        <v>4337</v>
      </c>
      <c r="F88" s="3609" t="s">
        <v>4338</v>
      </c>
      <c r="G88" s="3609" t="s">
        <v>3</v>
      </c>
      <c r="H88" s="3609">
        <v>6621.48</v>
      </c>
      <c r="I88" s="3609">
        <v>5935.8</v>
      </c>
      <c r="J88" s="3609">
        <v>5935.8</v>
      </c>
      <c r="K88" s="3609"/>
      <c r="L88" s="3609">
        <v>3411</v>
      </c>
      <c r="M88" s="3609">
        <v>5746</v>
      </c>
      <c r="N88" s="3609">
        <v>5746</v>
      </c>
      <c r="O88" s="3609" t="s">
        <v>4339</v>
      </c>
      <c r="P88" s="3610">
        <v>43977</v>
      </c>
      <c r="Q88" s="3609" t="s">
        <v>4340</v>
      </c>
      <c r="R88" s="3609" t="s">
        <v>4016</v>
      </c>
      <c r="S88" s="3609">
        <v>4263</v>
      </c>
      <c r="T88" s="3609">
        <v>7182</v>
      </c>
      <c r="U88" s="3609"/>
      <c r="V88" s="3611">
        <v>0.8</v>
      </c>
      <c r="W88" s="3609" t="s">
        <v>3933</v>
      </c>
    </row>
    <row r="89" spans="1:23" ht="36" hidden="1">
      <c r="A89" s="3612">
        <v>83</v>
      </c>
      <c r="B89" s="3612" t="s">
        <v>4341</v>
      </c>
      <c r="C89" s="3612" t="s">
        <v>4341</v>
      </c>
      <c r="D89" s="3612" t="s">
        <v>4185</v>
      </c>
      <c r="E89" s="3612" t="s">
        <v>4267</v>
      </c>
      <c r="F89" s="3612" t="s">
        <v>4342</v>
      </c>
      <c r="G89" s="3612" t="s">
        <v>3</v>
      </c>
      <c r="H89" s="3612">
        <v>10214.31</v>
      </c>
      <c r="I89" s="3612">
        <v>1892.11</v>
      </c>
      <c r="J89" s="3612">
        <v>1892.11</v>
      </c>
      <c r="K89" s="3612"/>
      <c r="L89" s="3612">
        <v>4002.4589999999998</v>
      </c>
      <c r="M89" s="3612">
        <v>3918</v>
      </c>
      <c r="N89" s="3612">
        <v>21153</v>
      </c>
      <c r="O89" s="3612" t="s">
        <v>4343</v>
      </c>
      <c r="P89" s="3613">
        <v>44147</v>
      </c>
      <c r="Q89" s="3612" t="s">
        <v>4344</v>
      </c>
      <c r="R89" s="3612" t="s">
        <v>4048</v>
      </c>
      <c r="S89" s="3612">
        <v>2426.37</v>
      </c>
      <c r="T89" s="3612">
        <v>12824</v>
      </c>
      <c r="U89" s="3612"/>
      <c r="V89" s="3614">
        <v>1.65</v>
      </c>
      <c r="W89" s="3612" t="s">
        <v>3933</v>
      </c>
    </row>
    <row r="90" spans="1:23" hidden="1">
      <c r="A90" s="3609"/>
      <c r="B90" s="3609"/>
      <c r="C90" s="3609"/>
      <c r="D90" s="3609"/>
      <c r="E90" s="3609"/>
      <c r="F90" s="3609" t="s">
        <v>4345</v>
      </c>
      <c r="G90" s="3609"/>
      <c r="H90" s="3609"/>
      <c r="I90" s="3609"/>
      <c r="J90" s="3609"/>
      <c r="K90" s="3609"/>
      <c r="L90" s="3609"/>
      <c r="M90" s="3609"/>
      <c r="N90" s="3609"/>
      <c r="O90" s="3609"/>
      <c r="P90" s="3610"/>
      <c r="Q90" s="3609"/>
      <c r="R90" s="3609"/>
      <c r="S90" s="3609"/>
      <c r="T90" s="3609"/>
      <c r="U90" s="3609"/>
      <c r="V90" s="3611"/>
      <c r="W90" s="3609"/>
    </row>
    <row r="91" spans="1:23" ht="48" hidden="1">
      <c r="A91" s="3612">
        <v>84</v>
      </c>
      <c r="B91" s="3612" t="s">
        <v>4346</v>
      </c>
      <c r="C91" s="3612" t="s">
        <v>4347</v>
      </c>
      <c r="D91" s="3612" t="s">
        <v>4185</v>
      </c>
      <c r="E91" s="3612" t="s">
        <v>4267</v>
      </c>
      <c r="F91" s="3612" t="s">
        <v>4348</v>
      </c>
      <c r="G91" s="3612" t="s">
        <v>3</v>
      </c>
      <c r="H91" s="3612">
        <v>14034</v>
      </c>
      <c r="I91" s="3612">
        <v>6998.6</v>
      </c>
      <c r="J91" s="3612">
        <v>6998.6</v>
      </c>
      <c r="K91" s="3612"/>
      <c r="L91" s="3612">
        <v>4204</v>
      </c>
      <c r="M91" s="3612">
        <v>2996</v>
      </c>
      <c r="N91" s="3612">
        <v>6007</v>
      </c>
      <c r="O91" s="3612" t="s">
        <v>4349</v>
      </c>
      <c r="P91" s="3613">
        <v>44171</v>
      </c>
      <c r="Q91" s="3612" t="s">
        <v>4350</v>
      </c>
      <c r="R91" s="3612" t="s">
        <v>4129</v>
      </c>
      <c r="S91" s="3612">
        <v>3034</v>
      </c>
      <c r="T91" s="3612">
        <v>4335</v>
      </c>
      <c r="U91" s="3612"/>
      <c r="V91" s="3614">
        <v>1.39</v>
      </c>
      <c r="W91" s="3612" t="s">
        <v>3933</v>
      </c>
    </row>
    <row r="92" spans="1:23" ht="36" hidden="1">
      <c r="A92" s="3609">
        <v>85</v>
      </c>
      <c r="B92" s="3609" t="s">
        <v>4351</v>
      </c>
      <c r="C92" s="3609" t="s">
        <v>4352</v>
      </c>
      <c r="D92" s="3609" t="s">
        <v>4353</v>
      </c>
      <c r="E92" s="3609" t="s">
        <v>4354</v>
      </c>
      <c r="F92" s="3609" t="s">
        <v>4355</v>
      </c>
      <c r="G92" s="3609" t="s">
        <v>3</v>
      </c>
      <c r="H92" s="3609">
        <v>9999.3700000000008</v>
      </c>
      <c r="I92" s="3609">
        <v>1957.15</v>
      </c>
      <c r="J92" s="3609">
        <v>1957.15</v>
      </c>
      <c r="K92" s="3609"/>
      <c r="L92" s="3609">
        <v>1049</v>
      </c>
      <c r="M92" s="3609">
        <v>1049</v>
      </c>
      <c r="N92" s="3609">
        <v>5360</v>
      </c>
      <c r="O92" s="3609" t="s">
        <v>4356</v>
      </c>
      <c r="P92" s="3610">
        <v>44211</v>
      </c>
      <c r="Q92" s="3609" t="s">
        <v>4357</v>
      </c>
      <c r="R92" s="3609" t="s">
        <v>4016</v>
      </c>
      <c r="S92" s="3609">
        <v>814.17439999999999</v>
      </c>
      <c r="T92" s="3609">
        <v>4160</v>
      </c>
      <c r="U92" s="3609"/>
      <c r="V92" s="3611">
        <v>1.29</v>
      </c>
      <c r="W92" s="3609" t="s">
        <v>3933</v>
      </c>
    </row>
    <row r="93" spans="1:23" ht="60" hidden="1">
      <c r="A93" s="3612">
        <v>86</v>
      </c>
      <c r="B93" s="3612" t="s">
        <v>4358</v>
      </c>
      <c r="C93" s="3612" t="s">
        <v>4359</v>
      </c>
      <c r="D93" s="3612" t="s">
        <v>3910</v>
      </c>
      <c r="E93" s="3612" t="s">
        <v>3911</v>
      </c>
      <c r="F93" s="3612" t="s">
        <v>4360</v>
      </c>
      <c r="G93" s="3612" t="s">
        <v>3</v>
      </c>
      <c r="H93" s="3612">
        <v>13333.3</v>
      </c>
      <c r="I93" s="3612">
        <v>22954.2</v>
      </c>
      <c r="J93" s="3612">
        <v>22954.2</v>
      </c>
      <c r="K93" s="3612"/>
      <c r="L93" s="3612">
        <v>6010.4170000000004</v>
      </c>
      <c r="M93" s="3612">
        <v>4508</v>
      </c>
      <c r="N93" s="3612">
        <v>2618</v>
      </c>
      <c r="O93" s="3612" t="s">
        <v>4361</v>
      </c>
      <c r="P93" s="3613">
        <v>44551</v>
      </c>
      <c r="Q93" s="3612" t="s">
        <v>4362</v>
      </c>
      <c r="R93" s="3612"/>
      <c r="S93" s="3612">
        <v>4466.3100000000004</v>
      </c>
      <c r="T93" s="3612">
        <v>1946</v>
      </c>
      <c r="U93" s="3612"/>
      <c r="V93" s="3614">
        <v>1.35</v>
      </c>
      <c r="W93" s="3612" t="s">
        <v>3933</v>
      </c>
    </row>
    <row r="94" spans="1:23" ht="60" hidden="1">
      <c r="A94" s="3609">
        <v>87</v>
      </c>
      <c r="B94" s="3609" t="s">
        <v>4363</v>
      </c>
      <c r="C94" s="3609" t="s">
        <v>4364</v>
      </c>
      <c r="D94" s="3609" t="s">
        <v>4365</v>
      </c>
      <c r="E94" s="3609" t="s">
        <v>4366</v>
      </c>
      <c r="F94" s="3609" t="s">
        <v>4367</v>
      </c>
      <c r="G94" s="3609" t="s">
        <v>3</v>
      </c>
      <c r="H94" s="3609">
        <v>8627.5</v>
      </c>
      <c r="I94" s="3609">
        <v>3661.48</v>
      </c>
      <c r="J94" s="3609">
        <v>3661.48</v>
      </c>
      <c r="K94" s="3609"/>
      <c r="L94" s="3609">
        <v>900.90139999999997</v>
      </c>
      <c r="M94" s="3609">
        <v>1044</v>
      </c>
      <c r="N94" s="3609">
        <v>2460</v>
      </c>
      <c r="O94" s="3609" t="s">
        <v>4368</v>
      </c>
      <c r="P94" s="3610">
        <v>44520</v>
      </c>
      <c r="Q94" s="3609" t="s">
        <v>4369</v>
      </c>
      <c r="R94" s="3609" t="s">
        <v>4048</v>
      </c>
      <c r="S94" s="3609">
        <v>1174.28</v>
      </c>
      <c r="T94" s="3609">
        <v>3207</v>
      </c>
      <c r="U94" s="3609"/>
      <c r="V94" s="3611">
        <v>0.77</v>
      </c>
      <c r="W94" s="3609" t="s">
        <v>3933</v>
      </c>
    </row>
    <row r="95" spans="1:23" ht="60" hidden="1">
      <c r="A95" s="3612">
        <v>88</v>
      </c>
      <c r="B95" s="3612" t="s">
        <v>4370</v>
      </c>
      <c r="C95" s="3612" t="s">
        <v>4371</v>
      </c>
      <c r="D95" s="3612" t="s">
        <v>4244</v>
      </c>
      <c r="E95" s="3612" t="s">
        <v>4245</v>
      </c>
      <c r="F95" s="3612" t="s">
        <v>4372</v>
      </c>
      <c r="G95" s="3612" t="s">
        <v>3318</v>
      </c>
      <c r="H95" s="3612">
        <v>16803.8</v>
      </c>
      <c r="I95" s="3612">
        <v>23578.400000000001</v>
      </c>
      <c r="J95" s="3612">
        <v>23578.400000000001</v>
      </c>
      <c r="K95" s="3612"/>
      <c r="L95" s="3612">
        <v>4422.3630000000003</v>
      </c>
      <c r="M95" s="3612">
        <v>2632</v>
      </c>
      <c r="N95" s="3612">
        <v>1876</v>
      </c>
      <c r="O95" s="3612" t="s">
        <v>4373</v>
      </c>
      <c r="P95" s="3613">
        <v>44425</v>
      </c>
      <c r="Q95" s="3612" t="s">
        <v>4374</v>
      </c>
      <c r="R95" s="3612"/>
      <c r="S95" s="3612">
        <v>4269.09</v>
      </c>
      <c r="T95" s="3612">
        <v>1811</v>
      </c>
      <c r="U95" s="3612"/>
      <c r="V95" s="3614">
        <v>1.04</v>
      </c>
      <c r="W95" s="3612" t="s">
        <v>3933</v>
      </c>
    </row>
    <row r="96" spans="1:23" ht="36" hidden="1">
      <c r="A96" s="3609">
        <v>89</v>
      </c>
      <c r="B96" s="3609" t="s">
        <v>4375</v>
      </c>
      <c r="C96" s="3609" t="s">
        <v>4376</v>
      </c>
      <c r="D96" s="3609" t="s">
        <v>3910</v>
      </c>
      <c r="E96" s="3609" t="s">
        <v>3911</v>
      </c>
      <c r="F96" s="3609" t="s">
        <v>43</v>
      </c>
      <c r="G96" s="3609" t="s">
        <v>3</v>
      </c>
      <c r="H96" s="3609">
        <v>13333.2</v>
      </c>
      <c r="I96" s="3609">
        <v>6185.81</v>
      </c>
      <c r="J96" s="3609">
        <v>6185.81</v>
      </c>
      <c r="K96" s="3609"/>
      <c r="L96" s="3609">
        <v>3950</v>
      </c>
      <c r="M96" s="3609">
        <v>6386</v>
      </c>
      <c r="N96" s="3609">
        <v>6386</v>
      </c>
      <c r="O96" s="3609" t="s">
        <v>4020</v>
      </c>
      <c r="P96" s="3610">
        <v>44222</v>
      </c>
      <c r="Q96" s="3609" t="s">
        <v>4377</v>
      </c>
      <c r="R96" s="3609"/>
      <c r="S96" s="3609">
        <v>6000</v>
      </c>
      <c r="T96" s="3609">
        <v>9700</v>
      </c>
      <c r="U96" s="3609"/>
      <c r="V96" s="3611">
        <v>0.66</v>
      </c>
      <c r="W96" s="3609" t="s">
        <v>3933</v>
      </c>
    </row>
    <row r="97" spans="1:23" ht="24" hidden="1">
      <c r="A97" s="3612">
        <v>90</v>
      </c>
      <c r="B97" s="3612" t="s">
        <v>4378</v>
      </c>
      <c r="C97" s="3612" t="s">
        <v>4378</v>
      </c>
      <c r="D97" s="3612" t="s">
        <v>4185</v>
      </c>
      <c r="E97" s="3612" t="s">
        <v>4267</v>
      </c>
      <c r="F97" s="3612"/>
      <c r="G97" s="3612" t="s">
        <v>3</v>
      </c>
      <c r="H97" s="3612">
        <v>13126.62</v>
      </c>
      <c r="I97" s="3612">
        <v>13126.62</v>
      </c>
      <c r="J97" s="3612">
        <v>13126.62</v>
      </c>
      <c r="K97" s="3612"/>
      <c r="L97" s="3612">
        <v>1159.1510000000001</v>
      </c>
      <c r="M97" s="3612">
        <v>883</v>
      </c>
      <c r="N97" s="3612">
        <v>883</v>
      </c>
      <c r="O97" s="3612" t="s">
        <v>4379</v>
      </c>
      <c r="P97" s="3613">
        <v>44119</v>
      </c>
      <c r="Q97" s="3612" t="s">
        <v>4380</v>
      </c>
      <c r="R97" s="3612"/>
      <c r="S97" s="3612">
        <v>1655.93</v>
      </c>
      <c r="T97" s="3612">
        <v>1262</v>
      </c>
      <c r="U97" s="3612"/>
      <c r="V97" s="3614">
        <v>0.7</v>
      </c>
      <c r="W97" s="3612" t="s">
        <v>3933</v>
      </c>
    </row>
    <row r="98" spans="1:23" ht="60" hidden="1">
      <c r="A98" s="3609">
        <v>91</v>
      </c>
      <c r="B98" s="3609" t="s">
        <v>4381</v>
      </c>
      <c r="C98" s="3609" t="s">
        <v>4382</v>
      </c>
      <c r="D98" s="3609" t="s">
        <v>4383</v>
      </c>
      <c r="E98" s="3609" t="s">
        <v>4384</v>
      </c>
      <c r="F98" s="3609" t="s">
        <v>4385</v>
      </c>
      <c r="G98" s="3609" t="s">
        <v>3</v>
      </c>
      <c r="H98" s="3609">
        <v>23887.03</v>
      </c>
      <c r="I98" s="3609">
        <v>31472</v>
      </c>
      <c r="J98" s="3609">
        <v>31472</v>
      </c>
      <c r="K98" s="3609"/>
      <c r="L98" s="3609">
        <v>12054.255999999999</v>
      </c>
      <c r="M98" s="3609">
        <v>3830</v>
      </c>
      <c r="N98" s="3609">
        <v>3830</v>
      </c>
      <c r="O98" s="3609" t="s">
        <v>4386</v>
      </c>
      <c r="P98" s="3610">
        <v>43984</v>
      </c>
      <c r="Q98" s="3609" t="s">
        <v>4387</v>
      </c>
      <c r="R98" s="3609"/>
      <c r="S98" s="3609">
        <v>16525.45</v>
      </c>
      <c r="T98" s="3609">
        <v>5251</v>
      </c>
      <c r="U98" s="3609"/>
      <c r="V98" s="3611">
        <v>0.73</v>
      </c>
      <c r="W98" s="3609" t="s">
        <v>3933</v>
      </c>
    </row>
    <row r="99" spans="1:23" hidden="1">
      <c r="A99" s="3612"/>
      <c r="B99" s="3612"/>
      <c r="C99" s="3612" t="s">
        <v>4388</v>
      </c>
      <c r="D99" s="3612"/>
      <c r="E99" s="3612"/>
      <c r="F99" s="3612"/>
      <c r="G99" s="3612"/>
      <c r="H99" s="3612"/>
      <c r="I99" s="3612"/>
      <c r="J99" s="3612"/>
      <c r="K99" s="3612"/>
      <c r="L99" s="3612"/>
      <c r="M99" s="3612"/>
      <c r="N99" s="3612"/>
      <c r="O99" s="3612"/>
      <c r="P99" s="3613"/>
      <c r="Q99" s="3612"/>
      <c r="R99" s="3612"/>
      <c r="S99" s="3612"/>
      <c r="T99" s="3612"/>
      <c r="U99" s="3612"/>
      <c r="V99" s="3614"/>
      <c r="W99" s="3612"/>
    </row>
    <row r="100" spans="1:23" ht="36" hidden="1">
      <c r="A100" s="3609">
        <v>92</v>
      </c>
      <c r="B100" s="3609" t="s">
        <v>4389</v>
      </c>
      <c r="C100" s="3609" t="s">
        <v>4390</v>
      </c>
      <c r="D100" s="3609" t="s">
        <v>3910</v>
      </c>
      <c r="E100" s="3609" t="s">
        <v>3911</v>
      </c>
      <c r="F100" s="3609" t="s">
        <v>4391</v>
      </c>
      <c r="G100" s="3609" t="s">
        <v>3</v>
      </c>
      <c r="H100" s="3609">
        <v>11107.2</v>
      </c>
      <c r="I100" s="3609">
        <v>5628.86</v>
      </c>
      <c r="J100" s="3609">
        <v>5628.86</v>
      </c>
      <c r="K100" s="3609"/>
      <c r="L100" s="3609">
        <v>2206.6</v>
      </c>
      <c r="M100" s="3609">
        <v>3920</v>
      </c>
      <c r="N100" s="3609">
        <v>3920</v>
      </c>
      <c r="O100" s="3609" t="s">
        <v>4392</v>
      </c>
      <c r="P100" s="3610">
        <v>43865</v>
      </c>
      <c r="Q100" s="3609" t="s">
        <v>4393</v>
      </c>
      <c r="R100" s="3609"/>
      <c r="S100" s="3609">
        <v>2752</v>
      </c>
      <c r="T100" s="3609">
        <v>4889</v>
      </c>
      <c r="U100" s="3609"/>
      <c r="V100" s="3611">
        <v>0.8</v>
      </c>
      <c r="W100" s="3609" t="s">
        <v>3933</v>
      </c>
    </row>
    <row r="101" spans="1:23" hidden="1">
      <c r="A101" s="3612"/>
      <c r="B101" s="3612"/>
      <c r="C101" s="3612"/>
      <c r="D101" s="3612"/>
      <c r="E101" s="3612"/>
      <c r="F101" s="3612" t="s">
        <v>4394</v>
      </c>
      <c r="G101" s="3612"/>
      <c r="H101" s="3612"/>
      <c r="I101" s="3612"/>
      <c r="J101" s="3612"/>
      <c r="K101" s="3612"/>
      <c r="L101" s="3612"/>
      <c r="M101" s="3612"/>
      <c r="N101" s="3612"/>
      <c r="O101" s="3612"/>
      <c r="P101" s="3613"/>
      <c r="Q101" s="3612"/>
      <c r="R101" s="3612"/>
      <c r="S101" s="3612"/>
      <c r="T101" s="3612"/>
      <c r="U101" s="3612"/>
      <c r="V101" s="3614"/>
      <c r="W101" s="3612"/>
    </row>
    <row r="102" spans="1:23" ht="48">
      <c r="A102" s="3609">
        <v>93</v>
      </c>
      <c r="B102" s="3609" t="s">
        <v>4395</v>
      </c>
      <c r="C102" s="3609" t="s">
        <v>4280</v>
      </c>
      <c r="D102" s="3609" t="s">
        <v>3901</v>
      </c>
      <c r="E102" s="3609" t="s">
        <v>4281</v>
      </c>
      <c r="F102" s="3609" t="s">
        <v>4282</v>
      </c>
      <c r="G102" s="3609" t="s">
        <v>4283</v>
      </c>
      <c r="H102" s="3609"/>
      <c r="I102" s="3609">
        <v>11235.4</v>
      </c>
      <c r="J102" s="3609">
        <v>11235.4</v>
      </c>
      <c r="K102" s="3609"/>
      <c r="L102" s="3609">
        <v>43033</v>
      </c>
      <c r="M102" s="3609">
        <v>38301</v>
      </c>
      <c r="N102" s="3609">
        <v>38301</v>
      </c>
      <c r="O102" s="3609" t="s">
        <v>4396</v>
      </c>
      <c r="P102" s="3610">
        <v>44531</v>
      </c>
      <c r="Q102" s="3609" t="s">
        <v>4285</v>
      </c>
      <c r="R102" s="3609" t="s">
        <v>4286</v>
      </c>
      <c r="S102" s="3609"/>
      <c r="T102" s="3609">
        <v>0</v>
      </c>
      <c r="U102" s="3609"/>
      <c r="V102" s="3611" t="e">
        <v>#DIV/0!</v>
      </c>
      <c r="W102" s="3609"/>
    </row>
    <row r="103" spans="1:23" ht="36" hidden="1">
      <c r="A103" s="3612">
        <v>94</v>
      </c>
      <c r="B103" s="3612" t="s">
        <v>4397</v>
      </c>
      <c r="C103" s="3612" t="s">
        <v>4398</v>
      </c>
      <c r="D103" s="3612" t="s">
        <v>4032</v>
      </c>
      <c r="E103" s="3612" t="s">
        <v>4033</v>
      </c>
      <c r="F103" s="3612" t="s">
        <v>4399</v>
      </c>
      <c r="G103" s="3612" t="s">
        <v>4201</v>
      </c>
      <c r="H103" s="3612">
        <v>11500</v>
      </c>
      <c r="I103" s="3612">
        <v>10735.26</v>
      </c>
      <c r="J103" s="3612">
        <v>10735.26</v>
      </c>
      <c r="K103" s="3612"/>
      <c r="L103" s="3612">
        <v>17001.41</v>
      </c>
      <c r="M103" s="3612">
        <v>15837</v>
      </c>
      <c r="N103" s="3612">
        <v>15837</v>
      </c>
      <c r="O103" s="3612" t="s">
        <v>4400</v>
      </c>
      <c r="P103" s="3613">
        <v>44436</v>
      </c>
      <c r="Q103" s="3612" t="s">
        <v>4401</v>
      </c>
      <c r="R103" s="3612" t="s">
        <v>4023</v>
      </c>
      <c r="S103" s="3612">
        <v>10671.41</v>
      </c>
      <c r="T103" s="3612">
        <v>9941</v>
      </c>
      <c r="U103" s="3612"/>
      <c r="V103" s="3614">
        <v>1.59</v>
      </c>
      <c r="W103" s="3612" t="s">
        <v>3933</v>
      </c>
    </row>
    <row r="104" spans="1:23" ht="36" hidden="1">
      <c r="A104" s="3609">
        <v>95</v>
      </c>
      <c r="B104" s="3609" t="s">
        <v>4402</v>
      </c>
      <c r="C104" s="3609" t="s">
        <v>4403</v>
      </c>
      <c r="D104" s="3609" t="s">
        <v>3910</v>
      </c>
      <c r="E104" s="3609" t="s">
        <v>3911</v>
      </c>
      <c r="F104" s="3609" t="s">
        <v>4404</v>
      </c>
      <c r="G104" s="3609" t="s">
        <v>4405</v>
      </c>
      <c r="H104" s="3609"/>
      <c r="I104" s="3609">
        <v>55410</v>
      </c>
      <c r="J104" s="3609">
        <v>55410</v>
      </c>
      <c r="K104" s="3609"/>
      <c r="L104" s="3609">
        <v>50000</v>
      </c>
      <c r="M104" s="3609">
        <v>9024</v>
      </c>
      <c r="N104" s="3609">
        <v>9024</v>
      </c>
      <c r="O104" s="3609" t="s">
        <v>4406</v>
      </c>
      <c r="P104" s="3610">
        <v>44440</v>
      </c>
      <c r="Q104" s="3609" t="s">
        <v>4407</v>
      </c>
      <c r="R104" s="3609" t="s">
        <v>4211</v>
      </c>
      <c r="S104" s="3609"/>
      <c r="T104" s="3609">
        <v>0</v>
      </c>
      <c r="U104" s="3609"/>
      <c r="V104" s="3611" t="e">
        <v>#DIV/0!</v>
      </c>
      <c r="W104" s="3609"/>
    </row>
    <row r="105" spans="1:23" ht="24" hidden="1">
      <c r="A105" s="3612">
        <v>96</v>
      </c>
      <c r="B105" s="3612" t="s">
        <v>4408</v>
      </c>
      <c r="C105" s="3612" t="s">
        <v>4409</v>
      </c>
      <c r="D105" s="3612" t="s">
        <v>4244</v>
      </c>
      <c r="E105" s="3612" t="s">
        <v>4244</v>
      </c>
      <c r="F105" s="3612" t="s">
        <v>4406</v>
      </c>
      <c r="G105" s="3612" t="s">
        <v>4410</v>
      </c>
      <c r="H105" s="3612">
        <v>38515</v>
      </c>
      <c r="I105" s="3612">
        <v>29000</v>
      </c>
      <c r="J105" s="3612">
        <v>29000</v>
      </c>
      <c r="K105" s="3612"/>
      <c r="L105" s="3612">
        <v>15000</v>
      </c>
      <c r="M105" s="3612">
        <v>5172</v>
      </c>
      <c r="N105" s="3612">
        <v>5172</v>
      </c>
      <c r="O105" s="3612" t="s">
        <v>4411</v>
      </c>
      <c r="P105" s="3613">
        <v>44409</v>
      </c>
      <c r="Q105" s="3612" t="s">
        <v>4412</v>
      </c>
      <c r="R105" s="3612"/>
      <c r="S105" s="3612"/>
      <c r="T105" s="3612">
        <v>0</v>
      </c>
      <c r="U105" s="3612"/>
      <c r="V105" s="3614" t="e">
        <v>#DIV/0!</v>
      </c>
      <c r="W105" s="3612"/>
    </row>
    <row r="106" spans="1:23" ht="24" hidden="1">
      <c r="A106" s="3609">
        <v>97</v>
      </c>
      <c r="B106" s="3609" t="s">
        <v>4068</v>
      </c>
      <c r="C106" s="3609" t="s">
        <v>4069</v>
      </c>
      <c r="D106" s="3609" t="s">
        <v>4032</v>
      </c>
      <c r="E106" s="3609" t="s">
        <v>4033</v>
      </c>
      <c r="F106" s="3609" t="s">
        <v>4070</v>
      </c>
      <c r="G106" s="3609" t="s">
        <v>21</v>
      </c>
      <c r="H106" s="3609"/>
      <c r="I106" s="3609">
        <v>73041.88</v>
      </c>
      <c r="J106" s="3609">
        <v>48546.98</v>
      </c>
      <c r="K106" s="3609">
        <v>24494.9</v>
      </c>
      <c r="L106" s="3609">
        <v>183370</v>
      </c>
      <c r="M106" s="3609">
        <v>25105</v>
      </c>
      <c r="N106" s="3609">
        <v>37772</v>
      </c>
      <c r="O106" s="3609" t="s">
        <v>4071</v>
      </c>
      <c r="P106" s="3610">
        <v>44501</v>
      </c>
      <c r="Q106" s="3609" t="s">
        <v>4072</v>
      </c>
      <c r="R106" s="3609"/>
      <c r="S106" s="3609"/>
      <c r="T106" s="3609">
        <v>0</v>
      </c>
      <c r="U106" s="3609"/>
      <c r="V106" s="3611" t="e">
        <v>#DIV/0!</v>
      </c>
      <c r="W106" s="3609"/>
    </row>
    <row r="107" spans="1:23" ht="72">
      <c r="A107" s="3612">
        <v>98</v>
      </c>
      <c r="B107" s="3612" t="s">
        <v>4073</v>
      </c>
      <c r="C107" s="3612" t="s">
        <v>4074</v>
      </c>
      <c r="D107" s="3612" t="s">
        <v>4075</v>
      </c>
      <c r="E107" s="3612" t="s">
        <v>4076</v>
      </c>
      <c r="F107" s="3612" t="s">
        <v>4077</v>
      </c>
      <c r="G107" s="3612" t="s">
        <v>3986</v>
      </c>
      <c r="H107" s="3612"/>
      <c r="I107" s="3612">
        <v>138490</v>
      </c>
      <c r="J107" s="3612">
        <v>104336.17</v>
      </c>
      <c r="K107" s="3612">
        <v>34153.83</v>
      </c>
      <c r="L107" s="3612">
        <v>618571.42859999998</v>
      </c>
      <c r="M107" s="3612">
        <v>44665</v>
      </c>
      <c r="N107" s="3612">
        <v>59286</v>
      </c>
      <c r="O107" s="3612" t="s">
        <v>4078</v>
      </c>
      <c r="P107" s="3613">
        <v>44348</v>
      </c>
      <c r="Q107" s="3612" t="s">
        <v>4079</v>
      </c>
      <c r="R107" s="3612" t="s">
        <v>4023</v>
      </c>
      <c r="S107" s="3612"/>
      <c r="T107" s="3612">
        <v>0</v>
      </c>
      <c r="U107" s="3612" t="s">
        <v>4062</v>
      </c>
      <c r="V107" s="3614" t="e">
        <v>#DIV/0!</v>
      </c>
      <c r="W107" s="3612"/>
    </row>
    <row r="108" spans="1:23" s="3636" customFormat="1" ht="24">
      <c r="A108" s="3633">
        <v>99</v>
      </c>
      <c r="B108" s="3633" t="s">
        <v>4463</v>
      </c>
      <c r="C108" s="3633" t="s">
        <v>4413</v>
      </c>
      <c r="D108" s="3633" t="s">
        <v>3901</v>
      </c>
      <c r="E108" s="3633" t="s">
        <v>3935</v>
      </c>
      <c r="F108" s="3633" t="s">
        <v>43</v>
      </c>
      <c r="G108" s="3633" t="s">
        <v>3371</v>
      </c>
      <c r="H108" s="3633">
        <v>2085.4899999999998</v>
      </c>
      <c r="I108" s="3633">
        <v>15121.75</v>
      </c>
      <c r="J108" s="3633">
        <v>12195.47</v>
      </c>
      <c r="K108" s="3633">
        <v>2926.28</v>
      </c>
      <c r="L108" s="3633">
        <v>60000</v>
      </c>
      <c r="M108" s="3633">
        <v>39678</v>
      </c>
      <c r="N108" s="3633">
        <v>49199</v>
      </c>
      <c r="O108" s="3633" t="s">
        <v>4414</v>
      </c>
      <c r="P108" s="3634">
        <v>44287</v>
      </c>
      <c r="Q108" s="3633" t="s">
        <v>4415</v>
      </c>
      <c r="R108" s="3633"/>
      <c r="S108" s="3633"/>
      <c r="T108" s="3633">
        <v>0</v>
      </c>
      <c r="U108" s="3633"/>
      <c r="V108" s="3635" t="e">
        <v>#DIV/0!</v>
      </c>
      <c r="W108" s="3633"/>
    </row>
    <row r="109" spans="1:23" ht="24">
      <c r="A109" s="3612">
        <v>100</v>
      </c>
      <c r="B109" s="3612" t="s">
        <v>4080</v>
      </c>
      <c r="C109" s="3612" t="s">
        <v>4081</v>
      </c>
      <c r="D109" s="3612" t="s">
        <v>3926</v>
      </c>
      <c r="E109" s="3612" t="s">
        <v>4056</v>
      </c>
      <c r="F109" s="3612" t="s">
        <v>4082</v>
      </c>
      <c r="G109" s="3612" t="s">
        <v>21</v>
      </c>
      <c r="H109" s="3612">
        <v>2699.92</v>
      </c>
      <c r="I109" s="3612">
        <v>11428.07</v>
      </c>
      <c r="J109" s="3612">
        <v>6959.3</v>
      </c>
      <c r="K109" s="3612">
        <v>4468.7700000000004</v>
      </c>
      <c r="L109" s="3612">
        <v>36600</v>
      </c>
      <c r="M109" s="3612">
        <v>32026</v>
      </c>
      <c r="N109" s="3612">
        <v>52591</v>
      </c>
      <c r="O109" s="3612" t="s">
        <v>43</v>
      </c>
      <c r="P109" s="3613">
        <v>44256</v>
      </c>
      <c r="Q109" s="3612" t="s">
        <v>4083</v>
      </c>
      <c r="R109" s="3612"/>
      <c r="S109" s="3612"/>
      <c r="T109" s="3612">
        <v>0</v>
      </c>
      <c r="U109" s="3612"/>
      <c r="V109" s="3614" t="e">
        <v>#DIV/0!</v>
      </c>
      <c r="W109" s="3612"/>
    </row>
    <row r="110" spans="1:23" ht="24">
      <c r="A110" s="3609">
        <v>101</v>
      </c>
      <c r="B110" s="3609" t="s">
        <v>4416</v>
      </c>
      <c r="C110" s="3609" t="s">
        <v>4417</v>
      </c>
      <c r="D110" s="3609" t="s">
        <v>4075</v>
      </c>
      <c r="E110" s="3609" t="s">
        <v>4418</v>
      </c>
      <c r="F110" s="3609" t="s">
        <v>4419</v>
      </c>
      <c r="G110" s="3609" t="s">
        <v>673</v>
      </c>
      <c r="H110" s="3609"/>
      <c r="I110" s="3609">
        <v>32414.42</v>
      </c>
      <c r="J110" s="3609">
        <v>24206.3</v>
      </c>
      <c r="K110" s="3609">
        <v>8208.1200000000008</v>
      </c>
      <c r="L110" s="3609">
        <v>105000</v>
      </c>
      <c r="M110" s="3609">
        <v>32393</v>
      </c>
      <c r="N110" s="3609">
        <v>43377</v>
      </c>
      <c r="O110" s="3609" t="s">
        <v>4420</v>
      </c>
      <c r="P110" s="3610">
        <v>44256</v>
      </c>
      <c r="Q110" s="3609" t="s">
        <v>4421</v>
      </c>
      <c r="R110" s="3609" t="s">
        <v>4241</v>
      </c>
      <c r="S110" s="3609"/>
      <c r="T110" s="3609">
        <v>0</v>
      </c>
      <c r="U110" s="3609"/>
      <c r="V110" s="3611" t="e">
        <v>#DIV/0!</v>
      </c>
      <c r="W110" s="3609"/>
    </row>
    <row r="111" spans="1:23" s="3640" customFormat="1" ht="24">
      <c r="A111" s="3637">
        <v>102</v>
      </c>
      <c r="B111" s="3637" t="s">
        <v>4084</v>
      </c>
      <c r="C111" s="3637" t="s">
        <v>4085</v>
      </c>
      <c r="D111" s="3637" t="s">
        <v>3926</v>
      </c>
      <c r="E111" s="3637" t="s">
        <v>4076</v>
      </c>
      <c r="F111" s="3637" t="s">
        <v>4086</v>
      </c>
      <c r="G111" s="3637" t="s">
        <v>21</v>
      </c>
      <c r="H111" s="3637"/>
      <c r="I111" s="3637">
        <v>52838</v>
      </c>
      <c r="J111" s="3637">
        <v>52838</v>
      </c>
      <c r="K111" s="3637"/>
      <c r="L111" s="3637">
        <v>300000</v>
      </c>
      <c r="M111" s="3637">
        <v>56777</v>
      </c>
      <c r="N111" s="3637">
        <v>56777</v>
      </c>
      <c r="O111" s="3637" t="s">
        <v>4087</v>
      </c>
      <c r="P111" s="3638">
        <v>44228</v>
      </c>
      <c r="Q111" s="3637" t="s">
        <v>4088</v>
      </c>
      <c r="R111" s="3637" t="s">
        <v>3917</v>
      </c>
      <c r="S111" s="3637"/>
      <c r="T111" s="3637">
        <v>0</v>
      </c>
      <c r="U111" s="3637" t="s">
        <v>4062</v>
      </c>
      <c r="V111" s="3639" t="e">
        <v>#DIV/0!</v>
      </c>
      <c r="W111" s="3637"/>
    </row>
    <row r="112" spans="1:23" ht="36" hidden="1">
      <c r="A112" s="3609">
        <v>103</v>
      </c>
      <c r="B112" s="3609" t="s">
        <v>4422</v>
      </c>
      <c r="C112" s="3609" t="s">
        <v>4423</v>
      </c>
      <c r="D112" s="3609" t="s">
        <v>3901</v>
      </c>
      <c r="E112" s="3609" t="s">
        <v>3949</v>
      </c>
      <c r="F112" s="3609" t="s">
        <v>4424</v>
      </c>
      <c r="G112" s="3609" t="s">
        <v>4201</v>
      </c>
      <c r="H112" s="3609"/>
      <c r="I112" s="3609">
        <v>114200</v>
      </c>
      <c r="J112" s="3609"/>
      <c r="K112" s="3609"/>
      <c r="L112" s="3609">
        <v>280000</v>
      </c>
      <c r="M112" s="3609">
        <v>24518</v>
      </c>
      <c r="N112" s="3609" t="e">
        <v>#DIV/0!</v>
      </c>
      <c r="O112" s="3609" t="s">
        <v>4425</v>
      </c>
      <c r="P112" s="3610">
        <v>44197</v>
      </c>
      <c r="Q112" s="3609" t="s">
        <v>4426</v>
      </c>
      <c r="R112" s="3609" t="s">
        <v>3898</v>
      </c>
      <c r="S112" s="3609"/>
      <c r="T112" s="3609" t="e">
        <v>#DIV/0!</v>
      </c>
      <c r="U112" s="3609"/>
      <c r="V112" s="3611" t="e">
        <v>#DIV/0!</v>
      </c>
      <c r="W112" s="3609"/>
    </row>
    <row r="113" spans="1:23" ht="24" hidden="1">
      <c r="A113" s="3612">
        <v>104</v>
      </c>
      <c r="B113" s="3612" t="s">
        <v>4427</v>
      </c>
      <c r="C113" s="3612" t="s">
        <v>4428</v>
      </c>
      <c r="D113" s="3612" t="s">
        <v>4173</v>
      </c>
      <c r="E113" s="3612" t="s">
        <v>4429</v>
      </c>
      <c r="F113" s="3612" t="s">
        <v>4430</v>
      </c>
      <c r="G113" s="3612" t="s">
        <v>4053</v>
      </c>
      <c r="H113" s="3612"/>
      <c r="I113" s="3612">
        <v>24251.599999999999</v>
      </c>
      <c r="J113" s="3612">
        <v>24251.599999999999</v>
      </c>
      <c r="K113" s="3612"/>
      <c r="L113" s="3612">
        <v>108437</v>
      </c>
      <c r="M113" s="3612">
        <v>44713</v>
      </c>
      <c r="N113" s="3612">
        <v>44713</v>
      </c>
      <c r="O113" s="3612" t="s">
        <v>4431</v>
      </c>
      <c r="P113" s="3613">
        <v>44197</v>
      </c>
      <c r="Q113" s="3612" t="s">
        <v>4432</v>
      </c>
      <c r="R113" s="3612"/>
      <c r="S113" s="3612"/>
      <c r="T113" s="3612">
        <v>0</v>
      </c>
      <c r="U113" s="3612"/>
      <c r="V113" s="3614" t="e">
        <v>#DIV/0!</v>
      </c>
      <c r="W113" s="3612"/>
    </row>
    <row r="114" spans="1:23" ht="36" hidden="1">
      <c r="A114" s="3609">
        <v>105</v>
      </c>
      <c r="B114" s="3609" t="s">
        <v>4433</v>
      </c>
      <c r="C114" s="3609" t="s">
        <v>4434</v>
      </c>
      <c r="D114" s="3609" t="s">
        <v>4244</v>
      </c>
      <c r="E114" s="3609" t="s">
        <v>4245</v>
      </c>
      <c r="F114" s="3609" t="s">
        <v>4435</v>
      </c>
      <c r="G114" s="3609" t="s">
        <v>3</v>
      </c>
      <c r="H114" s="3609">
        <v>54502.1</v>
      </c>
      <c r="I114" s="3609">
        <v>2472.46</v>
      </c>
      <c r="J114" s="3609">
        <v>2472.46</v>
      </c>
      <c r="K114" s="3609"/>
      <c r="L114" s="3609">
        <v>6763.7079999999996</v>
      </c>
      <c r="M114" s="3609">
        <v>1241</v>
      </c>
      <c r="N114" s="3609">
        <v>27356</v>
      </c>
      <c r="O114" s="3609" t="s">
        <v>4436</v>
      </c>
      <c r="P114" s="3610">
        <v>44152</v>
      </c>
      <c r="Q114" s="3609" t="s">
        <v>4437</v>
      </c>
      <c r="R114" s="3609" t="s">
        <v>3989</v>
      </c>
      <c r="S114" s="3609">
        <v>9662.44</v>
      </c>
      <c r="T114" s="3609">
        <v>39080</v>
      </c>
      <c r="U114" s="3609"/>
      <c r="V114" s="3611">
        <v>0.7</v>
      </c>
      <c r="W114" s="3609" t="s">
        <v>3933</v>
      </c>
    </row>
    <row r="115" spans="1:23" ht="60" hidden="1">
      <c r="A115" s="3612">
        <v>106</v>
      </c>
      <c r="B115" s="3612" t="s">
        <v>4438</v>
      </c>
      <c r="C115" s="3612" t="s">
        <v>4439</v>
      </c>
      <c r="D115" s="3612" t="s">
        <v>4185</v>
      </c>
      <c r="E115" s="3612" t="s">
        <v>4440</v>
      </c>
      <c r="F115" s="3612" t="s">
        <v>4441</v>
      </c>
      <c r="G115" s="3612" t="s">
        <v>3</v>
      </c>
      <c r="H115" s="3612">
        <v>24120.12</v>
      </c>
      <c r="I115" s="3612">
        <v>25929.51</v>
      </c>
      <c r="J115" s="3612">
        <v>23846.59</v>
      </c>
      <c r="K115" s="3612">
        <v>2082.92</v>
      </c>
      <c r="L115" s="3612">
        <v>6830.53</v>
      </c>
      <c r="M115" s="3612">
        <v>2634</v>
      </c>
      <c r="N115" s="3612">
        <v>2864</v>
      </c>
      <c r="O115" s="3612" t="s">
        <v>4442</v>
      </c>
      <c r="P115" s="3613">
        <v>44419</v>
      </c>
      <c r="Q115" s="3612" t="s">
        <v>4443</v>
      </c>
      <c r="R115" s="3612" t="s">
        <v>4109</v>
      </c>
      <c r="S115" s="3612">
        <v>9715.0400000000009</v>
      </c>
      <c r="T115" s="3612">
        <v>4074</v>
      </c>
      <c r="U115" s="3612"/>
      <c r="V115" s="3614">
        <v>0.7</v>
      </c>
      <c r="W115" s="3612" t="s">
        <v>3933</v>
      </c>
    </row>
    <row r="116" spans="1:23" ht="36" hidden="1">
      <c r="A116" s="3609">
        <v>107</v>
      </c>
      <c r="B116" s="3609" t="s">
        <v>4444</v>
      </c>
      <c r="C116" s="3609" t="s">
        <v>4444</v>
      </c>
      <c r="D116" s="3609" t="s">
        <v>4330</v>
      </c>
      <c r="E116" s="3609" t="s">
        <v>4331</v>
      </c>
      <c r="F116" s="3609" t="s">
        <v>43</v>
      </c>
      <c r="G116" s="3609" t="s">
        <v>3</v>
      </c>
      <c r="H116" s="3609">
        <v>9552.59</v>
      </c>
      <c r="I116" s="3609">
        <v>5262.22</v>
      </c>
      <c r="J116" s="3609">
        <v>5262.22</v>
      </c>
      <c r="K116" s="3609"/>
      <c r="L116" s="3609">
        <v>1609.6063999999999</v>
      </c>
      <c r="M116" s="3609">
        <v>1685</v>
      </c>
      <c r="N116" s="3609">
        <v>3059</v>
      </c>
      <c r="O116" s="3609" t="s">
        <v>4445</v>
      </c>
      <c r="P116" s="3610">
        <v>44145</v>
      </c>
      <c r="Q116" s="3609" t="s">
        <v>4446</v>
      </c>
      <c r="R116" s="3609" t="s">
        <v>4029</v>
      </c>
      <c r="S116" s="3609">
        <v>2483.7600000000002</v>
      </c>
      <c r="T116" s="3609">
        <v>4720</v>
      </c>
      <c r="U116" s="3609"/>
      <c r="V116" s="3611">
        <v>0.65</v>
      </c>
      <c r="W116" s="3609" t="s">
        <v>3933</v>
      </c>
    </row>
    <row r="117" spans="1:23" ht="24" hidden="1">
      <c r="A117" s="3612">
        <v>108</v>
      </c>
      <c r="B117" s="3612" t="s">
        <v>4447</v>
      </c>
      <c r="C117" s="3612" t="s">
        <v>4448</v>
      </c>
      <c r="D117" s="3612" t="s">
        <v>4185</v>
      </c>
      <c r="E117" s="3612" t="s">
        <v>4267</v>
      </c>
      <c r="F117" s="3612" t="s">
        <v>4449</v>
      </c>
      <c r="G117" s="3612" t="s">
        <v>21</v>
      </c>
      <c r="H117" s="3612"/>
      <c r="I117" s="3612">
        <v>11084.7</v>
      </c>
      <c r="J117" s="3612">
        <v>11084.7</v>
      </c>
      <c r="K117" s="3612"/>
      <c r="L117" s="3612">
        <v>26714</v>
      </c>
      <c r="M117" s="3612">
        <v>24100</v>
      </c>
      <c r="N117" s="3612">
        <v>24100</v>
      </c>
      <c r="O117" s="3612" t="s">
        <v>43</v>
      </c>
      <c r="P117" s="3613">
        <v>44348</v>
      </c>
      <c r="Q117" s="3612" t="s">
        <v>4450</v>
      </c>
      <c r="R117" s="3612" t="s">
        <v>4133</v>
      </c>
      <c r="S117" s="3612"/>
      <c r="T117" s="3612">
        <v>0</v>
      </c>
      <c r="U117" s="3612"/>
      <c r="V117" s="3614" t="e">
        <v>#DIV/0!</v>
      </c>
      <c r="W117" s="3612"/>
    </row>
    <row r="118" spans="1:23" ht="24" hidden="1">
      <c r="A118" s="3609">
        <v>109</v>
      </c>
      <c r="B118" s="3609" t="s">
        <v>4451</v>
      </c>
      <c r="C118" s="3609" t="s">
        <v>4448</v>
      </c>
      <c r="D118" s="3609" t="s">
        <v>4185</v>
      </c>
      <c r="E118" s="3609" t="s">
        <v>4267</v>
      </c>
      <c r="F118" s="3609" t="s">
        <v>4449</v>
      </c>
      <c r="G118" s="3609" t="s">
        <v>21</v>
      </c>
      <c r="H118" s="3609"/>
      <c r="I118" s="3609">
        <v>11586.64</v>
      </c>
      <c r="J118" s="3609">
        <v>11586.64</v>
      </c>
      <c r="K118" s="3609"/>
      <c r="L118" s="3609">
        <v>27924</v>
      </c>
      <c r="M118" s="3609">
        <v>24100</v>
      </c>
      <c r="N118" s="3609">
        <v>24100</v>
      </c>
      <c r="O118" s="3609" t="s">
        <v>43</v>
      </c>
      <c r="P118" s="3610">
        <v>44287</v>
      </c>
      <c r="Q118" s="3609" t="s">
        <v>4452</v>
      </c>
      <c r="R118" s="3609" t="s">
        <v>4133</v>
      </c>
      <c r="S118" s="3609"/>
      <c r="T118" s="3609">
        <v>0</v>
      </c>
      <c r="U118" s="3609"/>
      <c r="V118" s="3611" t="e">
        <v>#DIV/0!</v>
      </c>
      <c r="W118" s="3609"/>
    </row>
    <row r="119" spans="1:23" hidden="1">
      <c r="A119" s="3612">
        <v>110</v>
      </c>
      <c r="B119" s="3612"/>
      <c r="C119" s="3612"/>
      <c r="D119" s="3612"/>
      <c r="E119" s="3612"/>
      <c r="F119" s="3612"/>
      <c r="G119" s="3612"/>
      <c r="H119" s="3612"/>
      <c r="I119" s="3612"/>
      <c r="J119" s="3612"/>
      <c r="K119" s="3612"/>
      <c r="L119" s="3612"/>
      <c r="M119" s="3612" t="e">
        <v>#DIV/0!</v>
      </c>
      <c r="N119" s="3612" t="e">
        <v>#DIV/0!</v>
      </c>
      <c r="O119" s="3612"/>
      <c r="P119" s="3613"/>
      <c r="Q119" s="3612"/>
      <c r="R119" s="3612"/>
      <c r="S119" s="3612"/>
      <c r="T119" s="3612" t="e">
        <v>#DIV/0!</v>
      </c>
      <c r="U119" s="3612"/>
      <c r="V119" s="3614" t="e">
        <v>#DIV/0!</v>
      </c>
      <c r="W119" s="3612"/>
    </row>
  </sheetData>
  <autoFilter ref="A1:W119">
    <filterColumn colId="3">
      <filters>
        <filter val="朝阳区"/>
        <filter val="东城区"/>
        <filter val="丰台区"/>
        <filter val="海淀区"/>
        <filter val="石景山区"/>
        <filter val="西城区"/>
      </filters>
    </filterColumn>
    <filterColumn colId="12">
      <customFilters>
        <customFilter operator="greaterThanOrEqual" val="30000"/>
      </customFilters>
    </filterColumn>
  </autoFilter>
  <phoneticPr fontId="13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31"/>
  <sheetViews>
    <sheetView view="pageBreakPreview" zoomScaleNormal="100" zoomScaleSheetLayoutView="100" workbookViewId="0">
      <selection activeCell="B2" sqref="B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8" width="9" style="1477"/>
    <col min="9" max="9" width="11.625" style="1477" bestFit="1" customWidth="1"/>
    <col min="10" max="16384" width="9" style="1477"/>
  </cols>
  <sheetData>
    <row r="1" spans="1:22" ht="21">
      <c r="A1" s="1867" t="s">
        <v>1642</v>
      </c>
      <c r="B1" s="1868"/>
      <c r="C1" s="1868"/>
      <c r="D1" s="1868"/>
      <c r="E1" s="1869"/>
      <c r="F1" s="2684"/>
      <c r="G1" s="1489"/>
      <c r="H1" s="1489"/>
      <c r="I1" s="1489"/>
      <c r="J1" s="1489"/>
      <c r="K1" s="1489"/>
      <c r="L1" s="1489"/>
      <c r="M1" s="1489"/>
      <c r="N1" s="1489"/>
      <c r="O1" s="1489"/>
      <c r="P1" s="1489"/>
      <c r="Q1" s="1489"/>
      <c r="R1" s="1489"/>
      <c r="S1" s="1489"/>
    </row>
    <row r="2" spans="1:22" ht="15.75">
      <c r="A2" s="1870" t="s">
        <v>1446</v>
      </c>
      <c r="B2" s="1871">
        <f ca="1">SUMIF(B6:B13,"&lt;&gt;#ref!",B6:B13)</f>
        <v>138918</v>
      </c>
      <c r="C2" s="1872" t="s">
        <v>1635</v>
      </c>
      <c r="D2" s="1873" t="s">
        <v>1636</v>
      </c>
      <c r="E2" s="2584">
        <f>SUM(E6:E13)</f>
        <v>48720.729999999974</v>
      </c>
      <c r="F2" s="2684"/>
      <c r="G2" s="1489"/>
      <c r="H2" s="1489"/>
      <c r="I2" s="1489"/>
      <c r="J2" s="1489"/>
      <c r="K2" s="1489"/>
      <c r="L2" s="1489"/>
      <c r="M2" s="1489"/>
      <c r="N2" s="1489"/>
      <c r="O2" s="1489"/>
      <c r="P2" s="1489"/>
      <c r="Q2" s="1489"/>
      <c r="R2" s="1489"/>
      <c r="S2" s="1489"/>
    </row>
    <row r="3" spans="1:22" ht="15.75">
      <c r="A3" s="1870" t="s">
        <v>686</v>
      </c>
      <c r="B3" s="2578">
        <f ca="1">ROUND(B2*10000/E2,0)</f>
        <v>28513</v>
      </c>
      <c r="C3" s="1872" t="s">
        <v>1643</v>
      </c>
      <c r="D3" s="2686"/>
      <c r="E3" s="2688"/>
      <c r="F3" s="2684"/>
      <c r="G3" s="1489"/>
      <c r="H3" s="1489"/>
      <c r="I3" s="1489"/>
      <c r="J3" s="1489"/>
      <c r="K3" s="1489"/>
      <c r="L3" s="1489"/>
      <c r="M3" s="1489"/>
      <c r="N3" s="1489"/>
      <c r="O3" s="1489"/>
      <c r="P3" s="1489"/>
      <c r="Q3" s="1489"/>
      <c r="R3" s="1489"/>
      <c r="S3" s="1489"/>
    </row>
    <row r="4" spans="1:22" ht="15.75">
      <c r="A4" s="2689"/>
      <c r="B4" s="2686"/>
      <c r="C4" s="2686"/>
      <c r="D4" s="2686"/>
      <c r="E4" s="2688"/>
      <c r="F4" s="2684"/>
      <c r="G4" s="1489"/>
      <c r="H4" s="1489"/>
      <c r="I4" s="1489"/>
      <c r="J4" s="1489"/>
      <c r="K4" s="1489"/>
      <c r="L4" s="1489"/>
      <c r="M4" s="1489"/>
      <c r="N4" s="1489"/>
      <c r="O4" s="1489"/>
      <c r="P4" s="1489"/>
      <c r="Q4" s="1489"/>
      <c r="R4" s="1489"/>
      <c r="S4" s="1489"/>
    </row>
    <row r="5" spans="1:22" ht="15">
      <c r="A5" s="2580" t="s">
        <v>1637</v>
      </c>
      <c r="B5" s="3957" t="s">
        <v>1638</v>
      </c>
      <c r="C5" s="3958"/>
      <c r="D5" s="2685"/>
      <c r="E5" s="1874" t="s">
        <v>1639</v>
      </c>
      <c r="F5" s="1875" t="s">
        <v>1640</v>
      </c>
      <c r="G5" s="1489"/>
      <c r="H5" s="1489"/>
      <c r="I5" s="1489"/>
      <c r="J5" s="1489"/>
      <c r="K5" s="1489"/>
      <c r="L5" s="1489"/>
      <c r="M5" s="1489"/>
      <c r="N5" s="1489"/>
      <c r="O5" s="1489"/>
      <c r="P5" s="1489"/>
      <c r="Q5" s="1489"/>
      <c r="R5" s="1489"/>
      <c r="S5" s="1489"/>
    </row>
    <row r="6" spans="1:22">
      <c r="A6" s="2581" t="str">
        <f>'数据-取费表'!AN6</f>
        <v>收益法-地上</v>
      </c>
      <c r="B6" s="2579">
        <f ca="1">IF(F6="是",'数据-取费表'!AO6,0)</f>
        <v>135731</v>
      </c>
      <c r="C6" s="1872" t="s">
        <v>1635</v>
      </c>
      <c r="D6" s="2686"/>
      <c r="E6" s="2583">
        <f>IF(OR(A6=0,F6="否"),0,'数据-取费表'!K6+'数据-取费表'!S6)</f>
        <v>42571.529999999977</v>
      </c>
      <c r="F6" s="1876" t="s">
        <v>1641</v>
      </c>
      <c r="G6" s="1489"/>
      <c r="H6" s="1489">
        <f ca="1">ROUND(B6/B2*结果表!G19,0)</f>
        <v>192336</v>
      </c>
      <c r="I6" s="1489">
        <f ca="1">H6*10000/E6</f>
        <v>45179.489673027987</v>
      </c>
      <c r="J6" s="1489"/>
      <c r="K6" s="1489"/>
      <c r="L6" s="1489"/>
      <c r="M6" s="1489"/>
      <c r="N6" s="1489"/>
      <c r="O6" s="1489"/>
      <c r="P6" s="1489"/>
      <c r="Q6" s="1489"/>
      <c r="R6" s="1489"/>
      <c r="S6" s="1489"/>
    </row>
    <row r="7" spans="1:22">
      <c r="A7" s="2581" t="str">
        <f>'数据-取费表'!AN7</f>
        <v>收益法-地下</v>
      </c>
      <c r="B7" s="2579">
        <f ca="1">IF(F7="是",'数据-取费表'!AO7,0)</f>
        <v>3187</v>
      </c>
      <c r="C7" s="1872" t="s">
        <v>1635</v>
      </c>
      <c r="D7" s="2686"/>
      <c r="E7" s="2583">
        <f>IF(OR(A7=0,F7="否"),0,'数据-取费表'!K7+'数据-取费表'!S7)</f>
        <v>6149.2</v>
      </c>
      <c r="F7" s="1876" t="s">
        <v>1641</v>
      </c>
      <c r="G7" s="1489"/>
      <c r="H7" s="1489">
        <f ca="1">ROUND(结果表!G19-'收益法（汇总）'!H6,0)</f>
        <v>4516</v>
      </c>
      <c r="I7" s="1489">
        <f ca="1">H7/'收益法-地下'!F7</f>
        <v>23.39896373056995</v>
      </c>
      <c r="J7" s="1489"/>
      <c r="K7" s="1489"/>
      <c r="L7" s="1489"/>
      <c r="M7" s="1489"/>
      <c r="N7" s="1489"/>
      <c r="O7" s="1489"/>
      <c r="P7" s="1489"/>
      <c r="Q7" s="1489"/>
      <c r="R7" s="1489"/>
      <c r="S7" s="1489"/>
    </row>
    <row r="8" spans="1:22">
      <c r="A8" s="2581">
        <f>'数据-取费表'!AN8</f>
        <v>0</v>
      </c>
      <c r="B8" s="2579">
        <f>IF(F8="是",'数据-取费表'!AO8,0)</f>
        <v>0</v>
      </c>
      <c r="C8" s="1872" t="s">
        <v>1635</v>
      </c>
      <c r="D8" s="2686"/>
      <c r="E8" s="2583">
        <f>IF(OR(A8=0,F8="否"),0,'数据-取费表'!K8+'数据-取费表'!S8)</f>
        <v>0</v>
      </c>
      <c r="F8" s="1876"/>
      <c r="G8" s="1489"/>
      <c r="H8" s="1489"/>
      <c r="I8" s="1489"/>
      <c r="J8" s="1489"/>
      <c r="K8" s="1489"/>
      <c r="L8" s="1489"/>
      <c r="M8" s="1489"/>
      <c r="N8" s="1489"/>
      <c r="O8" s="1489"/>
      <c r="P8" s="1489"/>
      <c r="Q8" s="1489"/>
      <c r="R8" s="1489"/>
      <c r="S8" s="1489"/>
    </row>
    <row r="9" spans="1:22">
      <c r="A9" s="2581">
        <f>'数据-取费表'!AN9</f>
        <v>0</v>
      </c>
      <c r="B9" s="2579">
        <f>IF(F9="是",'数据-取费表'!AO9,0)</f>
        <v>0</v>
      </c>
      <c r="C9" s="1872" t="s">
        <v>1635</v>
      </c>
      <c r="D9" s="2686"/>
      <c r="E9" s="2583">
        <f>IF(OR(A9=0,F9="否"),0,'数据-取费表'!K9+'数据-取费表'!S9)</f>
        <v>0</v>
      </c>
      <c r="F9" s="1876"/>
      <c r="G9" s="1489"/>
      <c r="H9" s="1489">
        <f ca="1">H7*10000/E7</f>
        <v>7344.0447537891114</v>
      </c>
      <c r="I9" s="1489"/>
      <c r="J9" s="1489"/>
      <c r="K9" s="1489"/>
      <c r="L9" s="1489"/>
      <c r="M9" s="1489"/>
      <c r="N9" s="1489"/>
      <c r="O9" s="1489"/>
      <c r="P9" s="1489"/>
      <c r="Q9" s="1489"/>
      <c r="R9" s="1489"/>
      <c r="S9" s="1489"/>
    </row>
    <row r="10" spans="1:22">
      <c r="A10" s="2581">
        <f>'数据-取费表'!AN10</f>
        <v>0</v>
      </c>
      <c r="B10" s="2579">
        <f>IF(F10="是",'数据-取费表'!AO10,0)</f>
        <v>0</v>
      </c>
      <c r="C10" s="1872" t="s">
        <v>1635</v>
      </c>
      <c r="D10" s="2686"/>
      <c r="E10" s="2583">
        <f>IF(OR(A10=0,F10="否"),0,'数据-取费表'!K10+'数据-取费表'!S10)</f>
        <v>0</v>
      </c>
      <c r="F10" s="1876"/>
      <c r="G10" s="1489"/>
      <c r="H10" s="1489"/>
      <c r="I10" s="1489"/>
      <c r="J10" s="1489"/>
      <c r="K10" s="1489"/>
      <c r="L10" s="1489"/>
      <c r="M10" s="1489"/>
      <c r="N10" s="1489"/>
      <c r="O10" s="1489"/>
      <c r="P10" s="1489"/>
      <c r="Q10" s="1489"/>
      <c r="R10" s="1489"/>
      <c r="S10" s="1489"/>
    </row>
    <row r="11" spans="1:22">
      <c r="A11" s="2581">
        <f>'数据-取费表'!AN11</f>
        <v>0</v>
      </c>
      <c r="B11" s="2579">
        <f>IF(F11="是",'数据-取费表'!AO11,0)</f>
        <v>0</v>
      </c>
      <c r="C11" s="1872" t="s">
        <v>1635</v>
      </c>
      <c r="D11" s="2686"/>
      <c r="E11" s="2583">
        <f>IF(OR(A11=0,F11="否"),0,'数据-取费表'!K11+'数据-取费表'!S11)</f>
        <v>0</v>
      </c>
      <c r="F11" s="1876"/>
      <c r="G11" s="1489"/>
      <c r="H11" s="1489"/>
      <c r="I11" s="1489"/>
      <c r="J11" s="1489"/>
      <c r="K11" s="1489"/>
      <c r="L11" s="1489"/>
      <c r="M11" s="1489"/>
      <c r="N11" s="1489"/>
      <c r="O11" s="1489"/>
      <c r="P11" s="1489"/>
      <c r="Q11" s="1489"/>
      <c r="R11" s="1489"/>
      <c r="S11" s="1489"/>
    </row>
    <row r="12" spans="1:22">
      <c r="A12" s="2581">
        <f>'数据-取费表'!AN12</f>
        <v>0</v>
      </c>
      <c r="B12" s="2579">
        <f>IF(F12="是",'数据-取费表'!AO12,0)</f>
        <v>0</v>
      </c>
      <c r="C12" s="1872" t="s">
        <v>1635</v>
      </c>
      <c r="D12" s="2686"/>
      <c r="E12" s="2583">
        <f>IF(OR(A12=0,F12="否"),0,'数据-取费表'!K12+'数据-取费表'!S12)</f>
        <v>0</v>
      </c>
      <c r="F12" s="1876"/>
      <c r="G12" s="1489"/>
      <c r="H12" s="1489"/>
      <c r="I12" s="1489"/>
      <c r="J12" s="1489"/>
      <c r="K12" s="1489"/>
      <c r="L12" s="1489"/>
      <c r="M12" s="1489"/>
      <c r="N12" s="1489"/>
      <c r="O12" s="1489"/>
      <c r="P12" s="1489"/>
      <c r="Q12" s="1489"/>
      <c r="R12" s="1489"/>
      <c r="S12" s="1489"/>
    </row>
    <row r="13" spans="1:22" ht="15" thickBot="1">
      <c r="A13" s="2582">
        <f>'数据-取费表'!AN13</f>
        <v>0</v>
      </c>
      <c r="B13" s="2579">
        <f>IF(F13="是",'数据-取费表'!AO13,0)</f>
        <v>0</v>
      </c>
      <c r="C13" s="1877" t="s">
        <v>1635</v>
      </c>
      <c r="D13" s="2687"/>
      <c r="E13" s="2583">
        <f>IF(OR(A13=0,F13="否"),0,'数据-取费表'!K13+'数据-取费表'!S13)</f>
        <v>0</v>
      </c>
      <c r="F13" s="1876"/>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1644</v>
      </c>
      <c r="B1" s="1878" t="s">
        <v>1645</v>
      </c>
      <c r="C1" s="1238" t="s">
        <v>1646</v>
      </c>
      <c r="D1" s="1225"/>
      <c r="E1" s="3403"/>
      <c r="F1" s="1879"/>
      <c r="G1" s="1235" t="s">
        <v>1647</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0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1648</v>
      </c>
      <c r="F2" s="1883"/>
      <c r="G2" s="907"/>
      <c r="H2" s="907"/>
      <c r="I2" s="907"/>
      <c r="J2" s="907"/>
      <c r="K2" s="1884"/>
      <c r="L2" s="2690"/>
      <c r="M2" s="2691"/>
      <c r="N2" s="2691"/>
      <c r="O2" s="2691"/>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1649</v>
      </c>
      <c r="D3" s="353">
        <f>IF(D1="",'数据-汇总表'!E3,SUMIF('数据-汇总表'!$C19:$C33,D1,'数据-汇总表'!$E19:$E33))</f>
        <v>48720.729999999974</v>
      </c>
      <c r="E3" s="907"/>
      <c r="F3" s="1888"/>
      <c r="G3" s="907"/>
      <c r="H3" s="907"/>
      <c r="I3" s="907"/>
      <c r="J3" s="907"/>
      <c r="K3" s="1884"/>
      <c r="L3" s="2690"/>
      <c r="M3" s="2691"/>
      <c r="N3" s="2691"/>
      <c r="O3" s="2691"/>
      <c r="P3" s="1885"/>
      <c r="Q3" s="1886"/>
      <c r="R3" s="1886"/>
      <c r="S3" s="1886"/>
      <c r="T3" s="1886"/>
      <c r="U3" s="1886"/>
      <c r="V3" s="1886"/>
      <c r="W3" s="1886"/>
      <c r="X3" s="1886"/>
      <c r="Y3" s="1886"/>
      <c r="Z3" s="1886"/>
      <c r="AA3" s="1886"/>
      <c r="AB3" s="1886"/>
      <c r="AC3" s="1061"/>
    </row>
    <row r="4" spans="1:29" ht="15">
      <c r="A4" s="355" t="s">
        <v>1650</v>
      </c>
      <c r="B4" s="356"/>
      <c r="C4" s="3922" t="s">
        <v>1651</v>
      </c>
      <c r="D4" s="3923"/>
      <c r="E4" s="3924" t="s">
        <v>1652</v>
      </c>
      <c r="F4" s="3925"/>
      <c r="G4" s="3922" t="s">
        <v>1653</v>
      </c>
      <c r="H4" s="3923"/>
      <c r="I4" s="3922" t="s">
        <v>1654</v>
      </c>
      <c r="J4" s="3923"/>
      <c r="K4" s="1889" t="s">
        <v>1655</v>
      </c>
      <c r="L4" s="2692"/>
      <c r="M4" s="2693"/>
      <c r="N4" s="2693"/>
      <c r="O4" s="2693"/>
      <c r="P4" s="3963" t="s">
        <v>1656</v>
      </c>
      <c r="Q4" s="3964"/>
      <c r="R4" s="3967" t="s">
        <v>1652</v>
      </c>
      <c r="S4" s="3968"/>
      <c r="T4" s="3967" t="s">
        <v>1653</v>
      </c>
      <c r="U4" s="3968"/>
      <c r="V4" s="3939" t="s">
        <v>1654</v>
      </c>
      <c r="W4" s="3939"/>
      <c r="X4" s="1355"/>
      <c r="Y4" s="3967" t="s">
        <v>1656</v>
      </c>
      <c r="Z4" s="3968"/>
      <c r="AA4" s="3962" t="s">
        <v>1652</v>
      </c>
      <c r="AB4" s="3962" t="s">
        <v>1653</v>
      </c>
      <c r="AC4" s="3962" t="s">
        <v>1654</v>
      </c>
    </row>
    <row r="5" spans="1:29" ht="15">
      <c r="A5" s="358"/>
      <c r="B5" s="359"/>
      <c r="C5" s="3948" t="s">
        <v>1657</v>
      </c>
      <c r="D5" s="3943"/>
      <c r="E5" s="3955" t="s">
        <v>1658</v>
      </c>
      <c r="F5" s="3956"/>
      <c r="G5" s="3948" t="s">
        <v>1659</v>
      </c>
      <c r="H5" s="3943"/>
      <c r="I5" s="3948" t="s">
        <v>1660</v>
      </c>
      <c r="J5" s="3943"/>
      <c r="K5" s="1890"/>
      <c r="L5" s="2692"/>
      <c r="M5" s="2693"/>
      <c r="N5" s="2693"/>
      <c r="O5" s="2693"/>
      <c r="P5" s="3965"/>
      <c r="Q5" s="3929"/>
      <c r="R5" s="3934"/>
      <c r="S5" s="3935"/>
      <c r="T5" s="3934"/>
      <c r="U5" s="3935"/>
      <c r="V5" s="3939"/>
      <c r="W5" s="3939"/>
      <c r="X5" s="1355"/>
      <c r="Y5" s="3934"/>
      <c r="Z5" s="3935"/>
      <c r="AA5" s="3953"/>
      <c r="AB5" s="3953"/>
      <c r="AC5" s="3953"/>
    </row>
    <row r="6" spans="1:29" ht="15.75" thickBot="1">
      <c r="A6" s="360"/>
      <c r="B6" s="361"/>
      <c r="C6" s="3940" t="s">
        <v>1661</v>
      </c>
      <c r="D6" s="3941"/>
      <c r="E6" s="3950" t="s">
        <v>1661</v>
      </c>
      <c r="F6" s="3951"/>
      <c r="G6" s="3940" t="s">
        <v>1661</v>
      </c>
      <c r="H6" s="3941"/>
      <c r="I6" s="3940" t="s">
        <v>1661</v>
      </c>
      <c r="J6" s="3941"/>
      <c r="K6" s="1890" t="s">
        <v>1662</v>
      </c>
      <c r="L6" s="2692"/>
      <c r="M6" s="2693"/>
      <c r="N6" s="2693"/>
      <c r="O6" s="2693"/>
      <c r="P6" s="3966"/>
      <c r="Q6" s="3931"/>
      <c r="R6" s="3934"/>
      <c r="S6" s="3935"/>
      <c r="T6" s="3936"/>
      <c r="U6" s="3937"/>
      <c r="V6" s="3939"/>
      <c r="W6" s="3939"/>
      <c r="X6" s="1355"/>
      <c r="Y6" s="3936"/>
      <c r="Z6" s="3937"/>
      <c r="AA6" s="3954"/>
      <c r="AB6" s="3954"/>
      <c r="AC6" s="3954"/>
    </row>
    <row r="7" spans="1:29" s="108" customFormat="1" ht="15.75" thickBot="1">
      <c r="A7" s="362" t="s">
        <v>1663</v>
      </c>
      <c r="B7" s="363"/>
      <c r="C7" s="364">
        <f>'数据-取费表'!B2</f>
        <v>45287</v>
      </c>
      <c r="D7" s="365">
        <v>100</v>
      </c>
      <c r="E7" s="366"/>
      <c r="F7" s="367">
        <f>SUMIF(58:58,YEAR(E7)&amp;"-"&amp;MONTH(E7),59:59)</f>
        <v>0</v>
      </c>
      <c r="G7" s="366"/>
      <c r="H7" s="365">
        <f>SUMIF(58:58,YEAR(G7)&amp;"-"&amp;MONTH(G7),59:59)</f>
        <v>0</v>
      </c>
      <c r="I7" s="366"/>
      <c r="J7" s="365">
        <f>SUMIF(58:58,YEAR(I7)&amp;"-"&amp;MONTH(I7),59:59)</f>
        <v>0</v>
      </c>
      <c r="K7" s="1891"/>
      <c r="L7" s="2694"/>
      <c r="M7" s="2695"/>
      <c r="N7" s="2695"/>
      <c r="O7" s="2695"/>
      <c r="P7" s="3946" t="s">
        <v>1664</v>
      </c>
      <c r="Q7" s="3947"/>
      <c r="R7" s="701" t="s">
        <v>20</v>
      </c>
      <c r="S7" s="702">
        <f t="shared" ref="S7:S15" si="0">F7</f>
        <v>0</v>
      </c>
      <c r="T7" s="701" t="s">
        <v>20</v>
      </c>
      <c r="U7" s="702">
        <f t="shared" ref="U7:U15" si="1">H7</f>
        <v>0</v>
      </c>
      <c r="V7" s="701" t="s">
        <v>20</v>
      </c>
      <c r="W7" s="702">
        <f t="shared" ref="W7:W15" si="2">J7</f>
        <v>0</v>
      </c>
      <c r="X7" s="703"/>
      <c r="Y7" s="3946" t="s">
        <v>1664</v>
      </c>
      <c r="Z7" s="3945"/>
      <c r="AA7" s="704" t="e">
        <f>D7/F7</f>
        <v>#DIV/0!</v>
      </c>
      <c r="AB7" s="704" t="e">
        <f>D7/H7</f>
        <v>#DIV/0!</v>
      </c>
      <c r="AC7" s="704" t="e">
        <f>D7/J7</f>
        <v>#DIV/0!</v>
      </c>
    </row>
    <row r="8" spans="1:29" s="108" customFormat="1" ht="15.75" thickBot="1">
      <c r="A8" s="362" t="s">
        <v>1665</v>
      </c>
      <c r="B8" s="363"/>
      <c r="C8" s="368"/>
      <c r="D8" s="365">
        <v>100</v>
      </c>
      <c r="E8" s="1892"/>
      <c r="F8" s="367">
        <f>SUMIF(61:61,E8,62:62)-SUMIF(61:61,C8,62:62)+100</f>
        <v>100</v>
      </c>
      <c r="G8" s="368"/>
      <c r="H8" s="365">
        <f>SUMIF(61:61,G8,62:62)-SUMIF(61:61,C8,62:62)+100</f>
        <v>100</v>
      </c>
      <c r="I8" s="1892"/>
      <c r="J8" s="365">
        <f>SUMIF(61:61,I8,62:62)-SUMIF(61:61,C8,62:62)+100</f>
        <v>100</v>
      </c>
      <c r="K8" s="1891"/>
      <c r="L8" s="2694"/>
      <c r="M8" s="2695"/>
      <c r="N8" s="2695"/>
      <c r="O8" s="2695"/>
      <c r="P8" s="3946" t="s">
        <v>1667</v>
      </c>
      <c r="Q8" s="3945"/>
      <c r="R8" s="701" t="s">
        <v>20</v>
      </c>
      <c r="S8" s="702">
        <f t="shared" si="0"/>
        <v>100</v>
      </c>
      <c r="T8" s="701" t="s">
        <v>20</v>
      </c>
      <c r="U8" s="702">
        <f t="shared" si="1"/>
        <v>100</v>
      </c>
      <c r="V8" s="701" t="s">
        <v>20</v>
      </c>
      <c r="W8" s="702">
        <f t="shared" si="2"/>
        <v>100</v>
      </c>
      <c r="X8" s="703"/>
      <c r="Y8" s="3946" t="s">
        <v>1667</v>
      </c>
      <c r="Z8" s="3945"/>
      <c r="AA8" s="704">
        <f t="shared" ref="AA8:AA19" si="3">D8/F8</f>
        <v>1</v>
      </c>
      <c r="AB8" s="704">
        <f t="shared" ref="AB8:AB19" si="4">D8/H8</f>
        <v>1</v>
      </c>
      <c r="AC8" s="704">
        <f t="shared" ref="AC8:AC19" si="5">D8/J8</f>
        <v>1</v>
      </c>
    </row>
    <row r="9" spans="1:29" s="108" customFormat="1">
      <c r="A9" s="369" t="s">
        <v>1668</v>
      </c>
      <c r="B9" s="63" t="s">
        <v>1669</v>
      </c>
      <c r="C9" s="370"/>
      <c r="D9" s="126">
        <v>100</v>
      </c>
      <c r="E9" s="371"/>
      <c r="F9" s="372">
        <f>SUMIF(63:63,E9,64:64)-SUMIF(63:63,C9,64:64)+100</f>
        <v>100</v>
      </c>
      <c r="G9" s="373"/>
      <c r="H9" s="126">
        <f>SUMIF(63:63,G9,64:64)-SUMIF(63:63,C9,64:64)+100</f>
        <v>100</v>
      </c>
      <c r="I9" s="373"/>
      <c r="J9" s="126">
        <f>SUMIF(63:63,I9,64:64)-SUMIF(63:63,C9,64:64)+100</f>
        <v>100</v>
      </c>
      <c r="K9" s="1891"/>
      <c r="L9" s="2694"/>
      <c r="M9" s="2695"/>
      <c r="N9" s="2695"/>
      <c r="O9" s="2695"/>
      <c r="P9" s="3904" t="s">
        <v>1670</v>
      </c>
      <c r="Q9" s="1343" t="str">
        <f t="shared" ref="Q9:Q15" si="6">B9</f>
        <v>用途</v>
      </c>
      <c r="R9" s="701" t="s">
        <v>14</v>
      </c>
      <c r="S9" s="702">
        <f t="shared" si="0"/>
        <v>100</v>
      </c>
      <c r="T9" s="701" t="s">
        <v>14</v>
      </c>
      <c r="U9" s="702">
        <f t="shared" si="1"/>
        <v>100</v>
      </c>
      <c r="V9" s="701" t="s">
        <v>14</v>
      </c>
      <c r="W9" s="702">
        <f t="shared" si="2"/>
        <v>100</v>
      </c>
      <c r="X9" s="703"/>
      <c r="Y9" s="3783" t="s">
        <v>1671</v>
      </c>
      <c r="Z9" s="52" t="str">
        <f t="shared" ref="Z9:Z15" si="7">Q9</f>
        <v>用途</v>
      </c>
      <c r="AA9" s="704">
        <f t="shared" si="3"/>
        <v>1</v>
      </c>
      <c r="AB9" s="704">
        <f t="shared" si="4"/>
        <v>1</v>
      </c>
      <c r="AC9" s="704">
        <f t="shared" si="5"/>
        <v>1</v>
      </c>
    </row>
    <row r="10" spans="1:29" s="378" customFormat="1" ht="27">
      <c r="A10" s="374"/>
      <c r="B10" s="375" t="s">
        <v>1672</v>
      </c>
      <c r="C10" s="3411"/>
      <c r="D10" s="127">
        <v>100</v>
      </c>
      <c r="E10" s="3412"/>
      <c r="F10" s="376">
        <f>SUMIF(65:65,E10,66:66)-SUMIF(65:65,C10,66:66)+100</f>
        <v>100</v>
      </c>
      <c r="G10" s="3411"/>
      <c r="H10" s="127">
        <f>SUMIF(65:65,G10,66:66)-SUMIF(65:65,C10,66:66)+100</f>
        <v>100</v>
      </c>
      <c r="I10" s="3411"/>
      <c r="J10" s="127">
        <f>SUMIF(65:65,I10,66:66)-SUMIF(65:65,C10,66:66)+100</f>
        <v>100</v>
      </c>
      <c r="K10" s="1891"/>
      <c r="L10" s="2696"/>
      <c r="M10" s="2697"/>
      <c r="N10" s="2697"/>
      <c r="O10" s="2697"/>
      <c r="P10" s="3904"/>
      <c r="Q10" s="1343" t="str">
        <f t="shared" si="6"/>
        <v>土地使用年限（年）</v>
      </c>
      <c r="R10" s="701" t="s">
        <v>14</v>
      </c>
      <c r="S10" s="702">
        <f t="shared" si="0"/>
        <v>100</v>
      </c>
      <c r="T10" s="701" t="s">
        <v>14</v>
      </c>
      <c r="U10" s="702">
        <f t="shared" si="1"/>
        <v>100</v>
      </c>
      <c r="V10" s="701" t="s">
        <v>14</v>
      </c>
      <c r="W10" s="702">
        <f t="shared" si="2"/>
        <v>100</v>
      </c>
      <c r="X10" s="703"/>
      <c r="Y10" s="3783"/>
      <c r="Z10" s="52" t="str">
        <f t="shared" si="7"/>
        <v>土地使用年限（年）</v>
      </c>
      <c r="AA10" s="704">
        <f t="shared" si="3"/>
        <v>1</v>
      </c>
      <c r="AB10" s="704">
        <f t="shared" si="4"/>
        <v>1</v>
      </c>
      <c r="AC10" s="704">
        <f t="shared" si="5"/>
        <v>1</v>
      </c>
    </row>
    <row r="11" spans="1:29" ht="15">
      <c r="A11" s="379"/>
      <c r="B11" s="375" t="s">
        <v>1673</v>
      </c>
      <c r="C11" s="380"/>
      <c r="D11" s="127">
        <v>100</v>
      </c>
      <c r="E11" s="381"/>
      <c r="F11" s="376" t="e">
        <f>LOOKUP(E11,68:68,69:69)-LOOKUP(C11,68:68,69:69)+100</f>
        <v>#N/A</v>
      </c>
      <c r="G11" s="380"/>
      <c r="H11" s="127" t="e">
        <f>LOOKUP(G11,68:68,69:69)-LOOKUP(C11,68:68,69:69)+100</f>
        <v>#N/A</v>
      </c>
      <c r="I11" s="380"/>
      <c r="J11" s="127" t="e">
        <f>LOOKUP(I11,68:68,69:69)-LOOKUP(C11,68:68,69:69)+100</f>
        <v>#N/A</v>
      </c>
      <c r="K11" s="377"/>
      <c r="L11" s="2698"/>
      <c r="M11" s="2693"/>
      <c r="N11" s="2693"/>
      <c r="O11" s="2693"/>
      <c r="P11" s="3904"/>
      <c r="Q11" s="1343" t="str">
        <f t="shared" si="6"/>
        <v>容积率</v>
      </c>
      <c r="R11" s="701" t="s">
        <v>18</v>
      </c>
      <c r="S11" s="702" t="e">
        <f t="shared" si="0"/>
        <v>#N/A</v>
      </c>
      <c r="T11" s="701" t="s">
        <v>18</v>
      </c>
      <c r="U11" s="702" t="e">
        <f t="shared" si="1"/>
        <v>#N/A</v>
      </c>
      <c r="V11" s="701" t="s">
        <v>18</v>
      </c>
      <c r="W11" s="702" t="e">
        <f t="shared" si="2"/>
        <v>#N/A</v>
      </c>
      <c r="X11" s="703"/>
      <c r="Y11" s="378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694"/>
      <c r="M12" s="2695"/>
      <c r="N12" s="2695"/>
      <c r="O12" s="2695"/>
      <c r="P12" s="3904"/>
      <c r="Q12" s="1343">
        <f t="shared" si="6"/>
        <v>111</v>
      </c>
      <c r="R12" s="701" t="s">
        <v>18</v>
      </c>
      <c r="S12" s="702">
        <f t="shared" si="0"/>
        <v>100</v>
      </c>
      <c r="T12" s="701" t="s">
        <v>18</v>
      </c>
      <c r="U12" s="702">
        <f t="shared" si="1"/>
        <v>100</v>
      </c>
      <c r="V12" s="701" t="s">
        <v>18</v>
      </c>
      <c r="W12" s="702">
        <f t="shared" si="2"/>
        <v>100</v>
      </c>
      <c r="X12" s="703"/>
      <c r="Y12" s="378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699"/>
      <c r="M13" s="2693"/>
      <c r="N13" s="2693"/>
      <c r="O13" s="2693"/>
      <c r="P13" s="3904"/>
      <c r="Q13" s="1343">
        <f t="shared" si="6"/>
        <v>111</v>
      </c>
      <c r="R13" s="701" t="s">
        <v>18</v>
      </c>
      <c r="S13" s="702">
        <f t="shared" si="0"/>
        <v>100</v>
      </c>
      <c r="T13" s="701" t="s">
        <v>18</v>
      </c>
      <c r="U13" s="702">
        <f t="shared" si="1"/>
        <v>100</v>
      </c>
      <c r="V13" s="701" t="s">
        <v>18</v>
      </c>
      <c r="W13" s="702">
        <f t="shared" si="2"/>
        <v>100</v>
      </c>
      <c r="X13" s="703"/>
      <c r="Y13" s="3783"/>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699"/>
      <c r="M14" s="2693"/>
      <c r="N14" s="2693"/>
      <c r="O14" s="2693"/>
      <c r="P14" s="3904"/>
      <c r="Q14" s="1343">
        <f t="shared" si="6"/>
        <v>111</v>
      </c>
      <c r="R14" s="701" t="s">
        <v>18</v>
      </c>
      <c r="S14" s="702">
        <f t="shared" si="0"/>
        <v>100</v>
      </c>
      <c r="T14" s="701" t="s">
        <v>18</v>
      </c>
      <c r="U14" s="702">
        <f t="shared" si="1"/>
        <v>100</v>
      </c>
      <c r="V14" s="701" t="s">
        <v>18</v>
      </c>
      <c r="W14" s="702">
        <f t="shared" si="2"/>
        <v>100</v>
      </c>
      <c r="X14" s="703"/>
      <c r="Y14" s="3783"/>
      <c r="Z14" s="52">
        <f t="shared" si="7"/>
        <v>111</v>
      </c>
      <c r="AA14" s="704">
        <f t="shared" si="3"/>
        <v>1</v>
      </c>
      <c r="AB14" s="704">
        <f t="shared" si="4"/>
        <v>1</v>
      </c>
      <c r="AC14" s="704">
        <f t="shared" si="5"/>
        <v>1</v>
      </c>
    </row>
    <row r="15" spans="1:29" ht="15">
      <c r="A15" s="391" t="s">
        <v>1674</v>
      </c>
      <c r="B15" s="61" t="s">
        <v>1257</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699"/>
      <c r="M15" s="2693"/>
      <c r="N15" s="2693"/>
      <c r="O15" s="2693"/>
      <c r="P15" s="3910" t="s">
        <v>1675</v>
      </c>
      <c r="Q15" s="1352" t="str">
        <f t="shared" si="6"/>
        <v>居住社区成熟度</v>
      </c>
      <c r="R15" s="705" t="s">
        <v>18</v>
      </c>
      <c r="S15" s="706">
        <f t="shared" si="0"/>
        <v>100</v>
      </c>
      <c r="T15" s="705" t="s">
        <v>18</v>
      </c>
      <c r="U15" s="706">
        <f t="shared" si="1"/>
        <v>100</v>
      </c>
      <c r="V15" s="705" t="s">
        <v>18</v>
      </c>
      <c r="W15" s="706">
        <f t="shared" si="2"/>
        <v>100</v>
      </c>
      <c r="X15" s="1355"/>
      <c r="Y15" s="3912" t="s">
        <v>1675</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699"/>
      <c r="M16" s="2693"/>
      <c r="N16" s="2693"/>
      <c r="O16" s="2693"/>
      <c r="P16" s="3911"/>
      <c r="Q16" s="1352"/>
      <c r="R16" s="705"/>
      <c r="S16" s="706"/>
      <c r="T16" s="705"/>
      <c r="U16" s="706"/>
      <c r="V16" s="705"/>
      <c r="W16" s="706"/>
      <c r="X16" s="1355"/>
      <c r="Y16" s="3913"/>
      <c r="Z16" s="1356"/>
      <c r="AA16" s="1353">
        <v>1</v>
      </c>
      <c r="AB16" s="1353">
        <v>1</v>
      </c>
      <c r="AC16" s="1353">
        <v>1</v>
      </c>
    </row>
    <row r="17" spans="1:29" ht="15">
      <c r="A17" s="379"/>
      <c r="B17" s="402" t="s">
        <v>1259</v>
      </c>
      <c r="C17" s="1900"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c r="L17" s="2699"/>
      <c r="M17" s="2693"/>
      <c r="N17" s="2693"/>
      <c r="O17" s="2693"/>
      <c r="P17" s="3911"/>
      <c r="Q17" s="1352" t="str">
        <f>B17</f>
        <v>交通便捷度</v>
      </c>
      <c r="R17" s="705" t="s">
        <v>18</v>
      </c>
      <c r="S17" s="706">
        <f>F17</f>
        <v>100</v>
      </c>
      <c r="T17" s="705" t="s">
        <v>18</v>
      </c>
      <c r="U17" s="706">
        <f>H17</f>
        <v>100</v>
      </c>
      <c r="V17" s="705" t="s">
        <v>18</v>
      </c>
      <c r="W17" s="706">
        <f>J17</f>
        <v>100</v>
      </c>
      <c r="X17" s="1355"/>
      <c r="Y17" s="391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699"/>
      <c r="M18" s="2693"/>
      <c r="N18" s="2693"/>
      <c r="O18" s="2693"/>
      <c r="P18" s="3911"/>
      <c r="Q18" s="1352"/>
      <c r="R18" s="705"/>
      <c r="S18" s="706"/>
      <c r="T18" s="705"/>
      <c r="U18" s="706"/>
      <c r="V18" s="705"/>
      <c r="W18" s="706"/>
      <c r="X18" s="1355"/>
      <c r="Y18" s="3913"/>
      <c r="Z18" s="1356"/>
      <c r="AA18" s="1353">
        <v>1</v>
      </c>
      <c r="AB18" s="1353">
        <v>1</v>
      </c>
      <c r="AC18" s="1353">
        <v>1</v>
      </c>
    </row>
    <row r="19" spans="1:29" ht="15">
      <c r="A19" s="379"/>
      <c r="B19" s="402" t="s">
        <v>1258</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699"/>
      <c r="M19" s="2693"/>
      <c r="N19" s="2693"/>
      <c r="O19" s="2693"/>
      <c r="P19" s="3911"/>
      <c r="Q19" s="1352" t="str">
        <f>B19</f>
        <v>公共配套设施</v>
      </c>
      <c r="R19" s="705" t="s">
        <v>18</v>
      </c>
      <c r="S19" s="706">
        <f>F19</f>
        <v>100</v>
      </c>
      <c r="T19" s="705" t="s">
        <v>18</v>
      </c>
      <c r="U19" s="706">
        <f>H19</f>
        <v>100</v>
      </c>
      <c r="V19" s="705" t="s">
        <v>18</v>
      </c>
      <c r="W19" s="706">
        <f>J19</f>
        <v>100</v>
      </c>
      <c r="X19" s="1355"/>
      <c r="Y19" s="391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699"/>
      <c r="M20" s="2693"/>
      <c r="N20" s="2693"/>
      <c r="O20" s="2693"/>
      <c r="P20" s="3911"/>
      <c r="Q20" s="1352"/>
      <c r="R20" s="705"/>
      <c r="S20" s="706"/>
      <c r="T20" s="705"/>
      <c r="U20" s="706"/>
      <c r="V20" s="705"/>
      <c r="W20" s="706"/>
      <c r="X20" s="1355"/>
      <c r="Y20" s="3913"/>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699"/>
      <c r="M21" s="2693"/>
      <c r="N21" s="2693"/>
      <c r="O21" s="2693"/>
      <c r="P21" s="3911"/>
      <c r="Q21" s="1352" t="str">
        <f>B21</f>
        <v>基础设施水平</v>
      </c>
      <c r="R21" s="705" t="s">
        <v>14</v>
      </c>
      <c r="S21" s="706">
        <f>F21</f>
        <v>100</v>
      </c>
      <c r="T21" s="705" t="s">
        <v>14</v>
      </c>
      <c r="U21" s="706">
        <f>H21</f>
        <v>100</v>
      </c>
      <c r="V21" s="705" t="s">
        <v>14</v>
      </c>
      <c r="W21" s="706">
        <f>J21</f>
        <v>100</v>
      </c>
      <c r="X21" s="1355"/>
      <c r="Y21" s="391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699"/>
      <c r="M22" s="2693"/>
      <c r="N22" s="2693"/>
      <c r="O22" s="2693"/>
      <c r="P22" s="3911"/>
      <c r="Q22" s="1352"/>
      <c r="R22" s="705"/>
      <c r="S22" s="706"/>
      <c r="T22" s="705"/>
      <c r="U22" s="706"/>
      <c r="V22" s="705"/>
      <c r="W22" s="706"/>
      <c r="X22" s="1355"/>
      <c r="Y22" s="3913"/>
      <c r="Z22" s="1356"/>
      <c r="AA22" s="1353">
        <v>1</v>
      </c>
      <c r="AB22" s="1353">
        <v>1</v>
      </c>
      <c r="AC22" s="1353">
        <v>1</v>
      </c>
    </row>
    <row r="23" spans="1:29" ht="15">
      <c r="A23" s="379"/>
      <c r="B23" s="402" t="s">
        <v>1261</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699"/>
      <c r="M23" s="2693"/>
      <c r="N23" s="2693"/>
      <c r="O23" s="2693"/>
      <c r="P23" s="3911"/>
      <c r="Q23" s="1352" t="str">
        <f>B23</f>
        <v>自然及人文环境</v>
      </c>
      <c r="R23" s="705" t="s">
        <v>18</v>
      </c>
      <c r="S23" s="706">
        <f>F23</f>
        <v>100</v>
      </c>
      <c r="T23" s="705" t="s">
        <v>18</v>
      </c>
      <c r="U23" s="706">
        <f>H23</f>
        <v>100</v>
      </c>
      <c r="V23" s="705" t="s">
        <v>18</v>
      </c>
      <c r="W23" s="706">
        <f>J23</f>
        <v>100</v>
      </c>
      <c r="X23" s="1355"/>
      <c r="Y23" s="391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699"/>
      <c r="M24" s="2693"/>
      <c r="N24" s="2693"/>
      <c r="O24" s="2693"/>
      <c r="P24" s="3911"/>
      <c r="Q24" s="1352"/>
      <c r="R24" s="705"/>
      <c r="S24" s="706"/>
      <c r="T24" s="705"/>
      <c r="U24" s="706"/>
      <c r="V24" s="705"/>
      <c r="W24" s="706"/>
      <c r="X24" s="1355"/>
      <c r="Y24" s="3913"/>
      <c r="Z24" s="1356"/>
      <c r="AA24" s="1353">
        <v>1</v>
      </c>
      <c r="AB24" s="1353">
        <v>1</v>
      </c>
      <c r="AC24" s="1353">
        <v>1</v>
      </c>
    </row>
    <row r="25" spans="1:29" ht="15">
      <c r="A25" s="379"/>
      <c r="B25" s="375" t="s">
        <v>1676</v>
      </c>
      <c r="C25" s="411"/>
      <c r="D25" s="386">
        <v>100</v>
      </c>
      <c r="E25" s="1906"/>
      <c r="F25" s="386">
        <f>SUMIF(86:86,E25,87:87)-SUMIF(86:86,C25,87:87)+100</f>
        <v>100</v>
      </c>
      <c r="G25" s="1907"/>
      <c r="H25" s="386">
        <f>SUMIF(86:86,G25,87:87)-SUMIF(86:86,C25,87:87)+100</f>
        <v>100</v>
      </c>
      <c r="I25" s="1907"/>
      <c r="J25" s="386">
        <f>SUMIF(86:86,I25,87:87)-SUMIF(86:86,C25,87:87)+100</f>
        <v>100</v>
      </c>
      <c r="K25" s="377"/>
      <c r="L25" s="2699"/>
      <c r="M25" s="2693"/>
      <c r="N25" s="2693"/>
      <c r="O25" s="2693"/>
      <c r="P25" s="391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913"/>
      <c r="Z25" s="1356" t="str">
        <f>Q25</f>
        <v>楼层-1</v>
      </c>
      <c r="AA25" s="1353">
        <f t="shared" ref="AA25:AA46" si="15">D25/F25</f>
        <v>1</v>
      </c>
      <c r="AB25" s="1353">
        <f t="shared" ref="AB25:AB46" si="16">D25/H25</f>
        <v>1</v>
      </c>
      <c r="AC25" s="1353">
        <f t="shared" ref="AC25:AC46" si="17">D25/J25</f>
        <v>1</v>
      </c>
    </row>
    <row r="26" spans="1:29" ht="15">
      <c r="A26" s="379"/>
      <c r="B26" s="375" t="s">
        <v>1677</v>
      </c>
      <c r="C26" s="411"/>
      <c r="D26" s="386">
        <v>100</v>
      </c>
      <c r="E26" s="1906"/>
      <c r="F26" s="386">
        <f>SUMIF(88:88,E26,89:89)-SUMIF(88:88,C26,89:89)+100</f>
        <v>100</v>
      </c>
      <c r="G26" s="1907"/>
      <c r="H26" s="386">
        <f>SUMIF(88:88,G26,89:89)-SUMIF(88:88,C26,89:89)+100</f>
        <v>100</v>
      </c>
      <c r="I26" s="1907"/>
      <c r="J26" s="386">
        <f>SUMIF(88:88,I26,89:89)-SUMIF(88:88,C26,89:89)+100</f>
        <v>100</v>
      </c>
      <c r="K26" s="377"/>
      <c r="L26" s="2699"/>
      <c r="M26" s="2693"/>
      <c r="N26" s="2693"/>
      <c r="O26" s="2693"/>
      <c r="P26" s="3911"/>
      <c r="Q26" s="1352" t="str">
        <f t="shared" si="11"/>
        <v>朝向</v>
      </c>
      <c r="R26" s="705" t="s">
        <v>18</v>
      </c>
      <c r="S26" s="706">
        <f t="shared" si="12"/>
        <v>100</v>
      </c>
      <c r="T26" s="705" t="s">
        <v>18</v>
      </c>
      <c r="U26" s="706">
        <f t="shared" si="13"/>
        <v>100</v>
      </c>
      <c r="V26" s="705" t="s">
        <v>18</v>
      </c>
      <c r="W26" s="706">
        <f t="shared" si="14"/>
        <v>100</v>
      </c>
      <c r="X26" s="1355"/>
      <c r="Y26" s="391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694"/>
      <c r="M27" s="2695"/>
      <c r="N27" s="2695"/>
      <c r="O27" s="2695"/>
      <c r="P27" s="3911"/>
      <c r="Q27" s="1343">
        <f t="shared" si="11"/>
        <v>111</v>
      </c>
      <c r="R27" s="701" t="s">
        <v>18</v>
      </c>
      <c r="S27" s="702">
        <f t="shared" si="12"/>
        <v>100</v>
      </c>
      <c r="T27" s="701" t="s">
        <v>18</v>
      </c>
      <c r="U27" s="702">
        <f t="shared" si="13"/>
        <v>100</v>
      </c>
      <c r="V27" s="701" t="s">
        <v>18</v>
      </c>
      <c r="W27" s="702">
        <f t="shared" si="14"/>
        <v>100</v>
      </c>
      <c r="X27" s="703"/>
      <c r="Y27" s="391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699"/>
      <c r="M28" s="2693"/>
      <c r="N28" s="2693"/>
      <c r="O28" s="2693"/>
      <c r="P28" s="3911"/>
      <c r="Q28" s="1352">
        <f t="shared" si="11"/>
        <v>111</v>
      </c>
      <c r="R28" s="705" t="s">
        <v>18</v>
      </c>
      <c r="S28" s="706">
        <f t="shared" si="12"/>
        <v>100</v>
      </c>
      <c r="T28" s="705" t="s">
        <v>18</v>
      </c>
      <c r="U28" s="706">
        <f t="shared" si="13"/>
        <v>100</v>
      </c>
      <c r="V28" s="705" t="s">
        <v>18</v>
      </c>
      <c r="W28" s="706">
        <f t="shared" si="14"/>
        <v>100</v>
      </c>
      <c r="X28" s="1355"/>
      <c r="Y28" s="391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699"/>
      <c r="M29" s="2693"/>
      <c r="N29" s="2693"/>
      <c r="O29" s="2693"/>
      <c r="P29" s="3911"/>
      <c r="Q29" s="1352">
        <f t="shared" si="11"/>
        <v>111</v>
      </c>
      <c r="R29" s="705" t="s">
        <v>18</v>
      </c>
      <c r="S29" s="706">
        <f t="shared" si="12"/>
        <v>100</v>
      </c>
      <c r="T29" s="705" t="s">
        <v>18</v>
      </c>
      <c r="U29" s="706">
        <f t="shared" si="13"/>
        <v>100</v>
      </c>
      <c r="V29" s="705" t="s">
        <v>18</v>
      </c>
      <c r="W29" s="706">
        <f t="shared" si="14"/>
        <v>100</v>
      </c>
      <c r="X29" s="1355"/>
      <c r="Y29" s="391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699"/>
      <c r="M30" s="2693"/>
      <c r="N30" s="2693"/>
      <c r="O30" s="2693"/>
      <c r="P30" s="3911"/>
      <c r="Q30" s="1352">
        <f t="shared" si="11"/>
        <v>111</v>
      </c>
      <c r="R30" s="705" t="s">
        <v>18</v>
      </c>
      <c r="S30" s="706">
        <f t="shared" si="12"/>
        <v>100</v>
      </c>
      <c r="T30" s="705" t="s">
        <v>18</v>
      </c>
      <c r="U30" s="706">
        <f t="shared" si="13"/>
        <v>100</v>
      </c>
      <c r="V30" s="705" t="s">
        <v>18</v>
      </c>
      <c r="W30" s="706">
        <f t="shared" si="14"/>
        <v>100</v>
      </c>
      <c r="X30" s="1355"/>
      <c r="Y30" s="391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699"/>
      <c r="M31" s="2693"/>
      <c r="N31" s="2693"/>
      <c r="O31" s="2693"/>
      <c r="P31" s="3911"/>
      <c r="Q31" s="1352">
        <f t="shared" si="11"/>
        <v>111</v>
      </c>
      <c r="R31" s="705" t="s">
        <v>18</v>
      </c>
      <c r="S31" s="706">
        <f t="shared" si="12"/>
        <v>100</v>
      </c>
      <c r="T31" s="705" t="s">
        <v>18</v>
      </c>
      <c r="U31" s="706">
        <f t="shared" si="13"/>
        <v>100</v>
      </c>
      <c r="V31" s="705" t="s">
        <v>18</v>
      </c>
      <c r="W31" s="706">
        <f t="shared" si="14"/>
        <v>100</v>
      </c>
      <c r="X31" s="1355"/>
      <c r="Y31" s="3913"/>
      <c r="Z31" s="1356">
        <f t="shared" si="18"/>
        <v>111</v>
      </c>
      <c r="AA31" s="1353">
        <f t="shared" si="15"/>
        <v>1</v>
      </c>
      <c r="AB31" s="1353">
        <f t="shared" si="16"/>
        <v>1</v>
      </c>
      <c r="AC31" s="1353">
        <f t="shared" si="17"/>
        <v>1</v>
      </c>
    </row>
    <row r="32" spans="1:29" ht="15">
      <c r="A32" s="391" t="s">
        <v>1678</v>
      </c>
      <c r="B32" s="63" t="s">
        <v>1679</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699"/>
      <c r="M32" s="2693"/>
      <c r="N32" s="2693"/>
      <c r="O32" s="2693"/>
      <c r="P32" s="3914" t="s">
        <v>1680</v>
      </c>
      <c r="Q32" s="1352" t="str">
        <f t="shared" si="11"/>
        <v>建筑类型</v>
      </c>
      <c r="R32" s="705" t="s">
        <v>18</v>
      </c>
      <c r="S32" s="706">
        <f t="shared" si="12"/>
        <v>100</v>
      </c>
      <c r="T32" s="705" t="s">
        <v>18</v>
      </c>
      <c r="U32" s="706">
        <f t="shared" si="13"/>
        <v>100</v>
      </c>
      <c r="V32" s="705" t="s">
        <v>18</v>
      </c>
      <c r="W32" s="706">
        <f t="shared" si="14"/>
        <v>100</v>
      </c>
      <c r="X32" s="1355"/>
      <c r="Y32" s="3917" t="s">
        <v>1680</v>
      </c>
      <c r="Z32" s="1356" t="str">
        <f t="shared" si="18"/>
        <v>建筑类型</v>
      </c>
      <c r="AA32" s="1353">
        <f t="shared" si="15"/>
        <v>1</v>
      </c>
      <c r="AB32" s="1353">
        <f t="shared" si="16"/>
        <v>1</v>
      </c>
      <c r="AC32" s="1353">
        <f t="shared" si="17"/>
        <v>1</v>
      </c>
    </row>
    <row r="33" spans="1:29" s="422" customFormat="1" ht="15">
      <c r="A33" s="419"/>
      <c r="B33" s="375" t="s">
        <v>1681</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698"/>
      <c r="M33" s="2700"/>
      <c r="N33" s="2700"/>
      <c r="O33" s="2700"/>
      <c r="P33" s="3915"/>
      <c r="Q33" s="707" t="str">
        <f t="shared" si="11"/>
        <v>项目建筑规模</v>
      </c>
      <c r="R33" s="708" t="s">
        <v>18</v>
      </c>
      <c r="S33" s="709" t="e">
        <f t="shared" si="12"/>
        <v>#N/A</v>
      </c>
      <c r="T33" s="708" t="s">
        <v>18</v>
      </c>
      <c r="U33" s="709" t="e">
        <f t="shared" si="13"/>
        <v>#N/A</v>
      </c>
      <c r="V33" s="708" t="s">
        <v>18</v>
      </c>
      <c r="W33" s="709" t="e">
        <f t="shared" si="14"/>
        <v>#N/A</v>
      </c>
      <c r="X33" s="710"/>
      <c r="Y33" s="3917"/>
      <c r="Z33" s="711" t="str">
        <f t="shared" si="18"/>
        <v>项目建筑规模</v>
      </c>
      <c r="AA33" s="1353" t="e">
        <f t="shared" si="15"/>
        <v>#N/A</v>
      </c>
      <c r="AB33" s="1353" t="e">
        <f t="shared" si="16"/>
        <v>#N/A</v>
      </c>
      <c r="AC33" s="1353" t="e">
        <f t="shared" si="17"/>
        <v>#N/A</v>
      </c>
    </row>
    <row r="34" spans="1:29" ht="15">
      <c r="A34" s="423"/>
      <c r="B34" s="375" t="s">
        <v>1682</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699"/>
      <c r="M34" s="2693"/>
      <c r="N34" s="2693"/>
      <c r="O34" s="2693"/>
      <c r="P34" s="3915"/>
      <c r="Q34" s="1352" t="str">
        <f t="shared" si="11"/>
        <v>建筑结构</v>
      </c>
      <c r="R34" s="705" t="s">
        <v>18</v>
      </c>
      <c r="S34" s="706">
        <f t="shared" si="12"/>
        <v>100</v>
      </c>
      <c r="T34" s="705" t="s">
        <v>18</v>
      </c>
      <c r="U34" s="706">
        <f t="shared" si="13"/>
        <v>100</v>
      </c>
      <c r="V34" s="705" t="s">
        <v>18</v>
      </c>
      <c r="W34" s="706">
        <f t="shared" si="14"/>
        <v>100</v>
      </c>
      <c r="X34" s="1355"/>
      <c r="Y34" s="3917"/>
      <c r="Z34" s="1356" t="str">
        <f t="shared" si="18"/>
        <v>建筑结构</v>
      </c>
      <c r="AA34" s="1353">
        <f t="shared" si="15"/>
        <v>1</v>
      </c>
      <c r="AB34" s="1353">
        <f t="shared" si="16"/>
        <v>1</v>
      </c>
      <c r="AC34" s="1353">
        <f t="shared" si="17"/>
        <v>1</v>
      </c>
    </row>
    <row r="35" spans="1:29" ht="15">
      <c r="A35" s="423"/>
      <c r="B35" s="375" t="s">
        <v>1683</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699"/>
      <c r="M35" s="2693"/>
      <c r="N35" s="2693"/>
      <c r="O35" s="2693"/>
      <c r="P35" s="3915"/>
      <c r="Q35" s="1352" t="str">
        <f t="shared" si="11"/>
        <v>建筑品质</v>
      </c>
      <c r="R35" s="705" t="s">
        <v>18</v>
      </c>
      <c r="S35" s="706">
        <f t="shared" si="12"/>
        <v>100</v>
      </c>
      <c r="T35" s="705" t="s">
        <v>18</v>
      </c>
      <c r="U35" s="706">
        <f t="shared" si="13"/>
        <v>100</v>
      </c>
      <c r="V35" s="705" t="s">
        <v>18</v>
      </c>
      <c r="W35" s="706">
        <f t="shared" si="14"/>
        <v>100</v>
      </c>
      <c r="X35" s="1355"/>
      <c r="Y35" s="3917"/>
      <c r="Z35" s="1356" t="str">
        <f t="shared" si="18"/>
        <v>建筑品质</v>
      </c>
      <c r="AA35" s="1353">
        <f t="shared" si="15"/>
        <v>1</v>
      </c>
      <c r="AB35" s="1353">
        <f t="shared" si="16"/>
        <v>1</v>
      </c>
      <c r="AC35" s="1353">
        <f t="shared" si="17"/>
        <v>1</v>
      </c>
    </row>
    <row r="36" spans="1:29" ht="15">
      <c r="A36" s="423"/>
      <c r="B36" s="375" t="s">
        <v>1684</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699"/>
      <c r="M36" s="2693"/>
      <c r="N36" s="2693"/>
      <c r="O36" s="2693"/>
      <c r="P36" s="3915"/>
      <c r="Q36" s="1352" t="str">
        <f t="shared" si="11"/>
        <v>公共部分装修</v>
      </c>
      <c r="R36" s="705" t="s">
        <v>18</v>
      </c>
      <c r="S36" s="706">
        <f t="shared" si="12"/>
        <v>100</v>
      </c>
      <c r="T36" s="705" t="s">
        <v>18</v>
      </c>
      <c r="U36" s="706">
        <f t="shared" si="13"/>
        <v>100</v>
      </c>
      <c r="V36" s="705" t="s">
        <v>18</v>
      </c>
      <c r="W36" s="706">
        <f t="shared" si="14"/>
        <v>100</v>
      </c>
      <c r="X36" s="1355"/>
      <c r="Y36" s="3917"/>
      <c r="Z36" s="1356" t="str">
        <f t="shared" si="18"/>
        <v>公共部分装修</v>
      </c>
      <c r="AA36" s="1353">
        <f t="shared" si="15"/>
        <v>1</v>
      </c>
      <c r="AB36" s="1353">
        <f t="shared" si="16"/>
        <v>1</v>
      </c>
      <c r="AC36" s="1353">
        <f t="shared" si="17"/>
        <v>1</v>
      </c>
    </row>
    <row r="37" spans="1:29" s="108" customFormat="1" ht="15">
      <c r="A37" s="424"/>
      <c r="B37" s="375" t="s">
        <v>1685</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694"/>
      <c r="M37" s="2695"/>
      <c r="N37" s="2695"/>
      <c r="O37" s="2695"/>
      <c r="P37" s="3915"/>
      <c r="Q37" s="1343" t="str">
        <f t="shared" si="11"/>
        <v>成新度</v>
      </c>
      <c r="R37" s="701" t="s">
        <v>18</v>
      </c>
      <c r="S37" s="702" t="e">
        <f t="shared" si="12"/>
        <v>#N/A</v>
      </c>
      <c r="T37" s="701" t="s">
        <v>18</v>
      </c>
      <c r="U37" s="702" t="e">
        <f t="shared" si="13"/>
        <v>#N/A</v>
      </c>
      <c r="V37" s="701" t="s">
        <v>18</v>
      </c>
      <c r="W37" s="702" t="e">
        <f t="shared" si="14"/>
        <v>#N/A</v>
      </c>
      <c r="X37" s="703"/>
      <c r="Y37" s="3917"/>
      <c r="Z37" s="52" t="str">
        <f t="shared" si="18"/>
        <v>成新度</v>
      </c>
      <c r="AA37" s="704" t="e">
        <f t="shared" si="15"/>
        <v>#N/A</v>
      </c>
      <c r="AB37" s="704" t="e">
        <f t="shared" si="16"/>
        <v>#N/A</v>
      </c>
      <c r="AC37" s="704" t="e">
        <f t="shared" si="17"/>
        <v>#N/A</v>
      </c>
    </row>
    <row r="38" spans="1:29" ht="15">
      <c r="A38" s="423"/>
      <c r="B38" s="375" t="s">
        <v>1686</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699"/>
      <c r="M38" s="2693"/>
      <c r="N38" s="2693"/>
      <c r="O38" s="2693"/>
      <c r="P38" s="3915" t="s">
        <v>1680</v>
      </c>
      <c r="Q38" s="1352" t="str">
        <f t="shared" si="11"/>
        <v>物业管理</v>
      </c>
      <c r="R38" s="705" t="s">
        <v>18</v>
      </c>
      <c r="S38" s="706">
        <f t="shared" si="12"/>
        <v>100</v>
      </c>
      <c r="T38" s="705" t="s">
        <v>18</v>
      </c>
      <c r="U38" s="706">
        <f t="shared" si="13"/>
        <v>100</v>
      </c>
      <c r="V38" s="705" t="s">
        <v>18</v>
      </c>
      <c r="W38" s="706">
        <f t="shared" si="14"/>
        <v>100</v>
      </c>
      <c r="X38" s="1355"/>
      <c r="Y38" s="3917" t="s">
        <v>1680</v>
      </c>
      <c r="Z38" s="1356" t="str">
        <f t="shared" si="18"/>
        <v>物业管理</v>
      </c>
      <c r="AA38" s="1353">
        <f t="shared" si="15"/>
        <v>1</v>
      </c>
      <c r="AB38" s="1353">
        <f t="shared" si="16"/>
        <v>1</v>
      </c>
      <c r="AC38" s="1353">
        <f t="shared" si="17"/>
        <v>1</v>
      </c>
    </row>
    <row r="39" spans="1:29" ht="15">
      <c r="A39" s="423"/>
      <c r="B39" s="375" t="s">
        <v>1687</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699"/>
      <c r="M39" s="2693"/>
      <c r="N39" s="2693"/>
      <c r="O39" s="2693"/>
      <c r="P39" s="3915"/>
      <c r="Q39" s="1352" t="str">
        <f t="shared" si="11"/>
        <v>市政基础设施</v>
      </c>
      <c r="R39" s="705" t="s">
        <v>18</v>
      </c>
      <c r="S39" s="706">
        <f t="shared" si="12"/>
        <v>100</v>
      </c>
      <c r="T39" s="705" t="s">
        <v>18</v>
      </c>
      <c r="U39" s="706">
        <f t="shared" si="13"/>
        <v>100</v>
      </c>
      <c r="V39" s="705" t="s">
        <v>18</v>
      </c>
      <c r="W39" s="706">
        <f t="shared" si="14"/>
        <v>100</v>
      </c>
      <c r="X39" s="1355"/>
      <c r="Y39" s="3917"/>
      <c r="Z39" s="1356" t="str">
        <f t="shared" si="18"/>
        <v>市政基础设施</v>
      </c>
      <c r="AA39" s="1353">
        <f t="shared" si="15"/>
        <v>1</v>
      </c>
      <c r="AB39" s="1353">
        <f t="shared" si="16"/>
        <v>1</v>
      </c>
      <c r="AC39" s="1353">
        <f t="shared" si="17"/>
        <v>1</v>
      </c>
    </row>
    <row r="40" spans="1:29" ht="15">
      <c r="A40" s="423"/>
      <c r="B40" s="375" t="s">
        <v>1688</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699"/>
      <c r="M40" s="2693"/>
      <c r="N40" s="2693"/>
      <c r="O40" s="2693"/>
      <c r="P40" s="3915"/>
      <c r="Q40" s="1352" t="str">
        <f t="shared" si="11"/>
        <v>房型</v>
      </c>
      <c r="R40" s="705" t="s">
        <v>18</v>
      </c>
      <c r="S40" s="706">
        <f t="shared" si="12"/>
        <v>100</v>
      </c>
      <c r="T40" s="705" t="s">
        <v>18</v>
      </c>
      <c r="U40" s="706">
        <f t="shared" si="13"/>
        <v>100</v>
      </c>
      <c r="V40" s="705" t="s">
        <v>18</v>
      </c>
      <c r="W40" s="706">
        <f t="shared" si="14"/>
        <v>100</v>
      </c>
      <c r="X40" s="1355"/>
      <c r="Y40" s="3917"/>
      <c r="Z40" s="1356" t="str">
        <f t="shared" si="18"/>
        <v>房型</v>
      </c>
      <c r="AA40" s="1353">
        <f t="shared" si="15"/>
        <v>1</v>
      </c>
      <c r="AB40" s="1353">
        <f t="shared" si="16"/>
        <v>1</v>
      </c>
      <c r="AC40" s="1353">
        <f t="shared" si="17"/>
        <v>1</v>
      </c>
    </row>
    <row r="41" spans="1:29" s="422" customFormat="1" ht="28.5">
      <c r="A41" s="419"/>
      <c r="B41" s="375" t="s">
        <v>1689</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698"/>
      <c r="M41" s="2700"/>
      <c r="N41" s="2700"/>
      <c r="O41" s="2700"/>
      <c r="P41" s="3915"/>
      <c r="Q41" s="707" t="str">
        <f t="shared" si="11"/>
        <v>单套/主力户型建筑面积</v>
      </c>
      <c r="R41" s="708" t="s">
        <v>18</v>
      </c>
      <c r="S41" s="709">
        <f t="shared" si="12"/>
        <v>100</v>
      </c>
      <c r="T41" s="708" t="s">
        <v>18</v>
      </c>
      <c r="U41" s="709">
        <f t="shared" si="13"/>
        <v>100</v>
      </c>
      <c r="V41" s="708" t="s">
        <v>18</v>
      </c>
      <c r="W41" s="709">
        <f t="shared" si="14"/>
        <v>100</v>
      </c>
      <c r="X41" s="710"/>
      <c r="Y41" s="3917"/>
      <c r="Z41" s="711" t="str">
        <f t="shared" si="18"/>
        <v>单套/主力户型建筑面积</v>
      </c>
      <c r="AA41" s="1353">
        <f t="shared" si="15"/>
        <v>1</v>
      </c>
      <c r="AB41" s="1353">
        <f t="shared" si="16"/>
        <v>1</v>
      </c>
      <c r="AC41" s="1353">
        <f t="shared" si="17"/>
        <v>1</v>
      </c>
    </row>
    <row r="42" spans="1:29" ht="15">
      <c r="A42" s="423"/>
      <c r="B42" s="375" t="s">
        <v>1690</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699"/>
      <c r="M42" s="2693"/>
      <c r="N42" s="2693"/>
      <c r="O42" s="2693"/>
      <c r="P42" s="3915"/>
      <c r="Q42" s="1352" t="str">
        <f t="shared" si="11"/>
        <v>内部装修</v>
      </c>
      <c r="R42" s="705" t="s">
        <v>18</v>
      </c>
      <c r="S42" s="706">
        <f t="shared" si="12"/>
        <v>100</v>
      </c>
      <c r="T42" s="705" t="s">
        <v>18</v>
      </c>
      <c r="U42" s="706">
        <f t="shared" si="13"/>
        <v>100</v>
      </c>
      <c r="V42" s="705" t="s">
        <v>18</v>
      </c>
      <c r="W42" s="706">
        <f t="shared" si="14"/>
        <v>100</v>
      </c>
      <c r="X42" s="1355"/>
      <c r="Y42" s="3917"/>
      <c r="Z42" s="1356" t="str">
        <f t="shared" si="18"/>
        <v>内部装修</v>
      </c>
      <c r="AA42" s="1353">
        <f t="shared" si="15"/>
        <v>1</v>
      </c>
      <c r="AB42" s="1353">
        <f t="shared" si="16"/>
        <v>1</v>
      </c>
      <c r="AC42" s="1353">
        <f t="shared" si="17"/>
        <v>1</v>
      </c>
    </row>
    <row r="43" spans="1:29" ht="15">
      <c r="A43" s="423"/>
      <c r="B43" s="375" t="s">
        <v>1691</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699"/>
      <c r="M43" s="2693"/>
      <c r="N43" s="2693"/>
      <c r="O43" s="2693"/>
      <c r="P43" s="3915"/>
      <c r="Q43" s="1352" t="str">
        <f t="shared" si="11"/>
        <v>内部装修维护情况</v>
      </c>
      <c r="R43" s="705" t="s">
        <v>18</v>
      </c>
      <c r="S43" s="706">
        <f t="shared" si="12"/>
        <v>100</v>
      </c>
      <c r="T43" s="705" t="s">
        <v>18</v>
      </c>
      <c r="U43" s="706">
        <f t="shared" si="13"/>
        <v>100</v>
      </c>
      <c r="V43" s="705" t="s">
        <v>18</v>
      </c>
      <c r="W43" s="706">
        <f t="shared" si="14"/>
        <v>100</v>
      </c>
      <c r="X43" s="1355"/>
      <c r="Y43" s="391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694"/>
      <c r="M44" s="2695"/>
      <c r="N44" s="2695"/>
      <c r="O44" s="2695"/>
      <c r="P44" s="3915"/>
      <c r="Q44" s="1343">
        <f t="shared" si="11"/>
        <v>111</v>
      </c>
      <c r="R44" s="701" t="s">
        <v>18</v>
      </c>
      <c r="S44" s="702">
        <f t="shared" si="12"/>
        <v>100</v>
      </c>
      <c r="T44" s="701" t="s">
        <v>18</v>
      </c>
      <c r="U44" s="702">
        <f t="shared" si="13"/>
        <v>100</v>
      </c>
      <c r="V44" s="701" t="s">
        <v>18</v>
      </c>
      <c r="W44" s="702">
        <f t="shared" si="14"/>
        <v>100</v>
      </c>
      <c r="X44" s="703"/>
      <c r="Y44" s="391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699"/>
      <c r="M45" s="2693"/>
      <c r="N45" s="2693"/>
      <c r="O45" s="2693"/>
      <c r="P45" s="3915"/>
      <c r="Q45" s="1352">
        <f t="shared" si="11"/>
        <v>111</v>
      </c>
      <c r="R45" s="705" t="s">
        <v>18</v>
      </c>
      <c r="S45" s="706">
        <f t="shared" si="12"/>
        <v>100</v>
      </c>
      <c r="T45" s="705" t="s">
        <v>18</v>
      </c>
      <c r="U45" s="706">
        <f t="shared" si="13"/>
        <v>100</v>
      </c>
      <c r="V45" s="705" t="s">
        <v>18</v>
      </c>
      <c r="W45" s="706">
        <f t="shared" si="14"/>
        <v>100</v>
      </c>
      <c r="X45" s="1355"/>
      <c r="Y45" s="3917"/>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699"/>
      <c r="M46" s="2693"/>
      <c r="N46" s="2693"/>
      <c r="O46" s="2693"/>
      <c r="P46" s="3916"/>
      <c r="Q46" s="1352">
        <f t="shared" si="11"/>
        <v>111</v>
      </c>
      <c r="R46" s="705" t="s">
        <v>17</v>
      </c>
      <c r="S46" s="706">
        <f t="shared" si="12"/>
        <v>100</v>
      </c>
      <c r="T46" s="705" t="s">
        <v>17</v>
      </c>
      <c r="U46" s="706">
        <f t="shared" si="13"/>
        <v>100</v>
      </c>
      <c r="V46" s="705" t="s">
        <v>17</v>
      </c>
      <c r="W46" s="706">
        <f t="shared" si="14"/>
        <v>100</v>
      </c>
      <c r="X46" s="1355"/>
      <c r="Y46" s="3918"/>
      <c r="Z46" s="1356">
        <f t="shared" si="18"/>
        <v>111</v>
      </c>
      <c r="AA46" s="1353">
        <f t="shared" si="15"/>
        <v>1</v>
      </c>
      <c r="AB46" s="1353">
        <f t="shared" si="16"/>
        <v>1</v>
      </c>
      <c r="AC46" s="1353">
        <f t="shared" si="17"/>
        <v>1</v>
      </c>
    </row>
    <row r="47" spans="1:29" ht="15">
      <c r="A47" s="430" t="s">
        <v>1692</v>
      </c>
      <c r="B47" s="431"/>
      <c r="C47" s="1154" t="s">
        <v>16</v>
      </c>
      <c r="D47" s="1155"/>
      <c r="E47" s="1156"/>
      <c r="F47" s="1157"/>
      <c r="G47" s="1158"/>
      <c r="H47" s="1159"/>
      <c r="I47" s="1156"/>
      <c r="J47" s="1159"/>
      <c r="K47" s="1914"/>
      <c r="L47" s="2701"/>
      <c r="M47" s="2702"/>
      <c r="N47" s="2693"/>
      <c r="O47" s="2702"/>
      <c r="P47" s="3905" t="str">
        <f>A47</f>
        <v>成交单价（元/平方米）</v>
      </c>
      <c r="Q47" s="3905"/>
      <c r="R47" s="3906">
        <f>E47</f>
        <v>0</v>
      </c>
      <c r="S47" s="3906"/>
      <c r="T47" s="3906">
        <f>G47</f>
        <v>0</v>
      </c>
      <c r="U47" s="3906"/>
      <c r="V47" s="3906">
        <f>I47</f>
        <v>0</v>
      </c>
      <c r="W47" s="3906"/>
      <c r="X47" s="690"/>
      <c r="Y47" s="712"/>
      <c r="Z47" s="690"/>
      <c r="AA47" s="690"/>
      <c r="AB47" s="690"/>
      <c r="AC47" s="690"/>
    </row>
    <row r="48" spans="1:29" ht="15.75" thickBot="1">
      <c r="A48" s="437" t="s">
        <v>1693</v>
      </c>
      <c r="B48" s="438"/>
      <c r="C48" s="1160" t="e">
        <f>R49</f>
        <v>#DIV/0!</v>
      </c>
      <c r="D48" s="2317" t="s">
        <v>2122</v>
      </c>
      <c r="E48" s="1161" t="e">
        <f>R48</f>
        <v>#DIV/0!</v>
      </c>
      <c r="F48" s="2318"/>
      <c r="G48" s="1160" t="e">
        <f>T48</f>
        <v>#DIV/0!</v>
      </c>
      <c r="H48" s="2318"/>
      <c r="I48" s="1161" t="e">
        <f>V48</f>
        <v>#DIV/0!</v>
      </c>
      <c r="J48" s="2318"/>
      <c r="K48" s="2319">
        <f>F48+H48+J48</f>
        <v>0</v>
      </c>
      <c r="L48" s="2701"/>
      <c r="M48" s="2702"/>
      <c r="N48" s="2702"/>
      <c r="O48" s="2702"/>
      <c r="P48" s="3905" t="str">
        <f>A48</f>
        <v>比较价值（元/平方米）</v>
      </c>
      <c r="Q48" s="3905"/>
      <c r="R48" s="3906" t="e">
        <f>IF(F1="售价",ROUND(PRODUCT(R47,AA7:AA46),0),ROUND(PRODUCT(R47,AA7:AA46),1))</f>
        <v>#DIV/0!</v>
      </c>
      <c r="S48" s="3906"/>
      <c r="T48" s="3906" t="e">
        <f>IF(F1="售价",ROUND(PRODUCT(T47,AB7:AB46),0),ROUND(PRODUCT(T47,AB7:AB46),1))</f>
        <v>#DIV/0!</v>
      </c>
      <c r="U48" s="3906"/>
      <c r="V48" s="3906" t="e">
        <f>IF(F1="售价",ROUND(PRODUCT(V47,AC7:AC46),0),ROUND(PRODUCT(V47,AC7:AC46),1))</f>
        <v>#DIV/0!</v>
      </c>
      <c r="W48" s="3906"/>
      <c r="X48" s="690"/>
      <c r="Y48" s="690"/>
      <c r="Z48" s="690"/>
      <c r="AA48" s="690"/>
      <c r="AB48" s="690"/>
      <c r="AC48" s="690"/>
    </row>
    <row r="49" spans="1:29" ht="15.75" thickBot="1">
      <c r="A49" s="441" t="s">
        <v>1694</v>
      </c>
      <c r="B49" s="442"/>
      <c r="C49" s="1162" t="e">
        <f>R49</f>
        <v>#DIV/0!</v>
      </c>
      <c r="D49" s="1163"/>
      <c r="E49" s="1163"/>
      <c r="F49" s="1163"/>
      <c r="G49" s="1163"/>
      <c r="H49" s="1163"/>
      <c r="I49" s="1163"/>
      <c r="J49" s="1163"/>
      <c r="K49" s="1915"/>
      <c r="L49" s="2701"/>
      <c r="M49" s="2702"/>
      <c r="N49" s="2702"/>
      <c r="O49" s="2702"/>
      <c r="P49" s="3959" t="str">
        <f>A49</f>
        <v>估价对象XX用房的比较价值（楼面单价，元/平方米）</v>
      </c>
      <c r="Q49" s="3960"/>
      <c r="R49" s="3961" t="e">
        <f>IF(F1="售价",ROUND(IF(D48="简单平均",AVERAGE(R48:V48),R48*F48+T48*H48+V48*J48),0),ROUND(IF(D48="简单平均",AVERAGE(R48:V48),R48*F48+T48*H48+V48*J48),1))</f>
        <v>#DIV/0!</v>
      </c>
      <c r="S49" s="3961"/>
      <c r="T49" s="3961"/>
      <c r="U49" s="3961"/>
      <c r="V49" s="3961"/>
      <c r="W49" s="3961"/>
      <c r="X49" s="690"/>
      <c r="Y49" s="690"/>
      <c r="Z49" s="690"/>
      <c r="AA49" s="690"/>
      <c r="AB49" s="690"/>
      <c r="AC49" s="690"/>
    </row>
    <row r="50" spans="1:29">
      <c r="A50" s="2702"/>
      <c r="B50" s="2702"/>
      <c r="C50" s="2702"/>
      <c r="D50" s="2702"/>
      <c r="E50" s="2702"/>
      <c r="F50" s="2702"/>
      <c r="G50" s="2706"/>
      <c r="H50" s="2702"/>
      <c r="I50" s="2702"/>
      <c r="J50" s="2702"/>
      <c r="K50" s="2707"/>
      <c r="L50" s="2703"/>
      <c r="M50" s="2702"/>
      <c r="N50" s="2702"/>
      <c r="O50" s="2702"/>
    </row>
    <row r="51" spans="1:29">
      <c r="A51" s="2702"/>
      <c r="B51" s="2702"/>
      <c r="C51" s="2702"/>
      <c r="D51" s="2702"/>
      <c r="E51" s="2702"/>
      <c r="F51" s="2702"/>
      <c r="G51" s="2702"/>
      <c r="H51" s="2702"/>
      <c r="I51" s="2702"/>
      <c r="J51" s="2702"/>
      <c r="K51" s="2707"/>
      <c r="L51" s="2703"/>
      <c r="M51" s="2702"/>
      <c r="N51" s="2702"/>
      <c r="O51" s="2702"/>
    </row>
    <row r="52" spans="1:29" ht="13.5" customHeight="1">
      <c r="A52" s="2702"/>
      <c r="B52" s="2702"/>
      <c r="C52" s="446" t="s">
        <v>1695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7"/>
      <c r="L52" s="2703"/>
      <c r="M52" s="2702"/>
      <c r="N52" s="2702"/>
      <c r="O52" s="2702"/>
    </row>
    <row r="53" spans="1:29" ht="13.5" customHeight="1">
      <c r="A53" s="2702"/>
      <c r="B53" s="2702"/>
      <c r="C53" s="446" t="s">
        <v>1696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7"/>
      <c r="L53" s="2703"/>
      <c r="M53" s="2702"/>
      <c r="N53" s="2702"/>
      <c r="O53" s="2702"/>
    </row>
    <row r="54" spans="1:29" s="451" customFormat="1" ht="13.5" customHeight="1">
      <c r="A54" s="2705"/>
      <c r="B54" s="2705"/>
      <c r="C54" s="446" t="s">
        <v>1697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10"/>
      <c r="L54" s="2704"/>
      <c r="M54" s="2705"/>
      <c r="N54" s="2705"/>
      <c r="O54" s="2705"/>
      <c r="P54" s="1917"/>
    </row>
    <row r="55" spans="1:29" s="451" customFormat="1">
      <c r="A55" s="2705"/>
      <c r="B55" s="2708"/>
      <c r="C55" s="2709"/>
      <c r="D55" s="2705"/>
      <c r="E55" s="2705"/>
      <c r="F55" s="2705"/>
      <c r="G55" s="2705"/>
      <c r="H55" s="2705"/>
      <c r="I55" s="2705"/>
      <c r="J55" s="2705"/>
      <c r="K55" s="2710"/>
      <c r="L55" s="2704"/>
      <c r="M55" s="2705"/>
      <c r="N55" s="2705"/>
      <c r="O55" s="2705"/>
      <c r="P55" s="1917"/>
    </row>
    <row r="56" spans="1:29">
      <c r="A56" s="2702"/>
      <c r="B56" s="2708"/>
      <c r="C56" s="2709"/>
      <c r="D56" s="2702"/>
      <c r="E56" s="2702"/>
      <c r="F56" s="2702"/>
      <c r="G56" s="2702"/>
      <c r="H56" s="2702"/>
      <c r="I56" s="2702"/>
      <c r="J56" s="2702"/>
      <c r="K56" s="2707"/>
      <c r="L56" s="2703"/>
      <c r="M56" s="2702"/>
      <c r="N56" s="2702"/>
      <c r="O56" s="2702"/>
    </row>
    <row r="57" spans="1:29" ht="21.75" thickBot="1">
      <c r="A57" s="694" t="s">
        <v>1698</v>
      </c>
      <c r="B57" s="690"/>
      <c r="C57" s="695"/>
      <c r="D57" s="695"/>
      <c r="E57" s="695"/>
      <c r="F57" s="696"/>
      <c r="G57" s="696"/>
      <c r="H57" s="695"/>
      <c r="I57" s="695"/>
      <c r="J57" s="695"/>
      <c r="K57" s="941"/>
      <c r="L57" s="942"/>
      <c r="M57" s="940"/>
      <c r="N57" s="940"/>
      <c r="O57" s="940"/>
      <c r="P57" s="1918"/>
      <c r="Q57" s="453"/>
    </row>
    <row r="58" spans="1:29" s="457" customFormat="1" ht="15">
      <c r="A58" s="454" t="s">
        <v>1699</v>
      </c>
      <c r="B58" s="455"/>
      <c r="C58" s="1186" t="str">
        <f>YEAR(C7)&amp;"-"&amp;MONTH(C7)</f>
        <v>2023-12</v>
      </c>
      <c r="D58" s="1185">
        <f>EDATE(C58,-1)</f>
        <v>45231</v>
      </c>
      <c r="E58" s="1185">
        <f>EDATE(D58,-1)</f>
        <v>45200</v>
      </c>
      <c r="F58" s="1185">
        <f t="shared" ref="F58:O58" si="19">EDATE(E58,-1)</f>
        <v>45170</v>
      </c>
      <c r="G58" s="1185">
        <f t="shared" si="19"/>
        <v>45139</v>
      </c>
      <c r="H58" s="1185">
        <f t="shared" si="19"/>
        <v>45108</v>
      </c>
      <c r="I58" s="1185">
        <f t="shared" si="19"/>
        <v>45078</v>
      </c>
      <c r="J58" s="1185">
        <f t="shared" si="19"/>
        <v>45047</v>
      </c>
      <c r="K58" s="1185">
        <f t="shared" si="19"/>
        <v>45017</v>
      </c>
      <c r="L58" s="1185">
        <f t="shared" si="19"/>
        <v>44986</v>
      </c>
      <c r="M58" s="1185">
        <f t="shared" si="19"/>
        <v>44958</v>
      </c>
      <c r="N58" s="1185">
        <f t="shared" si="19"/>
        <v>44927</v>
      </c>
      <c r="O58" s="1185">
        <f t="shared" si="19"/>
        <v>44896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1700</v>
      </c>
      <c r="B60" s="465"/>
      <c r="C60" s="466"/>
      <c r="D60" s="467"/>
      <c r="E60" s="467"/>
      <c r="F60" s="467"/>
      <c r="G60" s="467"/>
      <c r="H60" s="467"/>
      <c r="I60" s="467"/>
      <c r="J60" s="467"/>
      <c r="K60" s="467"/>
      <c r="L60" s="467"/>
      <c r="M60" s="468"/>
      <c r="N60" s="467"/>
      <c r="O60" s="468"/>
      <c r="P60" s="1920"/>
      <c r="Q60" s="453"/>
    </row>
    <row r="61" spans="1:29" s="108" customFormat="1" ht="15">
      <c r="A61" s="470" t="s">
        <v>1701</v>
      </c>
      <c r="B61" s="459"/>
      <c r="C61" s="471" t="s">
        <v>1702</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1703</v>
      </c>
      <c r="B63" s="477" t="s">
        <v>1669</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1672</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1673</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1674</v>
      </c>
      <c r="B76" s="477" t="s">
        <v>1704</v>
      </c>
      <c r="C76" s="522" t="s">
        <v>1705</v>
      </c>
      <c r="D76" s="522" t="s">
        <v>1706</v>
      </c>
      <c r="E76" s="522" t="s">
        <v>1707</v>
      </c>
      <c r="F76" s="522" t="s">
        <v>1708</v>
      </c>
      <c r="G76" s="522" t="s">
        <v>1709</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1710</v>
      </c>
      <c r="C78" s="527" t="s">
        <v>1705</v>
      </c>
      <c r="D78" s="527" t="s">
        <v>1706</v>
      </c>
      <c r="E78" s="527" t="s">
        <v>1707</v>
      </c>
      <c r="F78" s="527" t="s">
        <v>1708</v>
      </c>
      <c r="G78" s="527" t="s">
        <v>1709</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1711</v>
      </c>
      <c r="C80" s="527" t="s">
        <v>1705</v>
      </c>
      <c r="D80" s="527" t="s">
        <v>1706</v>
      </c>
      <c r="E80" s="527" t="s">
        <v>1707</v>
      </c>
      <c r="F80" s="527" t="s">
        <v>1708</v>
      </c>
      <c r="G80" s="527" t="s">
        <v>1709</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1712</v>
      </c>
      <c r="D82" s="488" t="s">
        <v>1713</v>
      </c>
      <c r="E82" s="488" t="s">
        <v>1714</v>
      </c>
      <c r="F82" s="488" t="s">
        <v>1715</v>
      </c>
      <c r="G82" s="488" t="s">
        <v>1716</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1717</v>
      </c>
      <c r="C84" s="527" t="s">
        <v>1705</v>
      </c>
      <c r="D84" s="527" t="s">
        <v>1706</v>
      </c>
      <c r="E84" s="527" t="s">
        <v>1707</v>
      </c>
      <c r="F84" s="527" t="s">
        <v>1708</v>
      </c>
      <c r="G84" s="527" t="s">
        <v>1709</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1718</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1719</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1678</v>
      </c>
      <c r="B100" s="477" t="s">
        <v>1720</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1721</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1722</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1723</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1724</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1725</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1726</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1727</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1689</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1728</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1729</v>
      </c>
      <c r="C124" s="527" t="s">
        <v>1705</v>
      </c>
      <c r="D124" s="527" t="s">
        <v>1706</v>
      </c>
      <c r="E124" s="527" t="s">
        <v>1707</v>
      </c>
      <c r="F124" s="527" t="s">
        <v>1708</v>
      </c>
      <c r="G124" s="527" t="s">
        <v>1709</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1730</v>
      </c>
    </row>
    <row r="137" spans="1:17" ht="15">
      <c r="B137" s="1930" t="s">
        <v>1731</v>
      </c>
      <c r="C137" s="1931"/>
      <c r="D137" s="1931"/>
      <c r="E137" s="1931"/>
      <c r="F137" s="1931"/>
      <c r="G137" s="1932"/>
      <c r="H137" s="1933"/>
      <c r="I137" s="1934" t="s">
        <v>1732</v>
      </c>
      <c r="J137" s="1931"/>
      <c r="K137" s="1935"/>
    </row>
    <row r="138" spans="1:17" ht="15">
      <c r="B138" s="1936"/>
      <c r="C138" s="137" t="s">
        <v>1733</v>
      </c>
      <c r="D138" s="137" t="s">
        <v>1734</v>
      </c>
      <c r="E138" s="1937" t="s">
        <v>1735</v>
      </c>
      <c r="F138" s="1938" t="s">
        <v>1736</v>
      </c>
      <c r="G138" s="137" t="s">
        <v>1734</v>
      </c>
      <c r="H138" s="138" t="s">
        <v>1735</v>
      </c>
      <c r="I138" s="1939"/>
      <c r="J138" s="137" t="s">
        <v>1737</v>
      </c>
      <c r="K138" s="138" t="s">
        <v>1738</v>
      </c>
    </row>
    <row r="139" spans="1:17" ht="15">
      <c r="B139" s="867">
        <v>6</v>
      </c>
      <c r="C139" s="868">
        <v>96</v>
      </c>
      <c r="D139" s="1940" t="s">
        <v>1739</v>
      </c>
      <c r="E139" s="869">
        <v>100</v>
      </c>
      <c r="F139" s="870">
        <v>102.5</v>
      </c>
      <c r="G139" s="1940" t="s">
        <v>1739</v>
      </c>
      <c r="H139" s="871">
        <v>105</v>
      </c>
      <c r="I139" s="1941" t="s">
        <v>1740</v>
      </c>
      <c r="J139" s="868">
        <v>20</v>
      </c>
      <c r="K139" s="872">
        <f>C145/(J139-2)</f>
        <v>4.0555555555555553E-3</v>
      </c>
    </row>
    <row r="140" spans="1:17" ht="15">
      <c r="B140" s="873">
        <v>5</v>
      </c>
      <c r="C140" s="874">
        <v>100</v>
      </c>
      <c r="D140" s="874"/>
      <c r="E140" s="875"/>
      <c r="F140" s="876">
        <v>102</v>
      </c>
      <c r="G140" s="874"/>
      <c r="H140" s="877"/>
      <c r="I140" s="1942" t="s">
        <v>1741</v>
      </c>
      <c r="J140" s="271">
        <f>ROUNDUP((J139-1)/2,0)</f>
        <v>10</v>
      </c>
      <c r="K140" s="878">
        <v>100</v>
      </c>
    </row>
    <row r="141" spans="1:17" ht="15">
      <c r="B141" s="873">
        <v>4</v>
      </c>
      <c r="C141" s="874">
        <v>102</v>
      </c>
      <c r="D141" s="874"/>
      <c r="E141" s="875"/>
      <c r="F141" s="876">
        <v>101.5</v>
      </c>
      <c r="G141" s="874"/>
      <c r="H141" s="877"/>
      <c r="I141" s="1942" t="s">
        <v>1742</v>
      </c>
      <c r="J141" s="271">
        <v>1</v>
      </c>
      <c r="K141" s="879">
        <f>ROUND(100+(J141-J140)*K139*100,1)</f>
        <v>96.4</v>
      </c>
    </row>
    <row r="142" spans="1:17" ht="15">
      <c r="B142" s="873">
        <v>3</v>
      </c>
      <c r="C142" s="874">
        <v>103</v>
      </c>
      <c r="D142" s="874"/>
      <c r="E142" s="875"/>
      <c r="F142" s="876">
        <v>101</v>
      </c>
      <c r="G142" s="874"/>
      <c r="H142" s="877"/>
      <c r="I142" s="1942" t="s">
        <v>1743</v>
      </c>
      <c r="J142" s="271">
        <f>J139</f>
        <v>20</v>
      </c>
      <c r="K142" s="880">
        <v>95</v>
      </c>
    </row>
    <row r="143" spans="1:17" ht="15">
      <c r="B143" s="873">
        <v>2</v>
      </c>
      <c r="C143" s="874">
        <v>100</v>
      </c>
      <c r="D143" s="874"/>
      <c r="E143" s="875"/>
      <c r="F143" s="876">
        <v>100.5</v>
      </c>
      <c r="G143" s="874"/>
      <c r="H143" s="877"/>
      <c r="I143" s="1942" t="s">
        <v>1744</v>
      </c>
      <c r="J143" s="874">
        <v>15</v>
      </c>
      <c r="K143" s="879">
        <f>ROUND(100+(J143-J140)*K139*100,1)</f>
        <v>102</v>
      </c>
    </row>
    <row r="144" spans="1:17" ht="15">
      <c r="B144" s="873">
        <v>1</v>
      </c>
      <c r="C144" s="874">
        <v>98</v>
      </c>
      <c r="D144" s="1943" t="s">
        <v>1745</v>
      </c>
      <c r="E144" s="875">
        <v>102</v>
      </c>
      <c r="F144" s="881">
        <v>100</v>
      </c>
      <c r="G144" s="1943" t="s">
        <v>1745</v>
      </c>
      <c r="H144" s="877">
        <v>105</v>
      </c>
      <c r="I144" s="1942" t="s">
        <v>1744</v>
      </c>
      <c r="J144" s="874">
        <v>18</v>
      </c>
      <c r="K144" s="879">
        <f>ROUND(100+(J144-J140)*K139*100,1)</f>
        <v>103.2</v>
      </c>
    </row>
    <row r="145" spans="2:11" ht="15.75" thickBot="1">
      <c r="B145" s="1944" t="s">
        <v>1746</v>
      </c>
      <c r="C145" s="882">
        <f>ROUND(MAX(C139:C144)/MIN(C139:C144)-1,3)</f>
        <v>7.2999999999999995E-2</v>
      </c>
      <c r="D145" s="883"/>
      <c r="E145" s="883"/>
      <c r="F145" s="1945" t="s">
        <v>1747</v>
      </c>
      <c r="G145" s="1946"/>
      <c r="H145" s="1947"/>
      <c r="I145" s="1948" t="s">
        <v>1744</v>
      </c>
      <c r="J145" s="884">
        <v>8</v>
      </c>
      <c r="K145" s="885">
        <f>ROUND(100+(J145-J140)*K139*100,1)</f>
        <v>99.2</v>
      </c>
    </row>
    <row r="147" spans="2:11">
      <c r="B147" s="1929" t="s">
        <v>1748</v>
      </c>
    </row>
    <row r="148" spans="2:11">
      <c r="B148" s="1929" t="s">
        <v>1749</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46" priority="19" stopIfTrue="1" operator="containsText" text="超过">
      <formula>NOT(ISERROR(SEARCH("超过",F52)))</formula>
    </cfRule>
  </conditionalFormatting>
  <conditionalFormatting sqref="J54">
    <cfRule type="containsText" dxfId="145" priority="18" stopIfTrue="1" operator="containsText" text="超过">
      <formula>NOT(ISERROR(SEARCH("超过",J54)))</formula>
    </cfRule>
  </conditionalFormatting>
  <conditionalFormatting sqref="H54">
    <cfRule type="containsText" dxfId="144" priority="17" stopIfTrue="1" operator="containsText" text="超过">
      <formula>NOT(ISERROR(SEARCH("超过",H54)))</formula>
    </cfRule>
  </conditionalFormatting>
  <conditionalFormatting sqref="F54">
    <cfRule type="containsText" dxfId="143" priority="16" stopIfTrue="1" operator="containsText" text="超过">
      <formula>NOT(ISERROR(SEARCH("超过",F54)))</formula>
    </cfRule>
  </conditionalFormatting>
  <conditionalFormatting sqref="F53 H53 J53">
    <cfRule type="containsText" dxfId="142" priority="15" stopIfTrue="1" operator="containsText" text="超过">
      <formula>NOT(ISERROR(SEARCH("超过",F53)))</formula>
    </cfRule>
  </conditionalFormatting>
  <conditionalFormatting sqref="E52">
    <cfRule type="expression" dxfId="141" priority="14" stopIfTrue="1">
      <formula>$F$52="超过30%"</formula>
    </cfRule>
  </conditionalFormatting>
  <conditionalFormatting sqref="G54">
    <cfRule type="expression" dxfId="140" priority="12" stopIfTrue="1">
      <formula>$H$54="超过30%"</formula>
    </cfRule>
  </conditionalFormatting>
  <conditionalFormatting sqref="E53">
    <cfRule type="expression" dxfId="139" priority="11" stopIfTrue="1">
      <formula>$F$53="超过20%"</formula>
    </cfRule>
  </conditionalFormatting>
  <conditionalFormatting sqref="E54">
    <cfRule type="expression" dxfId="138" priority="10" stopIfTrue="1">
      <formula>$F$54="超过30%"</formula>
    </cfRule>
  </conditionalFormatting>
  <conditionalFormatting sqref="G52">
    <cfRule type="expression" dxfId="137" priority="9" stopIfTrue="1">
      <formula>$H$52="超过30%"</formula>
    </cfRule>
  </conditionalFormatting>
  <conditionalFormatting sqref="G53">
    <cfRule type="expression" dxfId="136" priority="8" stopIfTrue="1">
      <formula>$H$53="超过20%"</formula>
    </cfRule>
  </conditionalFormatting>
  <conditionalFormatting sqref="I52">
    <cfRule type="expression" dxfId="135" priority="7" stopIfTrue="1">
      <formula>$J$52="超过30%"</formula>
    </cfRule>
  </conditionalFormatting>
  <conditionalFormatting sqref="I53">
    <cfRule type="expression" dxfId="134" priority="6" stopIfTrue="1">
      <formula>$J$53="超过20%"</formula>
    </cfRule>
  </conditionalFormatting>
  <conditionalFormatting sqref="I54">
    <cfRule type="expression" dxfId="133" priority="5" stopIfTrue="1">
      <formula>$J$54="超过30%"</formula>
    </cfRule>
  </conditionalFormatting>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F7:F46 H7:H46 J7:J46">
    <cfRule type="cellIs" dxfId="12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1644</v>
      </c>
      <c r="B1" s="1878" t="s">
        <v>1750</v>
      </c>
      <c r="C1" s="1238" t="s">
        <v>1646</v>
      </c>
      <c r="D1" s="1225"/>
      <c r="E1" s="3403"/>
      <c r="F1" s="1879"/>
      <c r="G1" s="1235" t="s">
        <v>1751</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1446</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1447</v>
      </c>
      <c r="F2" s="1883"/>
      <c r="G2" s="908"/>
      <c r="H2" s="908"/>
      <c r="I2" s="908"/>
      <c r="J2" s="908"/>
      <c r="K2" s="908"/>
      <c r="L2" s="2711"/>
      <c r="M2" s="2712"/>
      <c r="N2" s="2712"/>
      <c r="O2" s="2712"/>
      <c r="P2" s="1952"/>
      <c r="Q2" s="912"/>
      <c r="R2" s="912"/>
      <c r="S2" s="912"/>
      <c r="T2" s="912"/>
      <c r="U2" s="912"/>
      <c r="V2" s="912"/>
      <c r="W2" s="912"/>
      <c r="X2" s="912"/>
      <c r="Y2" s="912"/>
      <c r="Z2" s="912"/>
      <c r="AA2" s="912"/>
      <c r="AB2" s="912"/>
      <c r="AC2" s="1953"/>
    </row>
    <row r="3" spans="1:29" s="352" customFormat="1" ht="28.5" customHeight="1" thickBot="1">
      <c r="A3" s="203" t="s">
        <v>1448</v>
      </c>
      <c r="B3" s="558">
        <f>IF(C2="——",C49,ROUND(B2*10000/D3,0))</f>
        <v>0</v>
      </c>
      <c r="C3" s="354" t="s">
        <v>1752</v>
      </c>
      <c r="D3" s="353">
        <f>IF(D1="",'数据-汇总表'!E3,SUMIF('数据-汇总表'!$C19:$C33,D1,'数据-汇总表'!$E19:$E33))</f>
        <v>48720.729999999974</v>
      </c>
      <c r="E3" s="1954"/>
      <c r="F3" s="909"/>
      <c r="G3" s="908"/>
      <c r="H3" s="908"/>
      <c r="I3" s="908"/>
      <c r="J3" s="908"/>
      <c r="K3" s="910"/>
      <c r="L3" s="2711"/>
      <c r="M3" s="2712"/>
      <c r="N3" s="2712"/>
      <c r="O3" s="2712"/>
      <c r="P3" s="1952"/>
      <c r="Q3" s="912"/>
      <c r="R3" s="912"/>
      <c r="S3" s="912"/>
      <c r="T3" s="912"/>
      <c r="U3" s="912"/>
      <c r="V3" s="912"/>
      <c r="W3" s="912"/>
      <c r="X3" s="912"/>
      <c r="Y3" s="912"/>
      <c r="Z3" s="912"/>
      <c r="AA3" s="912"/>
      <c r="AB3" s="912"/>
      <c r="AC3" s="1954"/>
    </row>
    <row r="4" spans="1:29" ht="15">
      <c r="A4" s="355" t="s">
        <v>1753</v>
      </c>
      <c r="B4" s="356"/>
      <c r="C4" s="3922" t="s">
        <v>1754</v>
      </c>
      <c r="D4" s="3923"/>
      <c r="E4" s="3924" t="s">
        <v>1755</v>
      </c>
      <c r="F4" s="3925"/>
      <c r="G4" s="3922" t="s">
        <v>1756</v>
      </c>
      <c r="H4" s="3923"/>
      <c r="I4" s="3922" t="s">
        <v>1757</v>
      </c>
      <c r="J4" s="3923"/>
      <c r="K4" s="559" t="s">
        <v>1758</v>
      </c>
      <c r="L4" s="2692"/>
      <c r="M4" s="2693"/>
      <c r="N4" s="2693"/>
      <c r="O4" s="2693"/>
      <c r="P4" s="3963" t="s">
        <v>1759</v>
      </c>
      <c r="Q4" s="3964"/>
      <c r="R4" s="3967" t="s">
        <v>1755</v>
      </c>
      <c r="S4" s="3968"/>
      <c r="T4" s="3967" t="s">
        <v>1756</v>
      </c>
      <c r="U4" s="3968"/>
      <c r="V4" s="3939" t="s">
        <v>1757</v>
      </c>
      <c r="W4" s="3939"/>
      <c r="X4" s="1355"/>
      <c r="Y4" s="3967" t="s">
        <v>1759</v>
      </c>
      <c r="Z4" s="3968"/>
      <c r="AA4" s="3962" t="s">
        <v>1755</v>
      </c>
      <c r="AB4" s="3939" t="s">
        <v>1756</v>
      </c>
      <c r="AC4" s="3962" t="s">
        <v>1757</v>
      </c>
    </row>
    <row r="5" spans="1:29" ht="15">
      <c r="A5" s="358"/>
      <c r="B5" s="359"/>
      <c r="C5" s="3948" t="s">
        <v>1657</v>
      </c>
      <c r="D5" s="3943"/>
      <c r="E5" s="3955" t="s">
        <v>1658</v>
      </c>
      <c r="F5" s="3956"/>
      <c r="G5" s="3948" t="s">
        <v>1659</v>
      </c>
      <c r="H5" s="3943"/>
      <c r="I5" s="3948" t="s">
        <v>1660</v>
      </c>
      <c r="J5" s="3943"/>
      <c r="K5" s="559"/>
      <c r="L5" s="2692"/>
      <c r="M5" s="2693"/>
      <c r="N5" s="2693"/>
      <c r="O5" s="2693"/>
      <c r="P5" s="3965"/>
      <c r="Q5" s="3929"/>
      <c r="R5" s="3934"/>
      <c r="S5" s="3935"/>
      <c r="T5" s="3934"/>
      <c r="U5" s="3935"/>
      <c r="V5" s="3939"/>
      <c r="W5" s="3939"/>
      <c r="X5" s="1355"/>
      <c r="Y5" s="3934"/>
      <c r="Z5" s="3935"/>
      <c r="AA5" s="3953"/>
      <c r="AB5" s="3939"/>
      <c r="AC5" s="3953"/>
    </row>
    <row r="6" spans="1:29" ht="15.75" thickBot="1">
      <c r="A6" s="360"/>
      <c r="B6" s="361"/>
      <c r="C6" s="3940" t="s">
        <v>1661</v>
      </c>
      <c r="D6" s="3941"/>
      <c r="E6" s="3950" t="s">
        <v>1661</v>
      </c>
      <c r="F6" s="3951"/>
      <c r="G6" s="3940" t="s">
        <v>1661</v>
      </c>
      <c r="H6" s="3941"/>
      <c r="I6" s="3940" t="s">
        <v>1661</v>
      </c>
      <c r="J6" s="3941"/>
      <c r="K6" s="559" t="s">
        <v>1662</v>
      </c>
      <c r="L6" s="2692"/>
      <c r="M6" s="2693"/>
      <c r="N6" s="2693"/>
      <c r="O6" s="2693"/>
      <c r="P6" s="3966"/>
      <c r="Q6" s="3931"/>
      <c r="R6" s="3934"/>
      <c r="S6" s="3935"/>
      <c r="T6" s="3936"/>
      <c r="U6" s="3937"/>
      <c r="V6" s="3939"/>
      <c r="W6" s="3939"/>
      <c r="X6" s="1355"/>
      <c r="Y6" s="3936"/>
      <c r="Z6" s="3937"/>
      <c r="AA6" s="3954"/>
      <c r="AB6" s="3939"/>
      <c r="AC6" s="3954"/>
    </row>
    <row r="7" spans="1:29" s="108" customFormat="1" ht="15.75" thickBot="1">
      <c r="A7" s="362" t="s">
        <v>1663</v>
      </c>
      <c r="B7" s="363"/>
      <c r="C7" s="364">
        <f>'数据-取费表'!B2</f>
        <v>45287</v>
      </c>
      <c r="D7" s="365">
        <v>100</v>
      </c>
      <c r="E7" s="366"/>
      <c r="F7" s="367">
        <f>SUMIF(58:58,YEAR(E7)&amp;"-"&amp;MONTH(E7),59:59)</f>
        <v>0</v>
      </c>
      <c r="G7" s="366"/>
      <c r="H7" s="365">
        <f>SUMIF(58:58,YEAR(G7)&amp;"-"&amp;MONTH(G7),59:59)</f>
        <v>0</v>
      </c>
      <c r="I7" s="366"/>
      <c r="J7" s="365">
        <f>SUMIF(58:58,YEAR(I7)&amp;"-"&amp;MONTH(I7),59:59)</f>
        <v>0</v>
      </c>
      <c r="K7" s="560"/>
      <c r="L7" s="2694"/>
      <c r="M7" s="2695"/>
      <c r="N7" s="2695"/>
      <c r="O7" s="2695"/>
      <c r="P7" s="3946" t="s">
        <v>1664</v>
      </c>
      <c r="Q7" s="3947"/>
      <c r="R7" s="701" t="s">
        <v>14</v>
      </c>
      <c r="S7" s="702">
        <f t="shared" ref="S7:S15" si="0">F7</f>
        <v>0</v>
      </c>
      <c r="T7" s="701" t="s">
        <v>14</v>
      </c>
      <c r="U7" s="702">
        <f t="shared" ref="U7:U15" si="1">H7</f>
        <v>0</v>
      </c>
      <c r="V7" s="701" t="s">
        <v>14</v>
      </c>
      <c r="W7" s="702">
        <f t="shared" ref="W7:W15" si="2">J7</f>
        <v>0</v>
      </c>
      <c r="X7" s="703"/>
      <c r="Y7" s="3946" t="s">
        <v>1664</v>
      </c>
      <c r="Z7" s="3945"/>
      <c r="AA7" s="704" t="e">
        <f>D7/F7</f>
        <v>#DIV/0!</v>
      </c>
      <c r="AB7" s="704" t="e">
        <f>D7/H7</f>
        <v>#DIV/0!</v>
      </c>
      <c r="AC7" s="704" t="e">
        <f>D7/J7</f>
        <v>#DIV/0!</v>
      </c>
    </row>
    <row r="8" spans="1:29" s="108" customFormat="1" ht="15.75" thickBot="1">
      <c r="A8" s="362" t="s">
        <v>1665</v>
      </c>
      <c r="B8" s="363"/>
      <c r="C8" s="368"/>
      <c r="D8" s="365">
        <v>100</v>
      </c>
      <c r="E8" s="368"/>
      <c r="F8" s="367">
        <f>SUMIF(61:61,E8,62:62)-SUMIF(61:61,C8,62:62)+100</f>
        <v>100</v>
      </c>
      <c r="G8" s="368"/>
      <c r="H8" s="365">
        <f>SUMIF(61:61,G8,62:62)-SUMIF(61:61,C8,62:62)+100</f>
        <v>100</v>
      </c>
      <c r="I8" s="368"/>
      <c r="J8" s="365">
        <f>SUMIF(61:61,I8,62:62)-SUMIF(61:61,C8,62:62)+100</f>
        <v>100</v>
      </c>
      <c r="K8" s="560"/>
      <c r="L8" s="2694"/>
      <c r="M8" s="2695"/>
      <c r="N8" s="2695"/>
      <c r="O8" s="2695"/>
      <c r="P8" s="3946" t="s">
        <v>1667</v>
      </c>
      <c r="Q8" s="3945"/>
      <c r="R8" s="701" t="s">
        <v>14</v>
      </c>
      <c r="S8" s="702">
        <f t="shared" si="0"/>
        <v>100</v>
      </c>
      <c r="T8" s="701" t="s">
        <v>14</v>
      </c>
      <c r="U8" s="702">
        <f t="shared" si="1"/>
        <v>100</v>
      </c>
      <c r="V8" s="701" t="s">
        <v>14</v>
      </c>
      <c r="W8" s="702">
        <f t="shared" si="2"/>
        <v>100</v>
      </c>
      <c r="X8" s="703"/>
      <c r="Y8" s="3946" t="s">
        <v>1667</v>
      </c>
      <c r="Z8" s="3945"/>
      <c r="AA8" s="704">
        <f t="shared" ref="AA8:AA46" si="3">D8/F8</f>
        <v>1</v>
      </c>
      <c r="AB8" s="704">
        <f t="shared" ref="AB8:AB46" si="4">D8/H8</f>
        <v>1</v>
      </c>
      <c r="AC8" s="704">
        <f t="shared" ref="AC8:AC46" si="5">D8/J8</f>
        <v>1</v>
      </c>
    </row>
    <row r="9" spans="1:29" s="108" customFormat="1">
      <c r="A9" s="369" t="s">
        <v>1668</v>
      </c>
      <c r="B9" s="63" t="s">
        <v>1669</v>
      </c>
      <c r="C9" s="370"/>
      <c r="D9" s="126">
        <v>100</v>
      </c>
      <c r="E9" s="371"/>
      <c r="F9" s="372">
        <f>SUMIF(63:63,E9,64:64)-SUMIF(63:63,C9,64:64)+100</f>
        <v>100</v>
      </c>
      <c r="G9" s="371"/>
      <c r="H9" s="126">
        <f>SUMIF(63:63,G9,64:64)-SUMIF(63:63,C9,64:64)+100</f>
        <v>100</v>
      </c>
      <c r="I9" s="371"/>
      <c r="J9" s="126">
        <f>SUMIF(63:63,I9,64:64)-SUMIF(63:63,C9,64:64)+100</f>
        <v>100</v>
      </c>
      <c r="K9" s="560"/>
      <c r="L9" s="2694"/>
      <c r="M9" s="2695"/>
      <c r="N9" s="2695"/>
      <c r="O9" s="2695"/>
      <c r="P9" s="3904" t="s">
        <v>1670</v>
      </c>
      <c r="Q9" s="1343" t="str">
        <f t="shared" ref="Q9:Q15" si="6">B9</f>
        <v>用途</v>
      </c>
      <c r="R9" s="701" t="s">
        <v>14</v>
      </c>
      <c r="S9" s="702">
        <f t="shared" si="0"/>
        <v>100</v>
      </c>
      <c r="T9" s="701" t="s">
        <v>14</v>
      </c>
      <c r="U9" s="702">
        <f t="shared" si="1"/>
        <v>100</v>
      </c>
      <c r="V9" s="701" t="s">
        <v>14</v>
      </c>
      <c r="W9" s="702">
        <f t="shared" si="2"/>
        <v>100</v>
      </c>
      <c r="X9" s="703"/>
      <c r="Y9" s="3783" t="s">
        <v>1671</v>
      </c>
      <c r="Z9" s="52" t="str">
        <f t="shared" ref="Z9:Z15" si="7">Q9</f>
        <v>用途</v>
      </c>
      <c r="AA9" s="704">
        <f t="shared" si="3"/>
        <v>1</v>
      </c>
      <c r="AB9" s="704">
        <f t="shared" si="4"/>
        <v>1</v>
      </c>
      <c r="AC9" s="704">
        <f t="shared" si="5"/>
        <v>1</v>
      </c>
    </row>
    <row r="10" spans="1:29" s="378" customFormat="1" ht="27">
      <c r="A10" s="374"/>
      <c r="B10" s="375" t="s">
        <v>1672</v>
      </c>
      <c r="C10" s="3411"/>
      <c r="D10" s="127">
        <v>100</v>
      </c>
      <c r="E10" s="3412"/>
      <c r="F10" s="376">
        <f>SUMIF(65:65,E10,66:66)-SUMIF(65:65,C10,66:66)+100</f>
        <v>100</v>
      </c>
      <c r="G10" s="3411"/>
      <c r="H10" s="127">
        <f>SUMIF(65:65,G10,66:66)-SUMIF(65:65,C10,66:66)+100</f>
        <v>100</v>
      </c>
      <c r="I10" s="3411"/>
      <c r="J10" s="127">
        <f>SUMIF(65:65,I10,66:66)-SUMIF(65:65,C10,66:66)+100</f>
        <v>100</v>
      </c>
      <c r="K10" s="560"/>
      <c r="L10" s="2696"/>
      <c r="M10" s="2697"/>
      <c r="N10" s="2697"/>
      <c r="O10" s="2697"/>
      <c r="P10" s="3904"/>
      <c r="Q10" s="1343" t="str">
        <f t="shared" si="6"/>
        <v>土地使用年限（年）</v>
      </c>
      <c r="R10" s="701" t="s">
        <v>14</v>
      </c>
      <c r="S10" s="702">
        <f t="shared" si="0"/>
        <v>100</v>
      </c>
      <c r="T10" s="701" t="s">
        <v>14</v>
      </c>
      <c r="U10" s="702">
        <f t="shared" si="1"/>
        <v>100</v>
      </c>
      <c r="V10" s="701" t="s">
        <v>14</v>
      </c>
      <c r="W10" s="702">
        <f t="shared" si="2"/>
        <v>100</v>
      </c>
      <c r="X10" s="703"/>
      <c r="Y10" s="3783"/>
      <c r="Z10" s="52" t="str">
        <f t="shared" si="7"/>
        <v>土地使用年限（年）</v>
      </c>
      <c r="AA10" s="704">
        <f t="shared" si="3"/>
        <v>1</v>
      </c>
      <c r="AB10" s="704">
        <f t="shared" si="4"/>
        <v>1</v>
      </c>
      <c r="AC10" s="704">
        <f t="shared" si="5"/>
        <v>1</v>
      </c>
    </row>
    <row r="11" spans="1:29" ht="15">
      <c r="A11" s="379"/>
      <c r="B11" s="375" t="s">
        <v>1673</v>
      </c>
      <c r="C11" s="380"/>
      <c r="D11" s="127">
        <v>100</v>
      </c>
      <c r="E11" s="381"/>
      <c r="F11" s="376" t="e">
        <f>LOOKUP(E11,68:68,69:69)-LOOKUP(C11,68:68,69:69)+100</f>
        <v>#N/A</v>
      </c>
      <c r="G11" s="380"/>
      <c r="H11" s="127" t="e">
        <f>LOOKUP(G11,68:68,69:69)-LOOKUP(C11,68:68,69:69)+100</f>
        <v>#N/A</v>
      </c>
      <c r="I11" s="380"/>
      <c r="J11" s="127" t="e">
        <f>LOOKUP(I11,68:68,69:69)-LOOKUP(C11,68:68,69:69)+100</f>
        <v>#N/A</v>
      </c>
      <c r="K11" s="561"/>
      <c r="L11" s="2698"/>
      <c r="M11" s="2693"/>
      <c r="N11" s="2693"/>
      <c r="O11" s="2693"/>
      <c r="P11" s="3904"/>
      <c r="Q11" s="1343" t="str">
        <f t="shared" si="6"/>
        <v>容积率</v>
      </c>
      <c r="R11" s="701" t="s">
        <v>14</v>
      </c>
      <c r="S11" s="702" t="e">
        <f t="shared" si="0"/>
        <v>#N/A</v>
      </c>
      <c r="T11" s="701" t="s">
        <v>14</v>
      </c>
      <c r="U11" s="702" t="e">
        <f t="shared" si="1"/>
        <v>#N/A</v>
      </c>
      <c r="V11" s="701" t="s">
        <v>14</v>
      </c>
      <c r="W11" s="702" t="e">
        <f t="shared" si="2"/>
        <v>#N/A</v>
      </c>
      <c r="X11" s="703"/>
      <c r="Y11" s="378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694"/>
      <c r="M12" s="2695"/>
      <c r="N12" s="2695"/>
      <c r="O12" s="2695"/>
      <c r="P12" s="3904"/>
      <c r="Q12" s="1343">
        <f t="shared" si="6"/>
        <v>111</v>
      </c>
      <c r="R12" s="701" t="s">
        <v>14</v>
      </c>
      <c r="S12" s="702">
        <f t="shared" si="0"/>
        <v>100</v>
      </c>
      <c r="T12" s="701" t="s">
        <v>14</v>
      </c>
      <c r="U12" s="702">
        <f t="shared" si="1"/>
        <v>100</v>
      </c>
      <c r="V12" s="701" t="s">
        <v>14</v>
      </c>
      <c r="W12" s="702">
        <f t="shared" si="2"/>
        <v>100</v>
      </c>
      <c r="X12" s="703"/>
      <c r="Y12" s="378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699"/>
      <c r="M13" s="2693"/>
      <c r="N13" s="2693"/>
      <c r="O13" s="2693"/>
      <c r="P13" s="3904"/>
      <c r="Q13" s="1343">
        <f t="shared" si="6"/>
        <v>111</v>
      </c>
      <c r="R13" s="701" t="s">
        <v>14</v>
      </c>
      <c r="S13" s="702">
        <f t="shared" si="0"/>
        <v>100</v>
      </c>
      <c r="T13" s="701" t="s">
        <v>14</v>
      </c>
      <c r="U13" s="702">
        <f t="shared" si="1"/>
        <v>100</v>
      </c>
      <c r="V13" s="701" t="s">
        <v>14</v>
      </c>
      <c r="W13" s="702">
        <f t="shared" si="2"/>
        <v>100</v>
      </c>
      <c r="X13" s="703"/>
      <c r="Y13" s="3783"/>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699"/>
      <c r="M14" s="2693"/>
      <c r="N14" s="2693"/>
      <c r="O14" s="2693"/>
      <c r="P14" s="3904"/>
      <c r="Q14" s="1343">
        <f t="shared" si="6"/>
        <v>111</v>
      </c>
      <c r="R14" s="701" t="s">
        <v>14</v>
      </c>
      <c r="S14" s="702">
        <f t="shared" si="0"/>
        <v>100</v>
      </c>
      <c r="T14" s="701" t="s">
        <v>14</v>
      </c>
      <c r="U14" s="702">
        <f t="shared" si="1"/>
        <v>100</v>
      </c>
      <c r="V14" s="701" t="s">
        <v>14</v>
      </c>
      <c r="W14" s="702">
        <f t="shared" si="2"/>
        <v>100</v>
      </c>
      <c r="X14" s="703"/>
      <c r="Y14" s="3783"/>
      <c r="Z14" s="52">
        <f t="shared" si="7"/>
        <v>111</v>
      </c>
      <c r="AA14" s="704">
        <f t="shared" si="3"/>
        <v>1</v>
      </c>
      <c r="AB14" s="704">
        <f t="shared" si="4"/>
        <v>1</v>
      </c>
      <c r="AC14" s="704">
        <f t="shared" si="5"/>
        <v>1</v>
      </c>
    </row>
    <row r="15" spans="1:29" ht="15">
      <c r="A15" s="391" t="s">
        <v>1674</v>
      </c>
      <c r="B15" s="61" t="s">
        <v>1761</v>
      </c>
      <c r="C15" s="1896" t="str">
        <f>估价对象房地状况!C4</f>
        <v>一般</v>
      </c>
      <c r="D15" s="392">
        <v>100</v>
      </c>
      <c r="E15" s="393"/>
      <c r="F15" s="394">
        <f>SUMIF(76:76,E16,77:77)-SUMIF(76:76,C16,77:77)+100</f>
        <v>100</v>
      </c>
      <c r="G15" s="395"/>
      <c r="H15" s="392">
        <f>SUMIF(76:76,G16,77:77)-SUMIF(76:76,C16,77:77)+100</f>
        <v>100</v>
      </c>
      <c r="I15" s="393"/>
      <c r="J15" s="392">
        <f>SUMIF(76:76,I16,77:77)-SUMIF(76:76,C16,77:77)+100</f>
        <v>100</v>
      </c>
      <c r="K15" s="563"/>
      <c r="L15" s="2699"/>
      <c r="M15" s="2693"/>
      <c r="N15" s="2693"/>
      <c r="O15" s="2693"/>
      <c r="P15" s="3910" t="s">
        <v>1675</v>
      </c>
      <c r="Q15" s="1352" t="str">
        <f t="shared" si="6"/>
        <v>商业繁华度</v>
      </c>
      <c r="R15" s="705" t="s">
        <v>14</v>
      </c>
      <c r="S15" s="706">
        <f t="shared" si="0"/>
        <v>100</v>
      </c>
      <c r="T15" s="705" t="s">
        <v>14</v>
      </c>
      <c r="U15" s="706">
        <f t="shared" si="1"/>
        <v>100</v>
      </c>
      <c r="V15" s="705" t="s">
        <v>14</v>
      </c>
      <c r="W15" s="706">
        <f t="shared" si="2"/>
        <v>100</v>
      </c>
      <c r="X15" s="1355"/>
      <c r="Y15" s="3912" t="s">
        <v>1675</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699"/>
      <c r="M16" s="2693"/>
      <c r="N16" s="2693"/>
      <c r="O16" s="2693"/>
      <c r="P16" s="3911"/>
      <c r="Q16" s="1352"/>
      <c r="R16" s="705"/>
      <c r="S16" s="706"/>
      <c r="T16" s="705"/>
      <c r="U16" s="706"/>
      <c r="V16" s="705"/>
      <c r="W16" s="706"/>
      <c r="X16" s="1355"/>
      <c r="Y16" s="3913"/>
      <c r="Z16" s="1356"/>
      <c r="AA16" s="1353">
        <v>1</v>
      </c>
      <c r="AB16" s="1353">
        <v>1</v>
      </c>
      <c r="AC16" s="1353">
        <v>1</v>
      </c>
    </row>
    <row r="17" spans="1:29" ht="15">
      <c r="A17" s="379"/>
      <c r="B17" s="402" t="s">
        <v>1259</v>
      </c>
      <c r="C17" s="1900" t="str">
        <f>估价对象房地状况!C6</f>
        <v>一般</v>
      </c>
      <c r="D17" s="401">
        <v>100</v>
      </c>
      <c r="E17" s="403"/>
      <c r="F17" s="404">
        <f>SUMIF(78:78,E18,79:79)-SUMIF(78:78,C18,79:79)+100</f>
        <v>100</v>
      </c>
      <c r="G17" s="405"/>
      <c r="H17" s="406">
        <f>SUMIF(78:78,G18,79:79)-SUMIF(78:78,C18,79:79)+100</f>
        <v>100</v>
      </c>
      <c r="I17" s="403"/>
      <c r="J17" s="406">
        <f>SUMIF(78:78,I18,79:79)-SUMIF(78:78,C18,79:79)+100</f>
        <v>100</v>
      </c>
      <c r="K17" s="563"/>
      <c r="L17" s="2699"/>
      <c r="M17" s="2693"/>
      <c r="N17" s="2693"/>
      <c r="O17" s="2693"/>
      <c r="P17" s="3911"/>
      <c r="Q17" s="1352" t="str">
        <f>B17</f>
        <v>交通便捷度</v>
      </c>
      <c r="R17" s="705" t="s">
        <v>14</v>
      </c>
      <c r="S17" s="706">
        <f>F17</f>
        <v>100</v>
      </c>
      <c r="T17" s="705" t="s">
        <v>14</v>
      </c>
      <c r="U17" s="706">
        <f>H17</f>
        <v>100</v>
      </c>
      <c r="V17" s="705" t="s">
        <v>14</v>
      </c>
      <c r="W17" s="706">
        <f>J17</f>
        <v>100</v>
      </c>
      <c r="X17" s="1355"/>
      <c r="Y17" s="391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699"/>
      <c r="M18" s="2693"/>
      <c r="N18" s="2693"/>
      <c r="O18" s="2693"/>
      <c r="P18" s="3911"/>
      <c r="Q18" s="1352"/>
      <c r="R18" s="705"/>
      <c r="S18" s="706"/>
      <c r="T18" s="705"/>
      <c r="U18" s="706"/>
      <c r="V18" s="705"/>
      <c r="W18" s="706"/>
      <c r="X18" s="1355"/>
      <c r="Y18" s="3913"/>
      <c r="Z18" s="1356"/>
      <c r="AA18" s="1353">
        <v>1</v>
      </c>
      <c r="AB18" s="1353">
        <v>1</v>
      </c>
      <c r="AC18" s="1353">
        <v>1</v>
      </c>
    </row>
    <row r="19" spans="1:29" ht="15">
      <c r="A19" s="379"/>
      <c r="B19" s="402" t="s">
        <v>1762</v>
      </c>
      <c r="C19" s="1900"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699"/>
      <c r="M19" s="2693"/>
      <c r="N19" s="2693"/>
      <c r="O19" s="2693"/>
      <c r="P19" s="3911"/>
      <c r="Q19" s="1352" t="str">
        <f>B19</f>
        <v>公共配套设施</v>
      </c>
      <c r="R19" s="705" t="s">
        <v>14</v>
      </c>
      <c r="S19" s="706">
        <f>F19</f>
        <v>100</v>
      </c>
      <c r="T19" s="705" t="s">
        <v>14</v>
      </c>
      <c r="U19" s="706">
        <f>H19</f>
        <v>100</v>
      </c>
      <c r="V19" s="705" t="s">
        <v>14</v>
      </c>
      <c r="W19" s="706">
        <f>J19</f>
        <v>100</v>
      </c>
      <c r="X19" s="1355"/>
      <c r="Y19" s="391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699"/>
      <c r="M20" s="2693"/>
      <c r="N20" s="2693"/>
      <c r="O20" s="2693"/>
      <c r="P20" s="3911"/>
      <c r="Q20" s="1352"/>
      <c r="R20" s="705"/>
      <c r="S20" s="706"/>
      <c r="T20" s="705"/>
      <c r="U20" s="706"/>
      <c r="V20" s="705"/>
      <c r="W20" s="706"/>
      <c r="X20" s="1355"/>
      <c r="Y20" s="3913"/>
      <c r="Z20" s="1356"/>
      <c r="AA20" s="1353">
        <v>1</v>
      </c>
      <c r="AB20" s="1353">
        <v>1</v>
      </c>
      <c r="AC20" s="1353">
        <v>1</v>
      </c>
    </row>
    <row r="21" spans="1:29" ht="15">
      <c r="A21" s="379"/>
      <c r="B21" s="1131" t="s">
        <v>1763</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699"/>
      <c r="M21" s="2693"/>
      <c r="N21" s="2693"/>
      <c r="O21" s="2693"/>
      <c r="P21" s="3911"/>
      <c r="Q21" s="1352" t="str">
        <f>B21</f>
        <v>基础设施水平</v>
      </c>
      <c r="R21" s="705" t="s">
        <v>14</v>
      </c>
      <c r="S21" s="706">
        <f>F21</f>
        <v>100</v>
      </c>
      <c r="T21" s="705" t="s">
        <v>14</v>
      </c>
      <c r="U21" s="706">
        <f>H21</f>
        <v>100</v>
      </c>
      <c r="V21" s="705" t="s">
        <v>14</v>
      </c>
      <c r="W21" s="706">
        <f>J21</f>
        <v>100</v>
      </c>
      <c r="X21" s="1355"/>
      <c r="Y21" s="391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699"/>
      <c r="M22" s="2693"/>
      <c r="N22" s="2693"/>
      <c r="O22" s="2693"/>
      <c r="P22" s="3911"/>
      <c r="Q22" s="1352"/>
      <c r="R22" s="705"/>
      <c r="S22" s="706"/>
      <c r="T22" s="705"/>
      <c r="U22" s="706"/>
      <c r="V22" s="705"/>
      <c r="W22" s="706"/>
      <c r="X22" s="1355"/>
      <c r="Y22" s="3913"/>
      <c r="Z22" s="1356"/>
      <c r="AA22" s="1353">
        <v>1</v>
      </c>
      <c r="AB22" s="1353">
        <v>1</v>
      </c>
      <c r="AC22" s="1353">
        <v>1</v>
      </c>
    </row>
    <row r="23" spans="1:29" ht="15">
      <c r="A23" s="379"/>
      <c r="B23" s="402" t="s">
        <v>1261</v>
      </c>
      <c r="C23" s="1955"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699"/>
      <c r="M23" s="2693"/>
      <c r="N23" s="2693"/>
      <c r="O23" s="2693"/>
      <c r="P23" s="3911"/>
      <c r="Q23" s="1352" t="str">
        <f>B23</f>
        <v>自然及人文环境</v>
      </c>
      <c r="R23" s="705" t="s">
        <v>14</v>
      </c>
      <c r="S23" s="706">
        <f>F23</f>
        <v>100</v>
      </c>
      <c r="T23" s="705" t="s">
        <v>14</v>
      </c>
      <c r="U23" s="706">
        <f>H23</f>
        <v>100</v>
      </c>
      <c r="V23" s="705" t="s">
        <v>14</v>
      </c>
      <c r="W23" s="706">
        <f>J23</f>
        <v>100</v>
      </c>
      <c r="X23" s="1355"/>
      <c r="Y23" s="391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699"/>
      <c r="M24" s="2693"/>
      <c r="N24" s="2693"/>
      <c r="O24" s="2693"/>
      <c r="P24" s="3911"/>
      <c r="Q24" s="1352"/>
      <c r="R24" s="705"/>
      <c r="S24" s="706"/>
      <c r="T24" s="705"/>
      <c r="U24" s="706"/>
      <c r="V24" s="705"/>
      <c r="W24" s="706"/>
      <c r="X24" s="1355"/>
      <c r="Y24" s="3913"/>
      <c r="Z24" s="1356"/>
      <c r="AA24" s="1353">
        <v>1</v>
      </c>
      <c r="AB24" s="1353">
        <v>1</v>
      </c>
      <c r="AC24" s="1353">
        <v>1</v>
      </c>
    </row>
    <row r="25" spans="1:29" ht="15">
      <c r="A25" s="379"/>
      <c r="B25" s="375" t="s">
        <v>1764</v>
      </c>
      <c r="C25" s="565"/>
      <c r="D25" s="386">
        <v>100</v>
      </c>
      <c r="E25" s="565"/>
      <c r="F25" s="412">
        <f>SUMIF(86:86,E25,87:87)-SUMIF(86:86,C25,87:87)+100</f>
        <v>100</v>
      </c>
      <c r="G25" s="565"/>
      <c r="H25" s="386">
        <f>SUMIF(86:86,G25,87:87)-SUMIF(86:86,C25,87:87)+100</f>
        <v>100</v>
      </c>
      <c r="I25" s="565"/>
      <c r="J25" s="386">
        <f>SUMIF(86:86,I25,87:87)-SUMIF(86:86,C25,87:87)+100</f>
        <v>100</v>
      </c>
      <c r="K25" s="561"/>
      <c r="L25" s="2699"/>
      <c r="M25" s="2693"/>
      <c r="N25" s="2693"/>
      <c r="O25" s="2693"/>
      <c r="P25" s="3911"/>
      <c r="Q25" s="1352" t="str">
        <f t="shared" ref="Q25:Q46" si="11">B25</f>
        <v>临街状况</v>
      </c>
      <c r="R25" s="705" t="s">
        <v>14</v>
      </c>
      <c r="S25" s="706">
        <f>F25</f>
        <v>100</v>
      </c>
      <c r="T25" s="705" t="s">
        <v>14</v>
      </c>
      <c r="U25" s="706">
        <f>H25</f>
        <v>100</v>
      </c>
      <c r="V25" s="705" t="s">
        <v>14</v>
      </c>
      <c r="W25" s="706">
        <f>J25</f>
        <v>100</v>
      </c>
      <c r="X25" s="1355"/>
      <c r="Y25" s="3913"/>
      <c r="Z25" s="1356" t="str">
        <f>Q25</f>
        <v>临街状况</v>
      </c>
      <c r="AA25" s="1353">
        <f t="shared" si="3"/>
        <v>1</v>
      </c>
      <c r="AB25" s="1353">
        <f t="shared" si="4"/>
        <v>1</v>
      </c>
      <c r="AC25" s="1353">
        <f t="shared" si="5"/>
        <v>1</v>
      </c>
    </row>
    <row r="26" spans="1:29" ht="15">
      <c r="A26" s="379"/>
      <c r="B26" s="1133" t="s">
        <v>1765</v>
      </c>
      <c r="C26" s="385"/>
      <c r="D26" s="386">
        <v>100</v>
      </c>
      <c r="E26" s="385"/>
      <c r="F26" s="412">
        <f>SUMIF(88:88,E26,89:89)-SUMIF(88:88,C26,89:89)+100</f>
        <v>100</v>
      </c>
      <c r="G26" s="385"/>
      <c r="H26" s="386">
        <f>SUMIF(88:88,G26,89:89)-SUMIF(88:88,C26,89:89)+100</f>
        <v>100</v>
      </c>
      <c r="I26" s="385"/>
      <c r="J26" s="386">
        <f>SUMIF(88:88,I26,89:89)-SUMIF(88:88,C26,89:89)+100</f>
        <v>100</v>
      </c>
      <c r="K26" s="562"/>
      <c r="L26" s="2699"/>
      <c r="M26" s="2693"/>
      <c r="N26" s="2693"/>
      <c r="O26" s="2693"/>
      <c r="P26" s="3911"/>
      <c r="Q26" s="1352" t="str">
        <f t="shared" si="11"/>
        <v>平面位置/可视性</v>
      </c>
      <c r="R26" s="705" t="s">
        <v>14</v>
      </c>
      <c r="S26" s="706">
        <f>F26</f>
        <v>100</v>
      </c>
      <c r="T26" s="705" t="s">
        <v>14</v>
      </c>
      <c r="U26" s="706">
        <f>H26</f>
        <v>100</v>
      </c>
      <c r="V26" s="705" t="s">
        <v>14</v>
      </c>
      <c r="W26" s="706">
        <f>J26</f>
        <v>100</v>
      </c>
      <c r="X26" s="1355"/>
      <c r="Y26" s="3913"/>
      <c r="Z26" s="1356" t="str">
        <f>Q26</f>
        <v>平面位置/可视性</v>
      </c>
      <c r="AA26" s="1353">
        <f t="shared" si="3"/>
        <v>1</v>
      </c>
      <c r="AB26" s="1353">
        <f t="shared" si="4"/>
        <v>1</v>
      </c>
      <c r="AC26" s="1353">
        <f t="shared" si="5"/>
        <v>1</v>
      </c>
    </row>
    <row r="27" spans="1:29" s="108" customFormat="1" ht="15">
      <c r="A27" s="382"/>
      <c r="B27" s="402" t="s">
        <v>1766</v>
      </c>
      <c r="C27" s="1956"/>
      <c r="D27" s="413">
        <v>100</v>
      </c>
      <c r="E27" s="1956"/>
      <c r="F27" s="415">
        <f>SUMIF(90:90,E27,91:91)-SUMIF(90:90,C27,91:91)+100</f>
        <v>100</v>
      </c>
      <c r="G27" s="1956"/>
      <c r="H27" s="413">
        <f>SUMIF(90:90,G27,91:91)-SUMIF(90:90,C27,91:91)+100</f>
        <v>100</v>
      </c>
      <c r="I27" s="1956"/>
      <c r="J27" s="413">
        <f>SUMIF(90:90,I27,91:91)-SUMIF(90:90,C27,91:91)+100</f>
        <v>100</v>
      </c>
      <c r="K27" s="561"/>
      <c r="L27" s="2694"/>
      <c r="M27" s="2695"/>
      <c r="N27" s="2695"/>
      <c r="O27" s="2695"/>
      <c r="P27" s="3911"/>
      <c r="Q27" s="1343" t="str">
        <f t="shared" si="11"/>
        <v>人流量</v>
      </c>
      <c r="R27" s="701" t="s">
        <v>14</v>
      </c>
      <c r="S27" s="702">
        <f>F27</f>
        <v>100</v>
      </c>
      <c r="T27" s="701" t="s">
        <v>14</v>
      </c>
      <c r="U27" s="702">
        <f>H27</f>
        <v>100</v>
      </c>
      <c r="V27" s="701" t="s">
        <v>14</v>
      </c>
      <c r="W27" s="702">
        <f>J27</f>
        <v>100</v>
      </c>
      <c r="X27" s="703"/>
      <c r="Y27" s="3913"/>
      <c r="Z27" s="52" t="str">
        <f>Q27</f>
        <v>人流量</v>
      </c>
      <c r="AA27" s="1353">
        <f>D27/F27</f>
        <v>1</v>
      </c>
      <c r="AB27" s="1353">
        <f>D27/H27</f>
        <v>1</v>
      </c>
      <c r="AC27" s="1353">
        <f>D27/J27</f>
        <v>1</v>
      </c>
    </row>
    <row r="28" spans="1:29" ht="15">
      <c r="A28" s="379"/>
      <c r="B28" s="375" t="s">
        <v>1767</v>
      </c>
      <c r="C28" s="565"/>
      <c r="D28" s="386">
        <v>100</v>
      </c>
      <c r="E28" s="565"/>
      <c r="F28" s="412">
        <f>SUMIF(92:92,E28,93:93)-SUMIF(92:92,C28,93:93)+100</f>
        <v>100</v>
      </c>
      <c r="G28" s="565"/>
      <c r="H28" s="386">
        <f>SUMIF(92:92,G28,93:93)-SUMIF(92:92,C28,93:93)+100</f>
        <v>100</v>
      </c>
      <c r="I28" s="565"/>
      <c r="J28" s="386">
        <f>SUMIF(92:92,I28,93:93)-SUMIF(92:92,C28,93:93)+100</f>
        <v>100</v>
      </c>
      <c r="K28" s="562"/>
      <c r="L28" s="2699"/>
      <c r="M28" s="2693"/>
      <c r="N28" s="2693"/>
      <c r="O28" s="2693"/>
      <c r="P28" s="391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91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699"/>
      <c r="M29" s="2693"/>
      <c r="N29" s="2693"/>
      <c r="O29" s="2693"/>
      <c r="P29" s="3911"/>
      <c r="Q29" s="1352">
        <f t="shared" si="11"/>
        <v>111</v>
      </c>
      <c r="R29" s="705" t="s">
        <v>14</v>
      </c>
      <c r="S29" s="706">
        <f t="shared" si="12"/>
        <v>100</v>
      </c>
      <c r="T29" s="705" t="s">
        <v>14</v>
      </c>
      <c r="U29" s="706">
        <f t="shared" si="13"/>
        <v>100</v>
      </c>
      <c r="V29" s="705" t="s">
        <v>14</v>
      </c>
      <c r="W29" s="706">
        <f t="shared" si="14"/>
        <v>100</v>
      </c>
      <c r="X29" s="1355"/>
      <c r="Y29" s="391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699"/>
      <c r="M30" s="2693"/>
      <c r="N30" s="2693"/>
      <c r="O30" s="2693"/>
      <c r="P30" s="3911"/>
      <c r="Q30" s="1352">
        <f t="shared" si="11"/>
        <v>111</v>
      </c>
      <c r="R30" s="705" t="s">
        <v>14</v>
      </c>
      <c r="S30" s="706">
        <f t="shared" si="12"/>
        <v>100</v>
      </c>
      <c r="T30" s="705" t="s">
        <v>14</v>
      </c>
      <c r="U30" s="706">
        <f t="shared" si="13"/>
        <v>100</v>
      </c>
      <c r="V30" s="705" t="s">
        <v>14</v>
      </c>
      <c r="W30" s="706">
        <f t="shared" si="14"/>
        <v>100</v>
      </c>
      <c r="X30" s="1355"/>
      <c r="Y30" s="3913"/>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699"/>
      <c r="M31" s="2693"/>
      <c r="N31" s="2693"/>
      <c r="O31" s="2693"/>
      <c r="P31" s="3911"/>
      <c r="Q31" s="1352">
        <f t="shared" si="11"/>
        <v>111</v>
      </c>
      <c r="R31" s="705" t="s">
        <v>14</v>
      </c>
      <c r="S31" s="706">
        <f t="shared" si="12"/>
        <v>100</v>
      </c>
      <c r="T31" s="705" t="s">
        <v>14</v>
      </c>
      <c r="U31" s="706">
        <f t="shared" si="13"/>
        <v>100</v>
      </c>
      <c r="V31" s="705" t="s">
        <v>14</v>
      </c>
      <c r="W31" s="706">
        <f t="shared" si="14"/>
        <v>100</v>
      </c>
      <c r="X31" s="1355"/>
      <c r="Y31" s="3913"/>
      <c r="Z31" s="1356">
        <f t="shared" si="15"/>
        <v>111</v>
      </c>
      <c r="AA31" s="1353">
        <f t="shared" si="3"/>
        <v>1</v>
      </c>
      <c r="AB31" s="1353">
        <f t="shared" si="4"/>
        <v>1</v>
      </c>
      <c r="AC31" s="1353">
        <f t="shared" si="5"/>
        <v>1</v>
      </c>
    </row>
    <row r="32" spans="1:29" ht="15">
      <c r="A32" s="391" t="s">
        <v>1678</v>
      </c>
      <c r="B32" s="63" t="s">
        <v>1768</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699"/>
      <c r="M32" s="2693"/>
      <c r="N32" s="2693"/>
      <c r="O32" s="2693"/>
      <c r="P32" s="3914" t="s">
        <v>1680</v>
      </c>
      <c r="Q32" s="1352" t="str">
        <f t="shared" si="11"/>
        <v>商业类型</v>
      </c>
      <c r="R32" s="705" t="s">
        <v>14</v>
      </c>
      <c r="S32" s="706">
        <f t="shared" si="12"/>
        <v>100</v>
      </c>
      <c r="T32" s="705" t="s">
        <v>14</v>
      </c>
      <c r="U32" s="706">
        <f t="shared" si="13"/>
        <v>100</v>
      </c>
      <c r="V32" s="705" t="s">
        <v>14</v>
      </c>
      <c r="W32" s="706">
        <f t="shared" si="14"/>
        <v>100</v>
      </c>
      <c r="X32" s="1355"/>
      <c r="Y32" s="3917" t="s">
        <v>1680</v>
      </c>
      <c r="Z32" s="1356" t="str">
        <f t="shared" si="15"/>
        <v>商业类型</v>
      </c>
      <c r="AA32" s="1353">
        <f t="shared" si="3"/>
        <v>1</v>
      </c>
      <c r="AB32" s="1353">
        <f t="shared" si="4"/>
        <v>1</v>
      </c>
      <c r="AC32" s="1353">
        <f t="shared" si="5"/>
        <v>1</v>
      </c>
    </row>
    <row r="33" spans="1:29" s="422" customFormat="1" ht="15">
      <c r="A33" s="419"/>
      <c r="B33" s="375" t="s">
        <v>1681</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698"/>
      <c r="M33" s="2700"/>
      <c r="N33" s="2700"/>
      <c r="O33" s="2700"/>
      <c r="P33" s="3915"/>
      <c r="Q33" s="707" t="str">
        <f t="shared" si="11"/>
        <v>项目建筑规模</v>
      </c>
      <c r="R33" s="708" t="s">
        <v>14</v>
      </c>
      <c r="S33" s="709" t="e">
        <f t="shared" si="12"/>
        <v>#N/A</v>
      </c>
      <c r="T33" s="708" t="s">
        <v>14</v>
      </c>
      <c r="U33" s="709" t="e">
        <f t="shared" si="13"/>
        <v>#N/A</v>
      </c>
      <c r="V33" s="708" t="s">
        <v>14</v>
      </c>
      <c r="W33" s="709" t="e">
        <f t="shared" si="14"/>
        <v>#N/A</v>
      </c>
      <c r="X33" s="710"/>
      <c r="Y33" s="3917"/>
      <c r="Z33" s="711" t="str">
        <f t="shared" si="15"/>
        <v>项目建筑规模</v>
      </c>
      <c r="AA33" s="1353" t="e">
        <f t="shared" si="3"/>
        <v>#N/A</v>
      </c>
      <c r="AB33" s="1353" t="e">
        <f t="shared" si="4"/>
        <v>#N/A</v>
      </c>
      <c r="AC33" s="1353" t="e">
        <f t="shared" si="5"/>
        <v>#N/A</v>
      </c>
    </row>
    <row r="34" spans="1:29" ht="15">
      <c r="A34" s="423"/>
      <c r="B34" s="375" t="s">
        <v>1682</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699"/>
      <c r="M34" s="2693"/>
      <c r="N34" s="2693"/>
      <c r="O34" s="2693"/>
      <c r="P34" s="3915"/>
      <c r="Q34" s="1352" t="str">
        <f t="shared" si="11"/>
        <v>建筑结构</v>
      </c>
      <c r="R34" s="705" t="s">
        <v>14</v>
      </c>
      <c r="S34" s="706">
        <f t="shared" si="12"/>
        <v>100</v>
      </c>
      <c r="T34" s="705" t="s">
        <v>14</v>
      </c>
      <c r="U34" s="706">
        <f t="shared" si="13"/>
        <v>100</v>
      </c>
      <c r="V34" s="705" t="s">
        <v>14</v>
      </c>
      <c r="W34" s="706">
        <f t="shared" si="14"/>
        <v>100</v>
      </c>
      <c r="X34" s="1355"/>
      <c r="Y34" s="3917"/>
      <c r="Z34" s="1356" t="str">
        <f t="shared" si="15"/>
        <v>建筑结构</v>
      </c>
      <c r="AA34" s="1353">
        <f t="shared" si="3"/>
        <v>1</v>
      </c>
      <c r="AB34" s="1353">
        <f t="shared" si="4"/>
        <v>1</v>
      </c>
      <c r="AC34" s="1353">
        <f t="shared" si="5"/>
        <v>1</v>
      </c>
    </row>
    <row r="35" spans="1:29" ht="15">
      <c r="A35" s="423"/>
      <c r="B35" s="375" t="s">
        <v>1769</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699"/>
      <c r="M35" s="2693"/>
      <c r="N35" s="2693"/>
      <c r="O35" s="2693"/>
      <c r="P35" s="3915"/>
      <c r="Q35" s="1352" t="str">
        <f t="shared" si="11"/>
        <v>公共部分装修</v>
      </c>
      <c r="R35" s="705" t="s">
        <v>14</v>
      </c>
      <c r="S35" s="706">
        <f t="shared" si="12"/>
        <v>100</v>
      </c>
      <c r="T35" s="705" t="s">
        <v>14</v>
      </c>
      <c r="U35" s="706">
        <f t="shared" si="13"/>
        <v>100</v>
      </c>
      <c r="V35" s="705" t="s">
        <v>14</v>
      </c>
      <c r="W35" s="706">
        <f t="shared" si="14"/>
        <v>100</v>
      </c>
      <c r="X35" s="1355"/>
      <c r="Y35" s="3917"/>
      <c r="Z35" s="1356" t="str">
        <f t="shared" si="15"/>
        <v>公共部分装修</v>
      </c>
      <c r="AA35" s="1353">
        <f t="shared" si="3"/>
        <v>1</v>
      </c>
      <c r="AB35" s="1353">
        <f t="shared" si="4"/>
        <v>1</v>
      </c>
      <c r="AC35" s="1353">
        <f t="shared" si="5"/>
        <v>1</v>
      </c>
    </row>
    <row r="36" spans="1:29" ht="15">
      <c r="A36" s="423"/>
      <c r="B36" s="375" t="s">
        <v>1770</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699"/>
      <c r="M36" s="2693"/>
      <c r="N36" s="2693"/>
      <c r="O36" s="2693"/>
      <c r="P36" s="3915"/>
      <c r="Q36" s="1352" t="str">
        <f t="shared" si="11"/>
        <v>成新度</v>
      </c>
      <c r="R36" s="705" t="s">
        <v>14</v>
      </c>
      <c r="S36" s="706" t="e">
        <f t="shared" si="12"/>
        <v>#N/A</v>
      </c>
      <c r="T36" s="705" t="s">
        <v>14</v>
      </c>
      <c r="U36" s="706" t="e">
        <f t="shared" si="13"/>
        <v>#N/A</v>
      </c>
      <c r="V36" s="705" t="s">
        <v>14</v>
      </c>
      <c r="W36" s="706" t="e">
        <f t="shared" si="14"/>
        <v>#N/A</v>
      </c>
      <c r="X36" s="1355"/>
      <c r="Y36" s="3917"/>
      <c r="Z36" s="1356" t="str">
        <f t="shared" si="15"/>
        <v>成新度</v>
      </c>
      <c r="AA36" s="1353" t="e">
        <f t="shared" si="3"/>
        <v>#N/A</v>
      </c>
      <c r="AB36" s="1353" t="e">
        <f t="shared" si="4"/>
        <v>#N/A</v>
      </c>
      <c r="AC36" s="1353" t="e">
        <f t="shared" si="5"/>
        <v>#N/A</v>
      </c>
    </row>
    <row r="37" spans="1:29" s="108" customFormat="1" ht="15">
      <c r="A37" s="424"/>
      <c r="B37" s="375" t="s">
        <v>1771</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694"/>
      <c r="M37" s="2695"/>
      <c r="N37" s="2695"/>
      <c r="O37" s="2695"/>
      <c r="P37" s="3915"/>
      <c r="Q37" s="1343" t="str">
        <f t="shared" si="11"/>
        <v>市政基础设施</v>
      </c>
      <c r="R37" s="701" t="s">
        <v>14</v>
      </c>
      <c r="S37" s="702">
        <f t="shared" si="12"/>
        <v>100</v>
      </c>
      <c r="T37" s="701" t="s">
        <v>14</v>
      </c>
      <c r="U37" s="702">
        <f t="shared" si="13"/>
        <v>100</v>
      </c>
      <c r="V37" s="701" t="s">
        <v>14</v>
      </c>
      <c r="W37" s="702">
        <f t="shared" si="14"/>
        <v>100</v>
      </c>
      <c r="X37" s="703"/>
      <c r="Y37" s="3917"/>
      <c r="Z37" s="52" t="str">
        <f t="shared" si="15"/>
        <v>市政基础设施</v>
      </c>
      <c r="AA37" s="704">
        <f t="shared" si="3"/>
        <v>1</v>
      </c>
      <c r="AB37" s="704">
        <f t="shared" si="4"/>
        <v>1</v>
      </c>
      <c r="AC37" s="704">
        <f t="shared" si="5"/>
        <v>1</v>
      </c>
    </row>
    <row r="38" spans="1:29" ht="15">
      <c r="A38" s="423"/>
      <c r="B38" s="375" t="s">
        <v>1772</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699"/>
      <c r="M38" s="2693"/>
      <c r="N38" s="2693"/>
      <c r="O38" s="2693"/>
      <c r="P38" s="3915" t="s">
        <v>1680</v>
      </c>
      <c r="Q38" s="1352" t="str">
        <f t="shared" si="11"/>
        <v>业态</v>
      </c>
      <c r="R38" s="705" t="s">
        <v>14</v>
      </c>
      <c r="S38" s="706">
        <f t="shared" si="12"/>
        <v>100</v>
      </c>
      <c r="T38" s="705" t="s">
        <v>14</v>
      </c>
      <c r="U38" s="706">
        <f t="shared" si="13"/>
        <v>100</v>
      </c>
      <c r="V38" s="705" t="s">
        <v>14</v>
      </c>
      <c r="W38" s="706">
        <f t="shared" si="14"/>
        <v>100</v>
      </c>
      <c r="X38" s="1355"/>
      <c r="Y38" s="3917" t="s">
        <v>1680</v>
      </c>
      <c r="Z38" s="1356" t="str">
        <f t="shared" si="15"/>
        <v>业态</v>
      </c>
      <c r="AA38" s="1353">
        <f t="shared" si="3"/>
        <v>1</v>
      </c>
      <c r="AB38" s="1353">
        <f t="shared" si="4"/>
        <v>1</v>
      </c>
      <c r="AC38" s="1353">
        <f t="shared" si="5"/>
        <v>1</v>
      </c>
    </row>
    <row r="39" spans="1:29" ht="15">
      <c r="A39" s="423"/>
      <c r="B39" s="375" t="s">
        <v>1773</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699"/>
      <c r="M39" s="2693"/>
      <c r="N39" s="2693"/>
      <c r="O39" s="2693"/>
      <c r="P39" s="3915"/>
      <c r="Q39" s="1352" t="str">
        <f t="shared" si="11"/>
        <v>层高</v>
      </c>
      <c r="R39" s="705" t="s">
        <v>14</v>
      </c>
      <c r="S39" s="706">
        <f t="shared" si="12"/>
        <v>100</v>
      </c>
      <c r="T39" s="705" t="s">
        <v>14</v>
      </c>
      <c r="U39" s="706">
        <f t="shared" si="13"/>
        <v>100</v>
      </c>
      <c r="V39" s="705" t="s">
        <v>14</v>
      </c>
      <c r="W39" s="706">
        <f t="shared" si="14"/>
        <v>100</v>
      </c>
      <c r="X39" s="1355"/>
      <c r="Y39" s="3917"/>
      <c r="Z39" s="1356" t="str">
        <f t="shared" si="15"/>
        <v>层高</v>
      </c>
      <c r="AA39" s="1353">
        <f t="shared" si="3"/>
        <v>1</v>
      </c>
      <c r="AB39" s="1353">
        <f t="shared" si="4"/>
        <v>1</v>
      </c>
      <c r="AC39" s="1353">
        <f t="shared" si="5"/>
        <v>1</v>
      </c>
    </row>
    <row r="40" spans="1:29" ht="15">
      <c r="A40" s="423"/>
      <c r="B40" s="375" t="s">
        <v>1774</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699"/>
      <c r="M40" s="2693"/>
      <c r="N40" s="2693"/>
      <c r="O40" s="2693"/>
      <c r="P40" s="3915"/>
      <c r="Q40" s="1352" t="str">
        <f t="shared" si="11"/>
        <v>单套建筑面积</v>
      </c>
      <c r="R40" s="705" t="s">
        <v>14</v>
      </c>
      <c r="S40" s="706">
        <f t="shared" si="12"/>
        <v>100</v>
      </c>
      <c r="T40" s="705" t="s">
        <v>14</v>
      </c>
      <c r="U40" s="706">
        <f t="shared" si="13"/>
        <v>100</v>
      </c>
      <c r="V40" s="705" t="s">
        <v>14</v>
      </c>
      <c r="W40" s="706">
        <f t="shared" si="14"/>
        <v>100</v>
      </c>
      <c r="X40" s="1355"/>
      <c r="Y40" s="3917"/>
      <c r="Z40" s="1356" t="str">
        <f t="shared" si="15"/>
        <v>单套建筑面积</v>
      </c>
      <c r="AA40" s="1353">
        <f t="shared" si="3"/>
        <v>1</v>
      </c>
      <c r="AB40" s="1353">
        <f t="shared" si="4"/>
        <v>1</v>
      </c>
      <c r="AC40" s="1353">
        <f t="shared" si="5"/>
        <v>1</v>
      </c>
    </row>
    <row r="41" spans="1:29" s="422" customFormat="1" ht="15">
      <c r="A41" s="419"/>
      <c r="B41" s="1354" t="s">
        <v>1775</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698"/>
      <c r="M41" s="2700"/>
      <c r="N41" s="2700"/>
      <c r="O41" s="2700"/>
      <c r="P41" s="3915"/>
      <c r="Q41" s="707" t="str">
        <f t="shared" si="11"/>
        <v>进深比</v>
      </c>
      <c r="R41" s="708" t="s">
        <v>14</v>
      </c>
      <c r="S41" s="709">
        <f t="shared" si="12"/>
        <v>100</v>
      </c>
      <c r="T41" s="708" t="s">
        <v>14</v>
      </c>
      <c r="U41" s="709">
        <f t="shared" si="13"/>
        <v>100</v>
      </c>
      <c r="V41" s="708" t="s">
        <v>14</v>
      </c>
      <c r="W41" s="709">
        <f t="shared" si="14"/>
        <v>100</v>
      </c>
      <c r="X41" s="710"/>
      <c r="Y41" s="3917"/>
      <c r="Z41" s="711" t="str">
        <f t="shared" si="15"/>
        <v>进深比</v>
      </c>
      <c r="AA41" s="1353">
        <f t="shared" si="3"/>
        <v>1</v>
      </c>
      <c r="AB41" s="1353">
        <f t="shared" si="4"/>
        <v>1</v>
      </c>
      <c r="AC41" s="1353">
        <f t="shared" si="5"/>
        <v>1</v>
      </c>
    </row>
    <row r="42" spans="1:29" ht="15">
      <c r="A42" s="423"/>
      <c r="B42" s="375" t="s">
        <v>1776</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699"/>
      <c r="M42" s="2693"/>
      <c r="N42" s="2693"/>
      <c r="O42" s="2693"/>
      <c r="P42" s="3915"/>
      <c r="Q42" s="1352" t="str">
        <f t="shared" si="11"/>
        <v>内部装修</v>
      </c>
      <c r="R42" s="705" t="s">
        <v>14</v>
      </c>
      <c r="S42" s="706">
        <f t="shared" si="12"/>
        <v>100</v>
      </c>
      <c r="T42" s="705" t="s">
        <v>14</v>
      </c>
      <c r="U42" s="706">
        <f t="shared" si="13"/>
        <v>100</v>
      </c>
      <c r="V42" s="705" t="s">
        <v>14</v>
      </c>
      <c r="W42" s="706">
        <f t="shared" si="14"/>
        <v>100</v>
      </c>
      <c r="X42" s="1355"/>
      <c r="Y42" s="3917"/>
      <c r="Z42" s="1356" t="str">
        <f t="shared" si="15"/>
        <v>内部装修</v>
      </c>
      <c r="AA42" s="1353">
        <f t="shared" si="3"/>
        <v>1</v>
      </c>
      <c r="AB42" s="1353">
        <f t="shared" si="4"/>
        <v>1</v>
      </c>
      <c r="AC42" s="1353">
        <f t="shared" si="5"/>
        <v>1</v>
      </c>
    </row>
    <row r="43" spans="1:29" ht="15">
      <c r="A43" s="423"/>
      <c r="B43" s="375" t="s">
        <v>1691</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699"/>
      <c r="M43" s="2693"/>
      <c r="N43" s="2693"/>
      <c r="O43" s="2693"/>
      <c r="P43" s="3915"/>
      <c r="Q43" s="1352" t="str">
        <f t="shared" si="11"/>
        <v>内部装修维护情况</v>
      </c>
      <c r="R43" s="705" t="s">
        <v>14</v>
      </c>
      <c r="S43" s="706">
        <f t="shared" si="12"/>
        <v>100</v>
      </c>
      <c r="T43" s="705" t="s">
        <v>14</v>
      </c>
      <c r="U43" s="706">
        <f t="shared" si="13"/>
        <v>100</v>
      </c>
      <c r="V43" s="705" t="s">
        <v>14</v>
      </c>
      <c r="W43" s="706">
        <f t="shared" si="14"/>
        <v>100</v>
      </c>
      <c r="X43" s="1355"/>
      <c r="Y43" s="391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694"/>
      <c r="M44" s="2695"/>
      <c r="N44" s="2695"/>
      <c r="O44" s="2695"/>
      <c r="P44" s="3915"/>
      <c r="Q44" s="1343">
        <f t="shared" si="11"/>
        <v>111</v>
      </c>
      <c r="R44" s="701" t="s">
        <v>14</v>
      </c>
      <c r="S44" s="702">
        <f t="shared" si="12"/>
        <v>100</v>
      </c>
      <c r="T44" s="701" t="s">
        <v>14</v>
      </c>
      <c r="U44" s="702">
        <f t="shared" si="13"/>
        <v>100</v>
      </c>
      <c r="V44" s="701" t="s">
        <v>14</v>
      </c>
      <c r="W44" s="702">
        <f t="shared" si="14"/>
        <v>100</v>
      </c>
      <c r="X44" s="703"/>
      <c r="Y44" s="391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699"/>
      <c r="M45" s="2693"/>
      <c r="N45" s="2693"/>
      <c r="O45" s="2693"/>
      <c r="P45" s="3915"/>
      <c r="Q45" s="1352">
        <f t="shared" si="11"/>
        <v>111</v>
      </c>
      <c r="R45" s="705" t="s">
        <v>14</v>
      </c>
      <c r="S45" s="706">
        <f t="shared" si="12"/>
        <v>100</v>
      </c>
      <c r="T45" s="705" t="s">
        <v>14</v>
      </c>
      <c r="U45" s="706">
        <f t="shared" si="13"/>
        <v>100</v>
      </c>
      <c r="V45" s="705" t="s">
        <v>14</v>
      </c>
      <c r="W45" s="706">
        <f t="shared" si="14"/>
        <v>100</v>
      </c>
      <c r="X45" s="1355"/>
      <c r="Y45" s="3917"/>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699"/>
      <c r="M46" s="2693"/>
      <c r="N46" s="2693"/>
      <c r="O46" s="2693"/>
      <c r="P46" s="3916"/>
      <c r="Q46" s="1352">
        <f t="shared" si="11"/>
        <v>111</v>
      </c>
      <c r="R46" s="705" t="s">
        <v>14</v>
      </c>
      <c r="S46" s="706">
        <f t="shared" si="12"/>
        <v>100</v>
      </c>
      <c r="T46" s="705" t="s">
        <v>14</v>
      </c>
      <c r="U46" s="706">
        <f t="shared" si="13"/>
        <v>100</v>
      </c>
      <c r="V46" s="705" t="s">
        <v>14</v>
      </c>
      <c r="W46" s="706">
        <f t="shared" si="14"/>
        <v>100</v>
      </c>
      <c r="X46" s="1355"/>
      <c r="Y46" s="3918"/>
      <c r="Z46" s="1356">
        <f t="shared" si="15"/>
        <v>111</v>
      </c>
      <c r="AA46" s="1353">
        <f t="shared" si="3"/>
        <v>1</v>
      </c>
      <c r="AB46" s="1353">
        <f t="shared" si="4"/>
        <v>1</v>
      </c>
      <c r="AC46" s="1353">
        <f t="shared" si="5"/>
        <v>1</v>
      </c>
    </row>
    <row r="47" spans="1:29" ht="15">
      <c r="A47" s="430" t="s">
        <v>1692</v>
      </c>
      <c r="B47" s="431"/>
      <c r="C47" s="1154" t="s">
        <v>0</v>
      </c>
      <c r="D47" s="1155"/>
      <c r="E47" s="1156"/>
      <c r="F47" s="1157"/>
      <c r="G47" s="1158"/>
      <c r="H47" s="1159"/>
      <c r="I47" s="1156"/>
      <c r="J47" s="1159"/>
      <c r="K47" s="714"/>
      <c r="L47" s="2701"/>
      <c r="M47" s="2702"/>
      <c r="N47" s="2693"/>
      <c r="O47" s="2702"/>
      <c r="P47" s="3905" t="str">
        <f>A47</f>
        <v>成交单价（元/平方米）</v>
      </c>
      <c r="Q47" s="3905"/>
      <c r="R47" s="3939">
        <f>E47</f>
        <v>0</v>
      </c>
      <c r="S47" s="3939"/>
      <c r="T47" s="3939">
        <f>G47</f>
        <v>0</v>
      </c>
      <c r="U47" s="3939"/>
      <c r="V47" s="3939">
        <f>I47</f>
        <v>0</v>
      </c>
      <c r="W47" s="3939"/>
      <c r="X47" s="690"/>
      <c r="Y47" s="712"/>
      <c r="Z47" s="690"/>
      <c r="AA47" s="690"/>
      <c r="AB47" s="690"/>
      <c r="AC47" s="690"/>
    </row>
    <row r="48" spans="1:29" ht="15.75" thickBot="1">
      <c r="A48" s="437" t="s">
        <v>1777</v>
      </c>
      <c r="B48" s="438"/>
      <c r="C48" s="1160" t="e">
        <f>R49</f>
        <v>#DIV/0!</v>
      </c>
      <c r="D48" s="2317" t="s">
        <v>2122</v>
      </c>
      <c r="E48" s="1161" t="e">
        <f>R48</f>
        <v>#DIV/0!</v>
      </c>
      <c r="F48" s="2318"/>
      <c r="G48" s="1160" t="e">
        <f>T48</f>
        <v>#DIV/0!</v>
      </c>
      <c r="H48" s="2318"/>
      <c r="I48" s="1161" t="e">
        <f>V48</f>
        <v>#DIV/0!</v>
      </c>
      <c r="J48" s="2318"/>
      <c r="K48" s="2320">
        <f>F48+H48+J48</f>
        <v>0</v>
      </c>
      <c r="L48" s="2701"/>
      <c r="M48" s="2702"/>
      <c r="N48" s="2693"/>
      <c r="O48" s="2702"/>
      <c r="P48" s="3905" t="str">
        <f>A48</f>
        <v>比较价值（元/平方米）</v>
      </c>
      <c r="Q48" s="3905"/>
      <c r="R48" s="3906" t="e">
        <f>IF(F1="售价",ROUND(PRODUCT(R47,AA7:AA46),0),ROUND(PRODUCT(R47,AA7:AA46),1))</f>
        <v>#DIV/0!</v>
      </c>
      <c r="S48" s="3906"/>
      <c r="T48" s="3906" t="e">
        <f>IF(F1="售价",ROUND(PRODUCT(T47,AB7:AB46),0),ROUND(PRODUCT(T47,AB7:AB46),1))</f>
        <v>#DIV/0!</v>
      </c>
      <c r="U48" s="3906"/>
      <c r="V48" s="3906" t="e">
        <f>IF(F1="售价",ROUND(PRODUCT(V47,AC7:AC46),0),ROUND(PRODUCT(V47,AC7:AC46),1))</f>
        <v>#DIV/0!</v>
      </c>
      <c r="W48" s="3906"/>
      <c r="X48" s="690"/>
      <c r="Y48" s="690"/>
      <c r="Z48" s="690"/>
      <c r="AA48" s="690"/>
      <c r="AB48" s="690"/>
      <c r="AC48" s="690"/>
    </row>
    <row r="49" spans="1:29" ht="15.75" thickBot="1">
      <c r="A49" s="441" t="s">
        <v>1778</v>
      </c>
      <c r="B49" s="442"/>
      <c r="C49" s="1163" t="e">
        <f>R49</f>
        <v>#DIV/0!</v>
      </c>
      <c r="D49" s="1163"/>
      <c r="E49" s="1163"/>
      <c r="F49" s="1163"/>
      <c r="G49" s="1163"/>
      <c r="H49" s="1163"/>
      <c r="I49" s="1163"/>
      <c r="J49" s="1163"/>
      <c r="K49" s="715"/>
      <c r="L49" s="2701"/>
      <c r="M49" s="2702"/>
      <c r="N49" s="2693"/>
      <c r="O49" s="2702"/>
      <c r="P49" s="3959" t="str">
        <f>A49</f>
        <v>估价对象XX用房的比较价值（楼面单价，元/平方米）</v>
      </c>
      <c r="Q49" s="3960"/>
      <c r="R49" s="3961" t="e">
        <f>IF(F1="售价",ROUND(IF(D48="简单平均",AVERAGE(R48:V48),R48*F48+T48*H48+V48*J48),0),ROUND(IF(D48="简单平均",AVERAGE(R48:V48),R48*F48+T48*H48+V48*J48),1))</f>
        <v>#DIV/0!</v>
      </c>
      <c r="S49" s="3961"/>
      <c r="T49" s="3961"/>
      <c r="U49" s="3961"/>
      <c r="V49" s="3961"/>
      <c r="W49" s="3961"/>
      <c r="X49" s="690"/>
      <c r="Y49" s="690"/>
      <c r="Z49" s="690"/>
      <c r="AA49" s="690"/>
      <c r="AB49" s="690"/>
      <c r="AC49" s="690"/>
    </row>
    <row r="50" spans="1:29">
      <c r="A50" s="2702"/>
      <c r="B50" s="2702"/>
      <c r="C50" s="2702"/>
      <c r="D50" s="2702"/>
      <c r="E50" s="2702"/>
      <c r="F50" s="2702"/>
      <c r="G50" s="2706"/>
      <c r="H50" s="2702"/>
      <c r="I50" s="2702"/>
      <c r="J50" s="2702"/>
      <c r="K50" s="2707"/>
      <c r="L50" s="2703"/>
      <c r="M50" s="2702"/>
      <c r="N50" s="2702"/>
      <c r="O50" s="2702"/>
      <c r="P50" s="2713"/>
      <c r="Q50" s="2702"/>
      <c r="R50" s="2702"/>
      <c r="S50" s="2702"/>
      <c r="T50" s="2702"/>
      <c r="U50" s="2702"/>
      <c r="V50" s="2702"/>
      <c r="W50" s="2702"/>
      <c r="X50" s="2702"/>
      <c r="Y50" s="2702"/>
      <c r="Z50" s="2702"/>
      <c r="AA50" s="2702"/>
      <c r="AB50" s="2702"/>
      <c r="AC50" s="2702"/>
    </row>
    <row r="51" spans="1:29">
      <c r="A51" s="2702"/>
      <c r="B51" s="2702"/>
      <c r="C51" s="2702"/>
      <c r="D51" s="2702"/>
      <c r="E51" s="2702"/>
      <c r="F51" s="2702"/>
      <c r="G51" s="2702"/>
      <c r="H51" s="2702"/>
      <c r="I51" s="2702"/>
      <c r="J51" s="2702"/>
      <c r="K51" s="2707"/>
      <c r="L51" s="2703"/>
      <c r="M51" s="2702"/>
      <c r="N51" s="2702"/>
      <c r="O51" s="2702"/>
      <c r="P51" s="2713"/>
      <c r="Q51" s="2702"/>
      <c r="R51" s="2702"/>
      <c r="S51" s="2702"/>
      <c r="T51" s="2702"/>
      <c r="U51" s="2702"/>
      <c r="V51" s="2702"/>
      <c r="W51" s="2702"/>
      <c r="X51" s="2702"/>
      <c r="Y51" s="2702"/>
      <c r="Z51" s="2702"/>
      <c r="AA51" s="2702"/>
      <c r="AB51" s="2702"/>
      <c r="AC51" s="2702"/>
    </row>
    <row r="52" spans="1:29" ht="13.5" customHeight="1">
      <c r="A52" s="2702"/>
      <c r="B52" s="2702"/>
      <c r="C52" s="446" t="s">
        <v>1779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7"/>
      <c r="L52" s="2703"/>
      <c r="M52" s="2702"/>
      <c r="N52" s="2702"/>
      <c r="O52" s="2702"/>
      <c r="P52" s="2713"/>
      <c r="Q52" s="2702"/>
      <c r="R52" s="2702"/>
      <c r="S52" s="2702"/>
      <c r="T52" s="2702"/>
      <c r="U52" s="2702"/>
      <c r="V52" s="2702"/>
      <c r="W52" s="2702"/>
      <c r="X52" s="2702"/>
      <c r="Y52" s="2702"/>
      <c r="Z52" s="2702"/>
      <c r="AA52" s="2702"/>
      <c r="AB52" s="2702"/>
      <c r="AC52" s="2702"/>
    </row>
    <row r="53" spans="1:29" ht="13.5" customHeight="1">
      <c r="A53" s="2702"/>
      <c r="B53" s="2702"/>
      <c r="C53" s="446" t="s">
        <v>1780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7"/>
      <c r="L53" s="2703"/>
      <c r="M53" s="2702"/>
      <c r="N53" s="2702"/>
      <c r="O53" s="2702"/>
      <c r="P53" s="2713"/>
      <c r="Q53" s="2702"/>
      <c r="R53" s="2702"/>
      <c r="S53" s="2702"/>
      <c r="T53" s="2702"/>
      <c r="U53" s="2702"/>
      <c r="V53" s="2702"/>
      <c r="W53" s="2702"/>
      <c r="X53" s="2702"/>
      <c r="Y53" s="2702"/>
      <c r="Z53" s="2702"/>
      <c r="AA53" s="2702"/>
      <c r="AB53" s="2702"/>
      <c r="AC53" s="2702"/>
    </row>
    <row r="54" spans="1:29" s="451" customFormat="1" ht="13.5" customHeight="1">
      <c r="A54" s="2705"/>
      <c r="B54" s="2705"/>
      <c r="C54" s="446" t="s">
        <v>1781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10"/>
      <c r="L54" s="2704"/>
      <c r="M54" s="2705"/>
      <c r="N54" s="2705"/>
      <c r="O54" s="2705"/>
      <c r="P54" s="2714"/>
      <c r="Q54" s="2705"/>
      <c r="R54" s="2705"/>
      <c r="S54" s="2705"/>
      <c r="T54" s="2705"/>
      <c r="U54" s="2705"/>
      <c r="V54" s="2705"/>
      <c r="W54" s="2705"/>
      <c r="X54" s="2705"/>
      <c r="Y54" s="2705"/>
      <c r="Z54" s="2705"/>
      <c r="AA54" s="2705"/>
      <c r="AB54" s="2705"/>
      <c r="AC54" s="2705"/>
    </row>
    <row r="55" spans="1:29" s="451" customFormat="1">
      <c r="A55" s="2705"/>
      <c r="B55" s="2708"/>
      <c r="C55" s="2709"/>
      <c r="D55" s="2705"/>
      <c r="E55" s="2705"/>
      <c r="F55" s="2705"/>
      <c r="G55" s="2705"/>
      <c r="H55" s="2705"/>
      <c r="I55" s="2705"/>
      <c r="J55" s="2705"/>
      <c r="K55" s="2710"/>
      <c r="L55" s="2704"/>
      <c r="M55" s="2705"/>
      <c r="N55" s="2705"/>
      <c r="O55" s="2705"/>
      <c r="P55" s="2714"/>
      <c r="Q55" s="2705"/>
      <c r="R55" s="2705"/>
      <c r="S55" s="2705"/>
      <c r="T55" s="2705"/>
      <c r="U55" s="2705"/>
      <c r="V55" s="2705"/>
      <c r="W55" s="2705"/>
      <c r="X55" s="2705"/>
      <c r="Y55" s="2705"/>
      <c r="Z55" s="2705"/>
      <c r="AA55" s="2705"/>
      <c r="AB55" s="2705"/>
      <c r="AC55" s="2705"/>
    </row>
    <row r="56" spans="1:29">
      <c r="A56" s="2702"/>
      <c r="B56" s="2708"/>
      <c r="C56" s="2709"/>
      <c r="D56" s="2702"/>
      <c r="E56" s="2702"/>
      <c r="F56" s="2702"/>
      <c r="G56" s="2702"/>
      <c r="H56" s="2702"/>
      <c r="I56" s="2702"/>
      <c r="J56" s="2702"/>
      <c r="K56" s="2707"/>
      <c r="L56" s="2703"/>
      <c r="M56" s="2702"/>
      <c r="N56" s="2702"/>
      <c r="O56" s="2702"/>
      <c r="P56" s="2713"/>
      <c r="Q56" s="2702"/>
      <c r="R56" s="2702"/>
      <c r="S56" s="2702"/>
      <c r="T56" s="2702"/>
      <c r="U56" s="2702"/>
      <c r="V56" s="2702"/>
      <c r="W56" s="2702"/>
      <c r="X56" s="2702"/>
      <c r="Y56" s="2702"/>
      <c r="Z56" s="2702"/>
      <c r="AA56" s="2702"/>
      <c r="AB56" s="2702"/>
      <c r="AC56" s="2702"/>
    </row>
    <row r="57" spans="1:29" ht="21.75" thickBot="1">
      <c r="A57" s="694" t="s">
        <v>1782</v>
      </c>
      <c r="B57" s="690"/>
      <c r="C57" s="695"/>
      <c r="D57" s="695"/>
      <c r="E57" s="695"/>
      <c r="F57" s="696"/>
      <c r="G57" s="696"/>
      <c r="H57" s="695"/>
      <c r="I57" s="695"/>
      <c r="J57" s="695"/>
      <c r="K57" s="697"/>
      <c r="L57" s="942"/>
      <c r="M57" s="940"/>
      <c r="N57" s="940"/>
      <c r="O57" s="940"/>
      <c r="P57" s="2715"/>
      <c r="Q57" s="2716"/>
      <c r="R57" s="2702"/>
      <c r="S57" s="2702"/>
      <c r="T57" s="2702"/>
      <c r="U57" s="2702"/>
      <c r="V57" s="2702"/>
      <c r="W57" s="2702"/>
      <c r="X57" s="2702"/>
      <c r="Y57" s="2702"/>
      <c r="Z57" s="2702"/>
      <c r="AA57" s="2702"/>
      <c r="AB57" s="2702"/>
      <c r="AC57" s="2702"/>
    </row>
    <row r="58" spans="1:29" s="457" customFormat="1" ht="15">
      <c r="A58" s="454" t="s">
        <v>1663</v>
      </c>
      <c r="B58" s="455"/>
      <c r="C58" s="1184" t="str">
        <f>YEAR(C7)&amp;"-"&amp;MONTH(C7)</f>
        <v>2023-12</v>
      </c>
      <c r="D58" s="1185">
        <f>EDATE(C58,-1)</f>
        <v>45231</v>
      </c>
      <c r="E58" s="1185">
        <f t="shared" ref="E58:N58" si="16">EDATE(D58,-1)</f>
        <v>45200</v>
      </c>
      <c r="F58" s="1185">
        <f t="shared" si="16"/>
        <v>45170</v>
      </c>
      <c r="G58" s="1185">
        <f t="shared" si="16"/>
        <v>45139</v>
      </c>
      <c r="H58" s="1185">
        <f t="shared" si="16"/>
        <v>45108</v>
      </c>
      <c r="I58" s="1185">
        <f t="shared" si="16"/>
        <v>45078</v>
      </c>
      <c r="J58" s="1185">
        <f t="shared" si="16"/>
        <v>45047</v>
      </c>
      <c r="K58" s="1185">
        <f t="shared" si="16"/>
        <v>45017</v>
      </c>
      <c r="L58" s="1185">
        <f t="shared" si="16"/>
        <v>44986</v>
      </c>
      <c r="M58" s="1185">
        <f t="shared" si="16"/>
        <v>44958</v>
      </c>
      <c r="N58" s="1185">
        <f t="shared" si="16"/>
        <v>44927</v>
      </c>
      <c r="O58" s="1185">
        <f>EDATE(N58,-1)</f>
        <v>44896</v>
      </c>
      <c r="P58" s="2717"/>
      <c r="Q58" s="2718"/>
      <c r="R58" s="2718"/>
      <c r="S58" s="2718"/>
      <c r="T58" s="2718"/>
      <c r="U58" s="2718"/>
      <c r="V58" s="2718"/>
      <c r="W58" s="2718"/>
      <c r="X58" s="2718"/>
      <c r="Y58" s="2718"/>
      <c r="Z58" s="2718"/>
      <c r="AA58" s="2718"/>
      <c r="AB58" s="2718"/>
      <c r="AC58" s="2718"/>
    </row>
    <row r="59" spans="1:29" s="108" customFormat="1" ht="15">
      <c r="A59" s="458"/>
      <c r="B59" s="459"/>
      <c r="C59" s="1183">
        <v>100</v>
      </c>
      <c r="D59" s="461"/>
      <c r="E59" s="461"/>
      <c r="F59" s="461"/>
      <c r="G59" s="461"/>
      <c r="H59" s="461"/>
      <c r="I59" s="461"/>
      <c r="J59" s="461"/>
      <c r="K59" s="461"/>
      <c r="L59" s="461"/>
      <c r="M59" s="462"/>
      <c r="N59" s="461"/>
      <c r="O59" s="462"/>
      <c r="P59" s="2719"/>
      <c r="Q59" s="2638"/>
      <c r="R59" s="2638"/>
      <c r="S59" s="2638"/>
      <c r="T59" s="2638"/>
      <c r="U59" s="2638"/>
      <c r="V59" s="2638"/>
      <c r="W59" s="2638"/>
      <c r="X59" s="2638"/>
      <c r="Y59" s="2638"/>
      <c r="Z59" s="2638"/>
      <c r="AA59" s="2638"/>
      <c r="AB59" s="2638"/>
      <c r="AC59" s="2638"/>
    </row>
    <row r="60" spans="1:29" s="108" customFormat="1" ht="15.75" thickBot="1">
      <c r="A60" s="464" t="s">
        <v>1700</v>
      </c>
      <c r="B60" s="465"/>
      <c r="C60" s="466"/>
      <c r="D60" s="467"/>
      <c r="E60" s="467"/>
      <c r="F60" s="467"/>
      <c r="G60" s="467"/>
      <c r="H60" s="467"/>
      <c r="I60" s="467"/>
      <c r="J60" s="467"/>
      <c r="K60" s="467"/>
      <c r="L60" s="467"/>
      <c r="M60" s="468"/>
      <c r="N60" s="467"/>
      <c r="O60" s="468"/>
      <c r="P60" s="2719"/>
      <c r="Q60" s="2716"/>
      <c r="R60" s="2638"/>
      <c r="S60" s="2638"/>
      <c r="T60" s="2638"/>
      <c r="U60" s="2638"/>
      <c r="V60" s="2638"/>
      <c r="W60" s="2638"/>
      <c r="X60" s="2638"/>
      <c r="Y60" s="2638"/>
      <c r="Z60" s="2638"/>
      <c r="AA60" s="2638"/>
      <c r="AB60" s="2638"/>
      <c r="AC60" s="2638"/>
    </row>
    <row r="61" spans="1:29" s="108" customFormat="1" ht="15">
      <c r="A61" s="470" t="s">
        <v>1665</v>
      </c>
      <c r="B61" s="459"/>
      <c r="C61" s="471" t="s">
        <v>1760</v>
      </c>
      <c r="D61" s="472"/>
      <c r="E61" s="472"/>
      <c r="F61" s="472"/>
      <c r="G61" s="472"/>
      <c r="H61" s="472"/>
      <c r="I61" s="472"/>
      <c r="J61" s="472"/>
      <c r="K61" s="472"/>
      <c r="L61" s="473"/>
      <c r="M61" s="474"/>
      <c r="N61" s="2729"/>
      <c r="O61" s="2729"/>
      <c r="P61" s="2720"/>
      <c r="Q61" s="2716"/>
      <c r="R61" s="2638"/>
      <c r="S61" s="2638"/>
      <c r="T61" s="2638"/>
      <c r="U61" s="2638"/>
      <c r="V61" s="2638"/>
      <c r="W61" s="2638"/>
      <c r="X61" s="2638"/>
      <c r="Y61" s="2638"/>
      <c r="Z61" s="2638"/>
      <c r="AA61" s="2638"/>
      <c r="AB61" s="2638"/>
      <c r="AC61" s="2638"/>
    </row>
    <row r="62" spans="1:29" s="108" customFormat="1" ht="15.75" thickBot="1">
      <c r="A62" s="470"/>
      <c r="B62" s="459"/>
      <c r="C62" s="460">
        <v>100</v>
      </c>
      <c r="D62" s="461"/>
      <c r="E62" s="461"/>
      <c r="F62" s="461"/>
      <c r="G62" s="461"/>
      <c r="H62" s="461"/>
      <c r="I62" s="461"/>
      <c r="J62" s="461"/>
      <c r="K62" s="461"/>
      <c r="L62" s="461"/>
      <c r="M62" s="463"/>
      <c r="N62" s="2729"/>
      <c r="O62" s="2729"/>
      <c r="P62" s="2719"/>
      <c r="Q62" s="2716"/>
      <c r="R62" s="2638"/>
      <c r="S62" s="2638"/>
      <c r="T62" s="2638"/>
      <c r="U62" s="2638"/>
      <c r="V62" s="2638"/>
      <c r="W62" s="2638"/>
      <c r="X62" s="2638"/>
      <c r="Y62" s="2638"/>
      <c r="Z62" s="2638"/>
      <c r="AA62" s="2638"/>
      <c r="AB62" s="2638"/>
      <c r="AC62" s="2638"/>
    </row>
    <row r="63" spans="1:29">
      <c r="A63" s="476" t="s">
        <v>1703</v>
      </c>
      <c r="B63" s="477" t="s">
        <v>1669</v>
      </c>
      <c r="C63" s="478">
        <f>C9</f>
        <v>0</v>
      </c>
      <c r="D63" s="479"/>
      <c r="E63" s="479"/>
      <c r="F63" s="479"/>
      <c r="G63" s="479"/>
      <c r="H63" s="479"/>
      <c r="I63" s="479"/>
      <c r="J63" s="479"/>
      <c r="K63" s="480"/>
      <c r="L63" s="481"/>
      <c r="M63" s="482"/>
      <c r="N63" s="2730"/>
      <c r="O63" s="2730"/>
      <c r="P63" s="2721"/>
      <c r="Q63" s="2716"/>
      <c r="R63" s="2702"/>
      <c r="S63" s="2702"/>
      <c r="T63" s="2702"/>
      <c r="U63" s="2702"/>
      <c r="V63" s="2702"/>
      <c r="W63" s="2702"/>
      <c r="X63" s="2702"/>
      <c r="Y63" s="2702"/>
      <c r="Z63" s="2702"/>
      <c r="AA63" s="2702"/>
      <c r="AB63" s="2702"/>
      <c r="AC63" s="2702"/>
    </row>
    <row r="64" spans="1:29" ht="15.75" thickBot="1">
      <c r="A64" s="483"/>
      <c r="B64" s="484"/>
      <c r="C64" s="485">
        <v>100</v>
      </c>
      <c r="D64" s="485"/>
      <c r="E64" s="485"/>
      <c r="F64" s="485"/>
      <c r="G64" s="485"/>
      <c r="H64" s="485"/>
      <c r="I64" s="485"/>
      <c r="J64" s="485"/>
      <c r="K64" s="485"/>
      <c r="L64" s="485"/>
      <c r="M64" s="486"/>
      <c r="N64" s="2731"/>
      <c r="O64" s="2731"/>
      <c r="P64" s="2721"/>
      <c r="Q64" s="2716"/>
      <c r="R64" s="2702"/>
      <c r="S64" s="2702"/>
      <c r="T64" s="2702"/>
      <c r="U64" s="2702"/>
      <c r="V64" s="2702"/>
      <c r="W64" s="2702"/>
      <c r="X64" s="2702"/>
      <c r="Y64" s="2702"/>
      <c r="Z64" s="2702"/>
      <c r="AA64" s="2702"/>
      <c r="AB64" s="2702"/>
      <c r="AC64" s="2702"/>
    </row>
    <row r="65" spans="1:29" ht="27.75" thickTop="1">
      <c r="A65" s="483"/>
      <c r="B65" s="487" t="s">
        <v>1672</v>
      </c>
      <c r="C65" s="532"/>
      <c r="D65" s="532"/>
      <c r="E65" s="532"/>
      <c r="F65" s="532"/>
      <c r="G65" s="532"/>
      <c r="H65" s="532"/>
      <c r="I65" s="532"/>
      <c r="J65" s="532"/>
      <c r="K65" s="533"/>
      <c r="L65" s="534"/>
      <c r="M65" s="535"/>
      <c r="N65" s="2730"/>
      <c r="O65" s="2730"/>
      <c r="P65" s="2721"/>
      <c r="Q65" s="2716"/>
      <c r="R65" s="2702"/>
      <c r="S65" s="2702"/>
      <c r="T65" s="2702"/>
      <c r="U65" s="2702"/>
      <c r="V65" s="2702"/>
      <c r="W65" s="2702"/>
      <c r="X65" s="2702"/>
      <c r="Y65" s="2702"/>
      <c r="Z65" s="2702"/>
      <c r="AA65" s="2702"/>
      <c r="AB65" s="2702"/>
      <c r="AC65" s="2702"/>
    </row>
    <row r="66" spans="1:29" ht="15.75" thickBot="1">
      <c r="A66" s="483"/>
      <c r="B66" s="492"/>
      <c r="C66" s="485"/>
      <c r="D66" s="485"/>
      <c r="E66" s="485"/>
      <c r="F66" s="485"/>
      <c r="G66" s="485"/>
      <c r="H66" s="485"/>
      <c r="I66" s="485"/>
      <c r="J66" s="485"/>
      <c r="K66" s="485"/>
      <c r="L66" s="485"/>
      <c r="M66" s="486"/>
      <c r="N66" s="2731"/>
      <c r="O66" s="2731"/>
      <c r="P66" s="2721"/>
      <c r="Q66" s="2716"/>
      <c r="R66" s="2702"/>
      <c r="S66" s="2702"/>
      <c r="T66" s="2702"/>
      <c r="U66" s="2702"/>
      <c r="V66" s="2702"/>
      <c r="W66" s="2702"/>
      <c r="X66" s="2702"/>
      <c r="Y66" s="2702"/>
      <c r="Z66" s="2702"/>
      <c r="AA66" s="2702"/>
      <c r="AB66" s="2702"/>
      <c r="AC66" s="2702"/>
    </row>
    <row r="67" spans="1:29" ht="15.75" thickTop="1">
      <c r="A67" s="483"/>
      <c r="B67" s="495" t="s">
        <v>1673</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31"/>
      <c r="O67" s="2731"/>
      <c r="P67" s="2721"/>
      <c r="Q67" s="2716"/>
      <c r="R67" s="2702"/>
      <c r="S67" s="2702"/>
      <c r="T67" s="2702"/>
      <c r="U67" s="2702"/>
      <c r="V67" s="2702"/>
      <c r="W67" s="2702"/>
      <c r="X67" s="2702"/>
      <c r="Y67" s="2702"/>
      <c r="Z67" s="2702"/>
      <c r="AA67" s="2702"/>
      <c r="AB67" s="2702"/>
      <c r="AC67" s="2702"/>
    </row>
    <row r="68" spans="1:29" ht="15">
      <c r="A68" s="483"/>
      <c r="B68" s="497"/>
      <c r="C68" s="498"/>
      <c r="D68" s="498"/>
      <c r="E68" s="498"/>
      <c r="F68" s="498"/>
      <c r="G68" s="498"/>
      <c r="H68" s="498"/>
      <c r="I68" s="498"/>
      <c r="J68" s="498"/>
      <c r="K68" s="499"/>
      <c r="L68" s="500"/>
      <c r="M68" s="501"/>
      <c r="N68" s="2730"/>
      <c r="O68" s="2730"/>
      <c r="P68" s="2721"/>
      <c r="Q68" s="2716"/>
      <c r="R68" s="2702"/>
      <c r="S68" s="2702"/>
      <c r="T68" s="2702"/>
      <c r="U68" s="2702"/>
      <c r="V68" s="2702"/>
      <c r="W68" s="2702"/>
      <c r="X68" s="2702"/>
      <c r="Y68" s="2702"/>
      <c r="Z68" s="2702"/>
      <c r="AA68" s="2702"/>
      <c r="AB68" s="2702"/>
      <c r="AC68" s="270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31"/>
      <c r="O69" s="2731"/>
      <c r="P69" s="2721"/>
      <c r="Q69" s="2716"/>
      <c r="R69" s="2702"/>
      <c r="S69" s="2702"/>
      <c r="T69" s="2702"/>
      <c r="U69" s="2702"/>
      <c r="V69" s="2702"/>
      <c r="W69" s="2702"/>
      <c r="X69" s="2702"/>
      <c r="Y69" s="2702"/>
      <c r="Z69" s="2702"/>
      <c r="AA69" s="2702"/>
      <c r="AB69" s="2702"/>
      <c r="AC69" s="2702"/>
    </row>
    <row r="70" spans="1:29" s="422" customFormat="1" ht="15.75" thickTop="1">
      <c r="A70" s="502"/>
      <c r="B70" s="487">
        <f>B12</f>
        <v>111</v>
      </c>
      <c r="C70" s="503"/>
      <c r="D70" s="503"/>
      <c r="E70" s="503"/>
      <c r="F70" s="503"/>
      <c r="G70" s="503"/>
      <c r="H70" s="504"/>
      <c r="I70" s="504"/>
      <c r="J70" s="504"/>
      <c r="K70" s="504"/>
      <c r="L70" s="505"/>
      <c r="M70" s="506"/>
      <c r="N70" s="2732"/>
      <c r="O70" s="2732"/>
      <c r="P70" s="2722"/>
      <c r="Q70" s="2723"/>
      <c r="R70" s="2724"/>
      <c r="S70" s="2724"/>
      <c r="T70" s="2724"/>
      <c r="U70" s="2724"/>
      <c r="V70" s="2724"/>
      <c r="W70" s="2724"/>
      <c r="X70" s="2724"/>
      <c r="Y70" s="2724"/>
      <c r="Z70" s="2724"/>
      <c r="AA70" s="2724"/>
      <c r="AB70" s="2724"/>
      <c r="AC70" s="2724"/>
    </row>
    <row r="71" spans="1:29" s="422" customFormat="1" ht="15.75" thickBot="1">
      <c r="A71" s="502"/>
      <c r="B71" s="492"/>
      <c r="C71" s="509"/>
      <c r="D71" s="485"/>
      <c r="E71" s="485"/>
      <c r="F71" s="485"/>
      <c r="G71" s="485"/>
      <c r="H71" s="485"/>
      <c r="I71" s="485"/>
      <c r="J71" s="485"/>
      <c r="K71" s="485"/>
      <c r="L71" s="485"/>
      <c r="M71" s="486"/>
      <c r="N71" s="2731"/>
      <c r="O71" s="2731"/>
      <c r="P71" s="2722"/>
      <c r="Q71" s="2723"/>
      <c r="R71" s="2724"/>
      <c r="S71" s="2724"/>
      <c r="T71" s="2724"/>
      <c r="U71" s="2724"/>
      <c r="V71" s="2724"/>
      <c r="W71" s="2724"/>
      <c r="X71" s="2724"/>
      <c r="Y71" s="2724"/>
      <c r="Z71" s="2724"/>
      <c r="AA71" s="2724"/>
      <c r="AB71" s="2724"/>
      <c r="AC71" s="2724"/>
    </row>
    <row r="72" spans="1:29" s="422" customFormat="1" ht="15.75" thickTop="1">
      <c r="A72" s="502"/>
      <c r="B72" s="487">
        <f>B13</f>
        <v>111</v>
      </c>
      <c r="C72" s="503"/>
      <c r="D72" s="503"/>
      <c r="E72" s="503"/>
      <c r="F72" s="503"/>
      <c r="G72" s="503"/>
      <c r="H72" s="504"/>
      <c r="I72" s="504"/>
      <c r="J72" s="504"/>
      <c r="K72" s="504"/>
      <c r="L72" s="505"/>
      <c r="M72" s="506"/>
      <c r="N72" s="2732"/>
      <c r="O72" s="2732"/>
      <c r="P72" s="2725"/>
      <c r="Q72" s="2726"/>
      <c r="R72" s="2724"/>
      <c r="S72" s="2724"/>
      <c r="T72" s="2724"/>
      <c r="U72" s="2724"/>
      <c r="V72" s="2724"/>
      <c r="W72" s="2724"/>
      <c r="X72" s="2724"/>
      <c r="Y72" s="2724"/>
      <c r="Z72" s="2724"/>
      <c r="AA72" s="2724"/>
      <c r="AB72" s="2724"/>
      <c r="AC72" s="2724"/>
    </row>
    <row r="73" spans="1:29" s="422" customFormat="1" ht="15.75" thickBot="1">
      <c r="A73" s="502"/>
      <c r="B73" s="492"/>
      <c r="C73" s="509"/>
      <c r="D73" s="485"/>
      <c r="E73" s="485"/>
      <c r="F73" s="485"/>
      <c r="G73" s="509"/>
      <c r="H73" s="511"/>
      <c r="I73" s="511"/>
      <c r="J73" s="511"/>
      <c r="K73" s="511"/>
      <c r="L73" s="511"/>
      <c r="M73" s="512"/>
      <c r="N73" s="2732"/>
      <c r="O73" s="2732"/>
      <c r="P73" s="2722"/>
      <c r="Q73" s="2723"/>
      <c r="R73" s="2724"/>
      <c r="S73" s="2724"/>
      <c r="T73" s="2724"/>
      <c r="U73" s="2724"/>
      <c r="V73" s="2724"/>
      <c r="W73" s="2724"/>
      <c r="X73" s="2724"/>
      <c r="Y73" s="2724"/>
      <c r="Z73" s="2724"/>
      <c r="AA73" s="2724"/>
      <c r="AB73" s="2724"/>
      <c r="AC73" s="2724"/>
    </row>
    <row r="74" spans="1:29" s="422" customFormat="1" ht="15.75" thickTop="1">
      <c r="A74" s="502"/>
      <c r="B74" s="495">
        <f>B14</f>
        <v>111</v>
      </c>
      <c r="C74" s="503"/>
      <c r="D74" s="503"/>
      <c r="E74" s="503"/>
      <c r="F74" s="503"/>
      <c r="G74" s="472"/>
      <c r="H74" s="513"/>
      <c r="I74" s="513"/>
      <c r="J74" s="513"/>
      <c r="K74" s="513"/>
      <c r="L74" s="514"/>
      <c r="M74" s="515"/>
      <c r="N74" s="2732"/>
      <c r="O74" s="2732"/>
      <c r="P74" s="2727"/>
      <c r="Q74" s="2723"/>
      <c r="R74" s="2724"/>
      <c r="S74" s="2724"/>
      <c r="T74" s="2724"/>
      <c r="U74" s="2724"/>
      <c r="V74" s="2724"/>
      <c r="W74" s="2724"/>
      <c r="X74" s="2724"/>
      <c r="Y74" s="2724"/>
      <c r="Z74" s="2724"/>
      <c r="AA74" s="2724"/>
      <c r="AB74" s="2724"/>
      <c r="AC74" s="2724"/>
    </row>
    <row r="75" spans="1:29" s="422" customFormat="1" ht="15.75" thickBot="1">
      <c r="A75" s="517"/>
      <c r="B75" s="518"/>
      <c r="C75" s="519"/>
      <c r="D75" s="519"/>
      <c r="E75" s="519"/>
      <c r="F75" s="519"/>
      <c r="G75" s="519"/>
      <c r="H75" s="520"/>
      <c r="I75" s="520"/>
      <c r="J75" s="520"/>
      <c r="K75" s="520"/>
      <c r="L75" s="520"/>
      <c r="M75" s="521"/>
      <c r="N75" s="2732"/>
      <c r="O75" s="2732"/>
      <c r="P75" s="2722"/>
      <c r="Q75" s="2723"/>
      <c r="R75" s="2724"/>
      <c r="S75" s="2724"/>
      <c r="T75" s="2724"/>
      <c r="U75" s="2724"/>
      <c r="V75" s="2724"/>
      <c r="W75" s="2724"/>
      <c r="X75" s="2724"/>
      <c r="Y75" s="2724"/>
      <c r="Z75" s="2724"/>
      <c r="AA75" s="2724"/>
      <c r="AB75" s="2724"/>
      <c r="AC75" s="2724"/>
    </row>
    <row r="76" spans="1:29">
      <c r="A76" s="476" t="s">
        <v>1674</v>
      </c>
      <c r="B76" s="477" t="s">
        <v>1704</v>
      </c>
      <c r="C76" s="522" t="s">
        <v>1705</v>
      </c>
      <c r="D76" s="522" t="s">
        <v>1706</v>
      </c>
      <c r="E76" s="522" t="s">
        <v>1707</v>
      </c>
      <c r="F76" s="522" t="s">
        <v>1708</v>
      </c>
      <c r="G76" s="522" t="s">
        <v>1709</v>
      </c>
      <c r="H76" s="478"/>
      <c r="I76" s="478"/>
      <c r="J76" s="478"/>
      <c r="K76" s="523"/>
      <c r="L76" s="524"/>
      <c r="M76" s="525"/>
      <c r="N76" s="2730"/>
      <c r="O76" s="2730"/>
      <c r="P76" s="2728"/>
      <c r="Q76" s="2716"/>
      <c r="R76" s="2702"/>
      <c r="S76" s="2702"/>
      <c r="T76" s="2702"/>
      <c r="U76" s="2702"/>
      <c r="V76" s="2702"/>
      <c r="W76" s="2702"/>
      <c r="X76" s="2702"/>
      <c r="Y76" s="2702"/>
      <c r="Z76" s="2702"/>
      <c r="AA76" s="2702"/>
      <c r="AB76" s="2702"/>
      <c r="AC76" s="270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31"/>
      <c r="O77" s="2731"/>
      <c r="P77" s="2721"/>
      <c r="Q77" s="2716"/>
      <c r="R77" s="2702"/>
      <c r="S77" s="2702"/>
      <c r="T77" s="2702"/>
      <c r="U77" s="2702"/>
      <c r="V77" s="2702"/>
      <c r="W77" s="2702"/>
      <c r="X77" s="2702"/>
      <c r="Y77" s="2702"/>
      <c r="Z77" s="2702"/>
      <c r="AA77" s="2702"/>
      <c r="AB77" s="2702"/>
      <c r="AC77" s="2702"/>
    </row>
    <row r="78" spans="1:29" ht="15.75" thickTop="1">
      <c r="A78" s="483"/>
      <c r="B78" s="487" t="s">
        <v>1710</v>
      </c>
      <c r="C78" s="527" t="s">
        <v>1705</v>
      </c>
      <c r="D78" s="527" t="s">
        <v>1706</v>
      </c>
      <c r="E78" s="527" t="s">
        <v>1707</v>
      </c>
      <c r="F78" s="527" t="s">
        <v>1708</v>
      </c>
      <c r="G78" s="527" t="s">
        <v>1709</v>
      </c>
      <c r="H78" s="488"/>
      <c r="I78" s="488"/>
      <c r="J78" s="488"/>
      <c r="K78" s="489"/>
      <c r="L78" s="490"/>
      <c r="M78" s="491"/>
      <c r="N78" s="2730"/>
      <c r="O78" s="2730"/>
      <c r="P78" s="2721"/>
      <c r="Q78" s="2716"/>
      <c r="R78" s="2702"/>
      <c r="S78" s="2702"/>
      <c r="T78" s="2702"/>
      <c r="U78" s="2702"/>
      <c r="V78" s="2702"/>
      <c r="W78" s="2702"/>
      <c r="X78" s="2702"/>
      <c r="Y78" s="2702"/>
      <c r="Z78" s="2702"/>
      <c r="AA78" s="2702"/>
      <c r="AB78" s="2702"/>
      <c r="AC78" s="270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31"/>
      <c r="O79" s="2731"/>
      <c r="P79" s="2721"/>
      <c r="Q79" s="2716"/>
      <c r="R79" s="2702"/>
      <c r="S79" s="2702"/>
      <c r="T79" s="2702"/>
      <c r="U79" s="2702"/>
      <c r="V79" s="2702"/>
      <c r="W79" s="2702"/>
      <c r="X79" s="2702"/>
      <c r="Y79" s="2702"/>
      <c r="Z79" s="2702"/>
      <c r="AA79" s="2702"/>
      <c r="AB79" s="2702"/>
      <c r="AC79" s="2702"/>
    </row>
    <row r="80" spans="1:29" ht="15.75" thickTop="1">
      <c r="A80" s="483"/>
      <c r="B80" s="487" t="s">
        <v>1711</v>
      </c>
      <c r="C80" s="527" t="s">
        <v>1705</v>
      </c>
      <c r="D80" s="527" t="s">
        <v>1706</v>
      </c>
      <c r="E80" s="527" t="s">
        <v>1707</v>
      </c>
      <c r="F80" s="527" t="s">
        <v>1708</v>
      </c>
      <c r="G80" s="527" t="s">
        <v>1709</v>
      </c>
      <c r="H80" s="488"/>
      <c r="I80" s="488"/>
      <c r="J80" s="488"/>
      <c r="K80" s="489"/>
      <c r="L80" s="490"/>
      <c r="M80" s="491"/>
      <c r="N80" s="2730"/>
      <c r="O80" s="2730"/>
      <c r="P80" s="2721"/>
      <c r="Q80" s="2716"/>
      <c r="R80" s="2702"/>
      <c r="S80" s="2702"/>
      <c r="T80" s="2702"/>
      <c r="U80" s="2702"/>
      <c r="V80" s="2702"/>
      <c r="W80" s="2702"/>
      <c r="X80" s="2702"/>
      <c r="Y80" s="2702"/>
      <c r="Z80" s="2702"/>
      <c r="AA80" s="2702"/>
      <c r="AB80" s="2702"/>
      <c r="AC80" s="270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31"/>
      <c r="O81" s="2731"/>
      <c r="P81" s="2721"/>
      <c r="Q81" s="2716"/>
      <c r="R81" s="2702"/>
      <c r="S81" s="2702"/>
      <c r="T81" s="2702"/>
      <c r="U81" s="2702"/>
      <c r="V81" s="2702"/>
      <c r="W81" s="2702"/>
      <c r="X81" s="2702"/>
      <c r="Y81" s="2702"/>
      <c r="Z81" s="2702"/>
      <c r="AA81" s="2702"/>
      <c r="AB81" s="2702"/>
      <c r="AC81" s="2702"/>
    </row>
    <row r="82" spans="1:29" ht="15.75" thickTop="1">
      <c r="A82" s="483"/>
      <c r="B82" s="495" t="s">
        <v>1763</v>
      </c>
      <c r="C82" s="608" t="s">
        <v>1783</v>
      </c>
      <c r="D82" s="608" t="s">
        <v>1784</v>
      </c>
      <c r="E82" s="608" t="s">
        <v>1785</v>
      </c>
      <c r="F82" s="608" t="s">
        <v>1786</v>
      </c>
      <c r="G82" s="608" t="s">
        <v>1787</v>
      </c>
      <c r="H82" s="488"/>
      <c r="I82" s="488"/>
      <c r="J82" s="488"/>
      <c r="K82" s="488"/>
      <c r="L82" s="488"/>
      <c r="M82" s="1129"/>
      <c r="N82" s="2731"/>
      <c r="O82" s="2731"/>
      <c r="P82" s="2721"/>
      <c r="Q82" s="2716"/>
      <c r="R82" s="2702"/>
      <c r="S82" s="2702"/>
      <c r="T82" s="2702"/>
      <c r="U82" s="2702"/>
      <c r="V82" s="2702"/>
      <c r="W82" s="2702"/>
      <c r="X82" s="2702"/>
      <c r="Y82" s="2702"/>
      <c r="Z82" s="2702"/>
      <c r="AA82" s="2702"/>
      <c r="AB82" s="2702"/>
      <c r="AC82" s="270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31"/>
      <c r="O83" s="2731"/>
      <c r="P83" s="2721"/>
      <c r="Q83" s="2716"/>
      <c r="R83" s="2702"/>
      <c r="S83" s="2702"/>
      <c r="T83" s="2702"/>
      <c r="U83" s="2702"/>
      <c r="V83" s="2702"/>
      <c r="W83" s="2702"/>
      <c r="X83" s="2702"/>
      <c r="Y83" s="2702"/>
      <c r="Z83" s="2702"/>
      <c r="AA83" s="2702"/>
      <c r="AB83" s="2702"/>
      <c r="AC83" s="2702"/>
    </row>
    <row r="84" spans="1:29" ht="15.75" thickTop="1">
      <c r="A84" s="483"/>
      <c r="B84" s="487" t="s">
        <v>1717</v>
      </c>
      <c r="C84" s="527" t="s">
        <v>1705</v>
      </c>
      <c r="D84" s="527" t="s">
        <v>1706</v>
      </c>
      <c r="E84" s="527" t="s">
        <v>1707</v>
      </c>
      <c r="F84" s="527" t="s">
        <v>1708</v>
      </c>
      <c r="G84" s="527" t="s">
        <v>1709</v>
      </c>
      <c r="H84" s="488"/>
      <c r="I84" s="488"/>
      <c r="J84" s="488"/>
      <c r="K84" s="489"/>
      <c r="L84" s="490"/>
      <c r="M84" s="491"/>
      <c r="N84" s="2730"/>
      <c r="O84" s="2730"/>
      <c r="P84" s="2721"/>
      <c r="Q84" s="2716"/>
      <c r="R84" s="2702"/>
      <c r="S84" s="2702"/>
      <c r="T84" s="2702"/>
      <c r="U84" s="2702"/>
      <c r="V84" s="2702"/>
      <c r="W84" s="2702"/>
      <c r="X84" s="2702"/>
      <c r="Y84" s="2702"/>
      <c r="Z84" s="2702"/>
      <c r="AA84" s="2702"/>
      <c r="AB84" s="2702"/>
      <c r="AC84" s="270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31"/>
      <c r="O85" s="2731"/>
      <c r="P85" s="2721"/>
      <c r="Q85" s="2716"/>
      <c r="R85" s="2702"/>
      <c r="S85" s="2702"/>
      <c r="T85" s="2702"/>
      <c r="U85" s="2702"/>
      <c r="V85" s="2702"/>
      <c r="W85" s="2702"/>
      <c r="X85" s="2702"/>
      <c r="Y85" s="2702"/>
      <c r="Z85" s="2702"/>
      <c r="AA85" s="2702"/>
      <c r="AB85" s="2702"/>
      <c r="AC85" s="2702"/>
    </row>
    <row r="86" spans="1:29" s="108" customFormat="1" ht="15.75" thickTop="1">
      <c r="A86" s="528"/>
      <c r="B86" s="487" t="s">
        <v>1788</v>
      </c>
      <c r="C86" s="503"/>
      <c r="D86" s="503"/>
      <c r="E86" s="503"/>
      <c r="F86" s="503"/>
      <c r="G86" s="503"/>
      <c r="H86" s="503"/>
      <c r="I86" s="503"/>
      <c r="J86" s="503"/>
      <c r="K86" s="503"/>
      <c r="L86" s="529"/>
      <c r="M86" s="530"/>
      <c r="N86" s="2729"/>
      <c r="O86" s="2729"/>
      <c r="P86" s="2721"/>
      <c r="Q86" s="2716"/>
      <c r="R86" s="2638"/>
      <c r="S86" s="2638"/>
      <c r="T86" s="2638"/>
      <c r="U86" s="2638"/>
      <c r="V86" s="2638"/>
      <c r="W86" s="2638"/>
      <c r="X86" s="2638"/>
      <c r="Y86" s="2638"/>
      <c r="Z86" s="2638"/>
      <c r="AA86" s="2638"/>
      <c r="AB86" s="2638"/>
      <c r="AC86" s="263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31"/>
      <c r="O87" s="2731"/>
      <c r="P87" s="2721"/>
      <c r="Q87" s="2716"/>
      <c r="R87" s="2638"/>
      <c r="S87" s="2638"/>
      <c r="T87" s="2638"/>
      <c r="U87" s="2638"/>
      <c r="V87" s="2638"/>
      <c r="W87" s="2638"/>
      <c r="X87" s="2638"/>
      <c r="Y87" s="2638"/>
      <c r="Z87" s="2638"/>
      <c r="AA87" s="2638"/>
      <c r="AB87" s="2638"/>
      <c r="AC87" s="2638"/>
    </row>
    <row r="88" spans="1:29" s="108" customFormat="1" ht="15.75" thickTop="1">
      <c r="A88" s="528"/>
      <c r="B88" s="487" t="str">
        <f>B26</f>
        <v>平面位置/可视性</v>
      </c>
      <c r="C88" s="503"/>
      <c r="D88" s="503"/>
      <c r="E88" s="503"/>
      <c r="F88" s="1927"/>
      <c r="G88" s="503"/>
      <c r="H88" s="503"/>
      <c r="I88" s="503"/>
      <c r="J88" s="503"/>
      <c r="K88" s="503"/>
      <c r="L88" s="503"/>
      <c r="M88" s="530"/>
      <c r="N88" s="2729"/>
      <c r="O88" s="2729"/>
      <c r="P88" s="2721"/>
      <c r="Q88" s="2716"/>
      <c r="R88" s="2638"/>
      <c r="S88" s="2638"/>
      <c r="T88" s="2638"/>
      <c r="U88" s="2638"/>
      <c r="V88" s="2638"/>
      <c r="W88" s="2638"/>
      <c r="X88" s="2638"/>
      <c r="Y88" s="2638"/>
      <c r="Z88" s="2638"/>
      <c r="AA88" s="2638"/>
      <c r="AB88" s="2638"/>
      <c r="AC88" s="2638"/>
    </row>
    <row r="89" spans="1:29" s="108" customFormat="1" ht="15.75" thickBot="1">
      <c r="A89" s="528"/>
      <c r="B89" s="492"/>
      <c r="C89" s="509"/>
      <c r="D89" s="485"/>
      <c r="E89" s="485"/>
      <c r="F89" s="485"/>
      <c r="G89" s="485"/>
      <c r="H89" s="485"/>
      <c r="I89" s="485"/>
      <c r="J89" s="485"/>
      <c r="K89" s="485"/>
      <c r="L89" s="485"/>
      <c r="M89" s="485"/>
      <c r="N89" s="2731"/>
      <c r="O89" s="2731"/>
      <c r="P89" s="2721"/>
      <c r="Q89" s="2716"/>
      <c r="R89" s="2638"/>
      <c r="S89" s="2638"/>
      <c r="T89" s="2638"/>
      <c r="U89" s="2638"/>
      <c r="V89" s="2638"/>
      <c r="W89" s="2638"/>
      <c r="X89" s="2638"/>
      <c r="Y89" s="2638"/>
      <c r="Z89" s="2638"/>
      <c r="AA89" s="2638"/>
      <c r="AB89" s="2638"/>
      <c r="AC89" s="2638"/>
    </row>
    <row r="90" spans="1:29" s="422" customFormat="1" ht="15.75" thickTop="1">
      <c r="A90" s="502"/>
      <c r="B90" s="487" t="str">
        <f>B27</f>
        <v>人流量</v>
      </c>
      <c r="C90" s="503"/>
      <c r="D90" s="503"/>
      <c r="E90" s="503"/>
      <c r="F90" s="503"/>
      <c r="G90" s="503"/>
      <c r="H90" s="504"/>
      <c r="I90" s="504"/>
      <c r="J90" s="504"/>
      <c r="K90" s="504"/>
      <c r="L90" s="505"/>
      <c r="M90" s="506"/>
      <c r="N90" s="2732"/>
      <c r="O90" s="2732"/>
      <c r="P90" s="2722"/>
      <c r="Q90" s="2723"/>
      <c r="R90" s="2724"/>
      <c r="S90" s="2724"/>
      <c r="T90" s="2724"/>
      <c r="U90" s="2724"/>
      <c r="V90" s="2724"/>
      <c r="W90" s="2724"/>
      <c r="X90" s="2724"/>
      <c r="Y90" s="2724"/>
      <c r="Z90" s="2724"/>
      <c r="AA90" s="2724"/>
      <c r="AB90" s="2724"/>
      <c r="AC90" s="272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32"/>
      <c r="O91" s="2732"/>
      <c r="P91" s="2722"/>
      <c r="Q91" s="2723"/>
      <c r="R91" s="2724"/>
      <c r="S91" s="2724"/>
      <c r="T91" s="2724"/>
      <c r="U91" s="2724"/>
      <c r="V91" s="2724"/>
      <c r="W91" s="2724"/>
      <c r="X91" s="2724"/>
      <c r="Y91" s="2724"/>
      <c r="Z91" s="2724"/>
      <c r="AA91" s="2724"/>
      <c r="AB91" s="2724"/>
      <c r="AC91" s="2724"/>
    </row>
    <row r="92" spans="1:29" ht="15.75" thickTop="1">
      <c r="A92" s="483"/>
      <c r="B92" s="487" t="str">
        <f>B28</f>
        <v>楼层</v>
      </c>
      <c r="C92" s="503"/>
      <c r="D92" s="503"/>
      <c r="E92" s="503"/>
      <c r="F92" s="503"/>
      <c r="G92" s="503"/>
      <c r="H92" s="503"/>
      <c r="I92" s="503"/>
      <c r="J92" s="503"/>
      <c r="K92" s="503"/>
      <c r="L92" s="529"/>
      <c r="M92" s="530"/>
      <c r="N92" s="2730"/>
      <c r="O92" s="2730"/>
      <c r="P92" s="2721"/>
      <c r="Q92" s="2716"/>
      <c r="R92" s="2702"/>
      <c r="S92" s="2702"/>
      <c r="T92" s="2702"/>
      <c r="U92" s="2702"/>
      <c r="V92" s="2702"/>
      <c r="W92" s="2702"/>
      <c r="X92" s="2702"/>
      <c r="Y92" s="2702"/>
      <c r="Z92" s="2702"/>
      <c r="AA92" s="2702"/>
      <c r="AB92" s="2702"/>
      <c r="AC92" s="2702"/>
    </row>
    <row r="93" spans="1:29" ht="15.75" thickBot="1">
      <c r="A93" s="483"/>
      <c r="B93" s="492"/>
      <c r="C93" s="485"/>
      <c r="D93" s="485"/>
      <c r="E93" s="485"/>
      <c r="F93" s="485"/>
      <c r="G93" s="485"/>
      <c r="H93" s="485"/>
      <c r="I93" s="485"/>
      <c r="J93" s="485"/>
      <c r="K93" s="485"/>
      <c r="L93" s="485"/>
      <c r="M93" s="486"/>
      <c r="N93" s="2731"/>
      <c r="O93" s="2731"/>
      <c r="P93" s="2721"/>
      <c r="Q93" s="2716"/>
      <c r="R93" s="2702"/>
      <c r="S93" s="2702"/>
      <c r="T93" s="2702"/>
      <c r="U93" s="2702"/>
      <c r="V93" s="2702"/>
      <c r="W93" s="2702"/>
      <c r="X93" s="2702"/>
      <c r="Y93" s="2702"/>
      <c r="Z93" s="2702"/>
      <c r="AA93" s="2702"/>
      <c r="AB93" s="2702"/>
      <c r="AC93" s="2702"/>
    </row>
    <row r="94" spans="1:29" ht="15.75" thickTop="1">
      <c r="A94" s="483"/>
      <c r="B94" s="487">
        <f>B29</f>
        <v>111</v>
      </c>
      <c r="C94" s="503"/>
      <c r="D94" s="503"/>
      <c r="E94" s="503"/>
      <c r="F94" s="503"/>
      <c r="G94" s="532"/>
      <c r="H94" s="532"/>
      <c r="I94" s="532"/>
      <c r="J94" s="532"/>
      <c r="K94" s="533"/>
      <c r="L94" s="534"/>
      <c r="M94" s="535"/>
      <c r="N94" s="2730"/>
      <c r="O94" s="2730"/>
      <c r="P94" s="2721"/>
      <c r="Q94" s="2716"/>
      <c r="R94" s="2702"/>
      <c r="S94" s="2702"/>
      <c r="T94" s="2702"/>
      <c r="U94" s="2702"/>
      <c r="V94" s="2702"/>
      <c r="W94" s="2702"/>
      <c r="X94" s="2702"/>
      <c r="Y94" s="2702"/>
      <c r="Z94" s="2702"/>
      <c r="AA94" s="2702"/>
      <c r="AB94" s="2702"/>
      <c r="AC94" s="2702"/>
    </row>
    <row r="95" spans="1:29" ht="15.75" thickBot="1">
      <c r="A95" s="483"/>
      <c r="B95" s="492"/>
      <c r="C95" s="509"/>
      <c r="D95" s="485"/>
      <c r="E95" s="485"/>
      <c r="F95" s="485"/>
      <c r="G95" s="485"/>
      <c r="H95" s="485"/>
      <c r="I95" s="485"/>
      <c r="J95" s="485"/>
      <c r="K95" s="485"/>
      <c r="L95" s="485"/>
      <c r="M95" s="486"/>
      <c r="N95" s="2731"/>
      <c r="O95" s="2731"/>
      <c r="P95" s="2721"/>
      <c r="Q95" s="2716"/>
      <c r="R95" s="2702"/>
      <c r="S95" s="2702"/>
      <c r="T95" s="2702"/>
      <c r="U95" s="2702"/>
      <c r="V95" s="2702"/>
      <c r="W95" s="2702"/>
      <c r="X95" s="2702"/>
      <c r="Y95" s="2702"/>
      <c r="Z95" s="2702"/>
      <c r="AA95" s="2702"/>
      <c r="AB95" s="2702"/>
      <c r="AC95" s="2702"/>
    </row>
    <row r="96" spans="1:29" ht="15.75" thickTop="1">
      <c r="A96" s="483"/>
      <c r="B96" s="487">
        <f>B30</f>
        <v>111</v>
      </c>
      <c r="C96" s="503"/>
      <c r="D96" s="503"/>
      <c r="E96" s="503"/>
      <c r="F96" s="503"/>
      <c r="G96" s="532"/>
      <c r="H96" s="532"/>
      <c r="I96" s="532"/>
      <c r="J96" s="532"/>
      <c r="K96" s="533"/>
      <c r="L96" s="534"/>
      <c r="M96" s="535"/>
      <c r="N96" s="2730"/>
      <c r="O96" s="2730"/>
      <c r="P96" s="2721"/>
      <c r="Q96" s="2716"/>
      <c r="R96" s="2702"/>
      <c r="S96" s="2702"/>
      <c r="T96" s="2702"/>
      <c r="U96" s="2702"/>
      <c r="V96" s="2702"/>
      <c r="W96" s="2702"/>
      <c r="X96" s="2702"/>
      <c r="Y96" s="2702"/>
      <c r="Z96" s="2702"/>
      <c r="AA96" s="2702"/>
      <c r="AB96" s="2702"/>
      <c r="AC96" s="2702"/>
    </row>
    <row r="97" spans="1:29" ht="15.75" thickBot="1">
      <c r="A97" s="483"/>
      <c r="B97" s="492"/>
      <c r="C97" s="509"/>
      <c r="D97" s="485"/>
      <c r="E97" s="485"/>
      <c r="F97" s="485"/>
      <c r="G97" s="485"/>
      <c r="H97" s="485"/>
      <c r="I97" s="485"/>
      <c r="J97" s="485"/>
      <c r="K97" s="485"/>
      <c r="L97" s="485"/>
      <c r="M97" s="486"/>
      <c r="N97" s="2731"/>
      <c r="O97" s="2731"/>
      <c r="P97" s="2721"/>
      <c r="Q97" s="2716"/>
      <c r="R97" s="2702"/>
      <c r="S97" s="2702"/>
      <c r="T97" s="2702"/>
      <c r="U97" s="2702"/>
      <c r="V97" s="2702"/>
      <c r="W97" s="2702"/>
      <c r="X97" s="2702"/>
      <c r="Y97" s="2702"/>
      <c r="Z97" s="2702"/>
      <c r="AA97" s="2702"/>
      <c r="AB97" s="2702"/>
      <c r="AC97" s="2702"/>
    </row>
    <row r="98" spans="1:29" ht="15.75" thickTop="1">
      <c r="A98" s="483"/>
      <c r="B98" s="495">
        <f>B31</f>
        <v>111</v>
      </c>
      <c r="C98" s="503"/>
      <c r="D98" s="503"/>
      <c r="E98" s="503"/>
      <c r="F98" s="503"/>
      <c r="G98" s="536"/>
      <c r="H98" s="536"/>
      <c r="I98" s="536"/>
      <c r="J98" s="536"/>
      <c r="K98" s="537"/>
      <c r="L98" s="538"/>
      <c r="M98" s="539"/>
      <c r="N98" s="2730"/>
      <c r="O98" s="2730"/>
      <c r="P98" s="2721"/>
      <c r="Q98" s="2716"/>
      <c r="R98" s="2702"/>
      <c r="S98" s="2702"/>
      <c r="T98" s="2702"/>
      <c r="U98" s="2702"/>
      <c r="V98" s="2702"/>
      <c r="W98" s="2702"/>
      <c r="X98" s="2702"/>
      <c r="Y98" s="2702"/>
      <c r="Z98" s="2702"/>
      <c r="AA98" s="2702"/>
      <c r="AB98" s="2702"/>
      <c r="AC98" s="2702"/>
    </row>
    <row r="99" spans="1:29" ht="15.75" thickBot="1">
      <c r="A99" s="1928"/>
      <c r="B99" s="518"/>
      <c r="C99" s="519"/>
      <c r="D99" s="519"/>
      <c r="E99" s="519"/>
      <c r="F99" s="519"/>
      <c r="G99" s="540"/>
      <c r="H99" s="540"/>
      <c r="I99" s="540"/>
      <c r="J99" s="540"/>
      <c r="K99" s="540"/>
      <c r="L99" s="540"/>
      <c r="M99" s="541"/>
      <c r="N99" s="2731"/>
      <c r="O99" s="2731"/>
      <c r="P99" s="2721"/>
      <c r="Q99" s="2716"/>
      <c r="R99" s="2702"/>
      <c r="S99" s="2702"/>
      <c r="T99" s="2702"/>
      <c r="U99" s="2702"/>
      <c r="V99" s="2702"/>
      <c r="W99" s="2702"/>
      <c r="X99" s="2702"/>
      <c r="Y99" s="2702"/>
      <c r="Z99" s="2702"/>
      <c r="AA99" s="2702"/>
      <c r="AB99" s="2702"/>
      <c r="AC99" s="2702"/>
    </row>
    <row r="100" spans="1:29">
      <c r="A100" s="476" t="s">
        <v>1678</v>
      </c>
      <c r="B100" s="477" t="s">
        <v>1789</v>
      </c>
      <c r="C100" s="479"/>
      <c r="D100" s="479"/>
      <c r="E100" s="479"/>
      <c r="F100" s="479"/>
      <c r="G100" s="479"/>
      <c r="H100" s="479"/>
      <c r="I100" s="479"/>
      <c r="J100" s="479"/>
      <c r="K100" s="480"/>
      <c r="L100" s="481"/>
      <c r="M100" s="482"/>
      <c r="N100" s="2730"/>
      <c r="O100" s="2730"/>
      <c r="P100" s="2721"/>
      <c r="Q100" s="2716"/>
      <c r="R100" s="2702"/>
      <c r="S100" s="2702"/>
      <c r="T100" s="2702"/>
      <c r="U100" s="2702"/>
      <c r="V100" s="2702"/>
      <c r="W100" s="2702"/>
      <c r="X100" s="2702"/>
      <c r="Y100" s="2702"/>
      <c r="Z100" s="2702"/>
      <c r="AA100" s="2702"/>
      <c r="AB100" s="2702"/>
      <c r="AC100" s="270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31"/>
      <c r="O101" s="2731"/>
      <c r="P101" s="2721"/>
      <c r="Q101" s="2716"/>
      <c r="R101" s="2702"/>
      <c r="S101" s="2702"/>
      <c r="T101" s="2702"/>
      <c r="U101" s="2702"/>
      <c r="V101" s="2702"/>
      <c r="W101" s="2702"/>
      <c r="X101" s="2702"/>
      <c r="Y101" s="2702"/>
      <c r="Z101" s="2702"/>
      <c r="AA101" s="2702"/>
      <c r="AB101" s="2702"/>
      <c r="AC101" s="2702"/>
    </row>
    <row r="102" spans="1:29" ht="15.75" thickTop="1">
      <c r="A102" s="483"/>
      <c r="B102" s="487" t="s">
        <v>1721</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29"/>
      <c r="O102" s="2729"/>
      <c r="P102" s="2721"/>
      <c r="Q102" s="2716"/>
      <c r="R102" s="2702"/>
      <c r="S102" s="2702"/>
      <c r="T102" s="2702"/>
      <c r="U102" s="2702"/>
      <c r="V102" s="2702"/>
      <c r="W102" s="2702"/>
      <c r="X102" s="2702"/>
      <c r="Y102" s="2702"/>
      <c r="Z102" s="2702"/>
      <c r="AA102" s="2702"/>
      <c r="AB102" s="2702"/>
      <c r="AC102" s="2702"/>
    </row>
    <row r="103" spans="1:29" s="422" customFormat="1">
      <c r="A103" s="542"/>
      <c r="B103" s="543"/>
      <c r="C103" s="544"/>
      <c r="D103" s="544"/>
      <c r="E103" s="544"/>
      <c r="F103" s="544"/>
      <c r="G103" s="544"/>
      <c r="H103" s="544"/>
      <c r="I103" s="544"/>
      <c r="J103" s="545"/>
      <c r="K103" s="545"/>
      <c r="L103" s="546"/>
      <c r="M103" s="547"/>
      <c r="N103" s="2732"/>
      <c r="O103" s="2732"/>
      <c r="P103" s="2722"/>
      <c r="Q103" s="2723"/>
      <c r="R103" s="2724"/>
      <c r="S103" s="2724"/>
      <c r="T103" s="2724"/>
      <c r="U103" s="2724"/>
      <c r="V103" s="2724"/>
      <c r="W103" s="2724"/>
      <c r="X103" s="2724"/>
      <c r="Y103" s="2724"/>
      <c r="Z103" s="2724"/>
      <c r="AA103" s="2724"/>
      <c r="AB103" s="2724"/>
      <c r="AC103" s="2724"/>
    </row>
    <row r="104" spans="1:29" s="422" customFormat="1" ht="15.75" thickBot="1">
      <c r="A104" s="502"/>
      <c r="B104" s="492"/>
      <c r="C104" s="509"/>
      <c r="D104" s="485"/>
      <c r="E104" s="485"/>
      <c r="F104" s="485"/>
      <c r="G104" s="485"/>
      <c r="H104" s="485"/>
      <c r="I104" s="485"/>
      <c r="J104" s="485"/>
      <c r="K104" s="485"/>
      <c r="L104" s="485"/>
      <c r="M104" s="486"/>
      <c r="N104" s="2731"/>
      <c r="O104" s="2731"/>
      <c r="P104" s="2722"/>
      <c r="Q104" s="2723"/>
      <c r="R104" s="2724"/>
      <c r="S104" s="2724"/>
      <c r="T104" s="2724"/>
      <c r="U104" s="2724"/>
      <c r="V104" s="2724"/>
      <c r="W104" s="2724"/>
      <c r="X104" s="2724"/>
      <c r="Y104" s="2724"/>
      <c r="Z104" s="2724"/>
      <c r="AA104" s="2724"/>
      <c r="AB104" s="2724"/>
      <c r="AC104" s="2724"/>
    </row>
    <row r="105" spans="1:29" ht="15" thickTop="1">
      <c r="A105" s="548"/>
      <c r="B105" s="487" t="s">
        <v>1722</v>
      </c>
      <c r="C105" s="503"/>
      <c r="D105" s="503"/>
      <c r="E105" s="532"/>
      <c r="F105" s="532"/>
      <c r="G105" s="532"/>
      <c r="H105" s="532"/>
      <c r="I105" s="532"/>
      <c r="J105" s="532"/>
      <c r="K105" s="533"/>
      <c r="L105" s="534"/>
      <c r="M105" s="535"/>
      <c r="N105" s="2730"/>
      <c r="O105" s="2730"/>
      <c r="P105" s="2721"/>
      <c r="Q105" s="2716"/>
      <c r="R105" s="2702"/>
      <c r="S105" s="2702"/>
      <c r="T105" s="2702"/>
      <c r="U105" s="2702"/>
      <c r="V105" s="2702"/>
      <c r="W105" s="2702"/>
      <c r="X105" s="2702"/>
      <c r="Y105" s="2702"/>
      <c r="Z105" s="2702"/>
      <c r="AA105" s="2702"/>
      <c r="AB105" s="2702"/>
      <c r="AC105" s="270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31"/>
      <c r="O106" s="2731"/>
      <c r="P106" s="2721"/>
      <c r="Q106" s="2716"/>
      <c r="R106" s="2702"/>
      <c r="S106" s="2702"/>
      <c r="T106" s="2702"/>
      <c r="U106" s="2702"/>
      <c r="V106" s="2702"/>
      <c r="W106" s="2702"/>
      <c r="X106" s="2702"/>
      <c r="Y106" s="2702"/>
      <c r="Z106" s="2702"/>
      <c r="AA106" s="2702"/>
      <c r="AB106" s="2702"/>
      <c r="AC106" s="2702"/>
    </row>
    <row r="107" spans="1:29" ht="15" thickTop="1">
      <c r="A107" s="548"/>
      <c r="B107" s="487" t="s">
        <v>1724</v>
      </c>
      <c r="C107" s="503"/>
      <c r="D107" s="503"/>
      <c r="E107" s="503"/>
      <c r="F107" s="532"/>
      <c r="G107" s="532"/>
      <c r="H107" s="532"/>
      <c r="I107" s="532"/>
      <c r="J107" s="532"/>
      <c r="K107" s="533"/>
      <c r="L107" s="534"/>
      <c r="M107" s="535"/>
      <c r="N107" s="2730"/>
      <c r="O107" s="2730"/>
      <c r="P107" s="2721"/>
      <c r="Q107" s="2716"/>
      <c r="R107" s="2702"/>
      <c r="S107" s="2702"/>
      <c r="T107" s="2702"/>
      <c r="U107" s="2702"/>
      <c r="V107" s="2702"/>
      <c r="W107" s="2702"/>
      <c r="X107" s="2702"/>
      <c r="Y107" s="2702"/>
      <c r="Z107" s="2702"/>
      <c r="AA107" s="2702"/>
      <c r="AB107" s="2702"/>
      <c r="AC107" s="270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31"/>
      <c r="O108" s="2731"/>
      <c r="P108" s="2721"/>
      <c r="Q108" s="2716"/>
      <c r="R108" s="2702"/>
      <c r="S108" s="2702"/>
      <c r="T108" s="2702"/>
      <c r="U108" s="2702"/>
      <c r="V108" s="2702"/>
      <c r="W108" s="2702"/>
      <c r="X108" s="2702"/>
      <c r="Y108" s="2702"/>
      <c r="Z108" s="2702"/>
      <c r="AA108" s="2702"/>
      <c r="AB108" s="2702"/>
      <c r="AC108" s="270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30"/>
      <c r="O109" s="2730"/>
      <c r="P109" s="2721"/>
      <c r="Q109" s="2716"/>
      <c r="R109" s="2702"/>
      <c r="S109" s="2702"/>
      <c r="T109" s="2702"/>
      <c r="U109" s="2702"/>
      <c r="V109" s="2702"/>
      <c r="W109" s="2702"/>
      <c r="X109" s="2702"/>
      <c r="Y109" s="2702"/>
      <c r="Z109" s="2702"/>
      <c r="AA109" s="2702"/>
      <c r="AB109" s="2702"/>
      <c r="AC109" s="2702"/>
    </row>
    <row r="110" spans="1:29">
      <c r="A110" s="548"/>
      <c r="B110" s="495"/>
      <c r="C110" s="552">
        <v>0.5</v>
      </c>
      <c r="D110" s="552">
        <v>0.6</v>
      </c>
      <c r="E110" s="552">
        <v>0.7</v>
      </c>
      <c r="F110" s="552">
        <v>0.8</v>
      </c>
      <c r="G110" s="552">
        <v>0.9</v>
      </c>
      <c r="H110" s="552">
        <v>1.0001</v>
      </c>
      <c r="I110" s="571"/>
      <c r="J110" s="571"/>
      <c r="K110" s="572"/>
      <c r="L110" s="573"/>
      <c r="M110" s="574"/>
      <c r="N110" s="2730"/>
      <c r="O110" s="2730"/>
      <c r="P110" s="2721"/>
      <c r="Q110" s="2716"/>
      <c r="R110" s="2702"/>
      <c r="S110" s="2702"/>
      <c r="T110" s="2702"/>
      <c r="U110" s="2702"/>
      <c r="V110" s="2702"/>
      <c r="W110" s="2702"/>
      <c r="X110" s="2702"/>
      <c r="Y110" s="2702"/>
      <c r="Z110" s="2702"/>
      <c r="AA110" s="2702"/>
      <c r="AB110" s="2702"/>
      <c r="AC110" s="270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31"/>
      <c r="O111" s="2731"/>
      <c r="P111" s="2721"/>
      <c r="Q111" s="2716"/>
      <c r="R111" s="2702"/>
      <c r="S111" s="2702"/>
      <c r="T111" s="2702"/>
      <c r="U111" s="2702"/>
      <c r="V111" s="2702"/>
      <c r="W111" s="2702"/>
      <c r="X111" s="2702"/>
      <c r="Y111" s="2702"/>
      <c r="Z111" s="2702"/>
      <c r="AA111" s="2702"/>
      <c r="AB111" s="2702"/>
      <c r="AC111" s="2702"/>
    </row>
    <row r="112" spans="1:29" s="422" customFormat="1" ht="15" thickTop="1">
      <c r="A112" s="542"/>
      <c r="B112" s="487" t="s">
        <v>1726</v>
      </c>
      <c r="C112" s="503"/>
      <c r="D112" s="503"/>
      <c r="E112" s="503"/>
      <c r="F112" s="503"/>
      <c r="G112" s="503"/>
      <c r="H112" s="532"/>
      <c r="I112" s="532"/>
      <c r="J112" s="532"/>
      <c r="K112" s="533"/>
      <c r="L112" s="534"/>
      <c r="M112" s="535"/>
      <c r="N112" s="2732"/>
      <c r="O112" s="2732"/>
      <c r="P112" s="2722"/>
      <c r="Q112" s="2723"/>
      <c r="R112" s="2724"/>
      <c r="S112" s="2724"/>
      <c r="T112" s="2724"/>
      <c r="U112" s="2724"/>
      <c r="V112" s="2724"/>
      <c r="W112" s="2724"/>
      <c r="X112" s="2724"/>
      <c r="Y112" s="2724"/>
      <c r="Z112" s="2724"/>
      <c r="AA112" s="2724"/>
      <c r="AB112" s="2724"/>
      <c r="AC112" s="272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32"/>
      <c r="O113" s="2732"/>
      <c r="P113" s="2722"/>
      <c r="Q113" s="2723"/>
      <c r="R113" s="2724"/>
      <c r="S113" s="2724"/>
      <c r="T113" s="2724"/>
      <c r="U113" s="2724"/>
      <c r="V113" s="2724"/>
      <c r="W113" s="2724"/>
      <c r="X113" s="2724"/>
      <c r="Y113" s="2724"/>
      <c r="Z113" s="2724"/>
      <c r="AA113" s="2724"/>
      <c r="AB113" s="2724"/>
      <c r="AC113" s="2724"/>
    </row>
    <row r="114" spans="1:29" ht="15" thickTop="1">
      <c r="A114" s="548"/>
      <c r="B114" s="487" t="s">
        <v>1790</v>
      </c>
      <c r="C114" s="503"/>
      <c r="D114" s="503"/>
      <c r="E114" s="532"/>
      <c r="F114" s="532"/>
      <c r="G114" s="532"/>
      <c r="H114" s="532"/>
      <c r="I114" s="532"/>
      <c r="J114" s="532"/>
      <c r="K114" s="533"/>
      <c r="L114" s="534"/>
      <c r="M114" s="535"/>
      <c r="N114" s="2730"/>
      <c r="O114" s="2730"/>
      <c r="P114" s="2721"/>
      <c r="Q114" s="2716"/>
      <c r="R114" s="2702"/>
      <c r="S114" s="2702"/>
      <c r="T114" s="2702"/>
      <c r="U114" s="2702"/>
      <c r="V114" s="2702"/>
      <c r="W114" s="2702"/>
      <c r="X114" s="2702"/>
      <c r="Y114" s="2702"/>
      <c r="Z114" s="2702"/>
      <c r="AA114" s="2702"/>
      <c r="AB114" s="2702"/>
      <c r="AC114" s="270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1"/>
      <c r="O115" s="2731"/>
      <c r="P115" s="2721"/>
      <c r="Q115" s="2716"/>
      <c r="R115" s="2702"/>
      <c r="S115" s="2702"/>
      <c r="T115" s="2702"/>
      <c r="U115" s="2702"/>
      <c r="V115" s="2702"/>
      <c r="W115" s="2702"/>
      <c r="X115" s="2702"/>
      <c r="Y115" s="2702"/>
      <c r="Z115" s="2702"/>
      <c r="AA115" s="2702"/>
      <c r="AB115" s="2702"/>
      <c r="AC115" s="2702"/>
    </row>
    <row r="116" spans="1:29" ht="15" thickTop="1">
      <c r="A116" s="548"/>
      <c r="B116" s="487" t="s">
        <v>1791</v>
      </c>
      <c r="C116" s="503"/>
      <c r="D116" s="503"/>
      <c r="E116" s="503"/>
      <c r="F116" s="503"/>
      <c r="G116" s="503"/>
      <c r="H116" s="532"/>
      <c r="I116" s="532"/>
      <c r="J116" s="532"/>
      <c r="K116" s="533"/>
      <c r="L116" s="534"/>
      <c r="M116" s="535"/>
      <c r="N116" s="2730"/>
      <c r="O116" s="2730"/>
      <c r="P116" s="2721"/>
      <c r="Q116" s="2716"/>
      <c r="R116" s="2702"/>
      <c r="S116" s="2702"/>
      <c r="T116" s="2702"/>
      <c r="U116" s="2702"/>
      <c r="V116" s="2702"/>
      <c r="W116" s="2702"/>
      <c r="X116" s="2702"/>
      <c r="Y116" s="2702"/>
      <c r="Z116" s="2702"/>
      <c r="AA116" s="2702"/>
      <c r="AB116" s="2702"/>
      <c r="AC116" s="270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31"/>
      <c r="O117" s="2731"/>
      <c r="P117" s="2721"/>
      <c r="Q117" s="2716"/>
      <c r="R117" s="2702"/>
      <c r="S117" s="2702"/>
      <c r="T117" s="2702"/>
      <c r="U117" s="2702"/>
      <c r="V117" s="2702"/>
      <c r="W117" s="2702"/>
      <c r="X117" s="2702"/>
      <c r="Y117" s="2702"/>
      <c r="Z117" s="2702"/>
      <c r="AA117" s="2702"/>
      <c r="AB117" s="2702"/>
      <c r="AC117" s="2702"/>
    </row>
    <row r="118" spans="1:29" ht="15" thickTop="1">
      <c r="A118" s="548"/>
      <c r="B118" s="487" t="s">
        <v>1792</v>
      </c>
      <c r="C118" s="575"/>
      <c r="D118" s="575"/>
      <c r="E118" s="575"/>
      <c r="F118" s="575"/>
      <c r="G118" s="575"/>
      <c r="H118" s="504"/>
      <c r="I118" s="504"/>
      <c r="J118" s="504"/>
      <c r="K118" s="504"/>
      <c r="L118" s="505"/>
      <c r="M118" s="506"/>
      <c r="N118" s="2730"/>
      <c r="O118" s="2730"/>
      <c r="P118" s="2721"/>
      <c r="Q118" s="2716"/>
      <c r="R118" s="2702"/>
      <c r="S118" s="2702"/>
      <c r="T118" s="2702"/>
      <c r="U118" s="2702"/>
      <c r="V118" s="2702"/>
      <c r="W118" s="2702"/>
      <c r="X118" s="2702"/>
      <c r="Y118" s="2702"/>
      <c r="Z118" s="2702"/>
      <c r="AA118" s="2702"/>
      <c r="AB118" s="2702"/>
      <c r="AC118" s="2702"/>
    </row>
    <row r="119" spans="1:29" ht="15.75" thickBot="1">
      <c r="A119" s="483"/>
      <c r="B119" s="492"/>
      <c r="C119" s="509"/>
      <c r="D119" s="485"/>
      <c r="E119" s="485"/>
      <c r="F119" s="485"/>
      <c r="G119" s="485"/>
      <c r="H119" s="485"/>
      <c r="I119" s="485"/>
      <c r="J119" s="485"/>
      <c r="K119" s="485"/>
      <c r="L119" s="485"/>
      <c r="M119" s="486"/>
      <c r="N119" s="2731"/>
      <c r="O119" s="2731"/>
      <c r="P119" s="2721"/>
      <c r="Q119" s="2716"/>
      <c r="R119" s="2702"/>
      <c r="S119" s="2702"/>
      <c r="T119" s="2702"/>
      <c r="U119" s="2702"/>
      <c r="V119" s="2702"/>
      <c r="W119" s="2702"/>
      <c r="X119" s="2702"/>
      <c r="Y119" s="2702"/>
      <c r="Z119" s="2702"/>
      <c r="AA119" s="2702"/>
      <c r="AB119" s="2702"/>
      <c r="AC119" s="2702"/>
    </row>
    <row r="120" spans="1:29" s="422" customFormat="1" ht="15" thickTop="1">
      <c r="A120" s="542"/>
      <c r="B120" s="487" t="s">
        <v>1793</v>
      </c>
      <c r="C120" s="532"/>
      <c r="D120" s="532"/>
      <c r="E120" s="532"/>
      <c r="F120" s="532"/>
      <c r="G120" s="504"/>
      <c r="H120" s="504"/>
      <c r="I120" s="504"/>
      <c r="J120" s="504"/>
      <c r="K120" s="504"/>
      <c r="L120" s="505"/>
      <c r="M120" s="506"/>
      <c r="N120" s="2732"/>
      <c r="O120" s="2732"/>
      <c r="P120" s="2722"/>
      <c r="Q120" s="2723"/>
      <c r="R120" s="2724"/>
      <c r="S120" s="2724"/>
      <c r="T120" s="2724"/>
      <c r="U120" s="2724"/>
      <c r="V120" s="2724"/>
      <c r="W120" s="2724"/>
      <c r="X120" s="2724"/>
      <c r="Y120" s="2724"/>
      <c r="Z120" s="2724"/>
      <c r="AA120" s="2724"/>
      <c r="AB120" s="2724"/>
      <c r="AC120" s="272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32"/>
      <c r="O121" s="2732"/>
      <c r="P121" s="2722"/>
      <c r="Q121" s="2723"/>
      <c r="R121" s="2724"/>
      <c r="S121" s="2724"/>
      <c r="T121" s="2724"/>
      <c r="U121" s="2724"/>
      <c r="V121" s="2724"/>
      <c r="W121" s="2724"/>
      <c r="X121" s="2724"/>
      <c r="Y121" s="2724"/>
      <c r="Z121" s="2724"/>
      <c r="AA121" s="2724"/>
      <c r="AB121" s="2724"/>
      <c r="AC121" s="2724"/>
    </row>
    <row r="122" spans="1:29" ht="15" thickTop="1">
      <c r="A122" s="548"/>
      <c r="B122" s="487" t="s">
        <v>1728</v>
      </c>
      <c r="C122" s="503"/>
      <c r="D122" s="503"/>
      <c r="E122" s="503"/>
      <c r="F122" s="532"/>
      <c r="G122" s="532"/>
      <c r="H122" s="532"/>
      <c r="I122" s="532"/>
      <c r="J122" s="532"/>
      <c r="K122" s="533"/>
      <c r="L122" s="534"/>
      <c r="M122" s="535"/>
      <c r="N122" s="2730"/>
      <c r="O122" s="2730"/>
      <c r="P122" s="2721"/>
      <c r="Q122" s="2716"/>
      <c r="R122" s="2702"/>
      <c r="S122" s="2702"/>
      <c r="T122" s="2702"/>
      <c r="U122" s="2702"/>
      <c r="V122" s="2702"/>
      <c r="W122" s="2702"/>
      <c r="X122" s="2702"/>
      <c r="Y122" s="2702"/>
      <c r="Z122" s="2702"/>
      <c r="AA122" s="2702"/>
      <c r="AB122" s="2702"/>
      <c r="AC122" s="270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31"/>
      <c r="O123" s="2731"/>
      <c r="P123" s="2721"/>
      <c r="Q123" s="2716"/>
      <c r="R123" s="2702"/>
      <c r="S123" s="2702"/>
      <c r="T123" s="2702"/>
      <c r="U123" s="2702"/>
      <c r="V123" s="2702"/>
      <c r="W123" s="2702"/>
      <c r="X123" s="2702"/>
      <c r="Y123" s="2702"/>
      <c r="Z123" s="2702"/>
      <c r="AA123" s="2702"/>
      <c r="AB123" s="2702"/>
      <c r="AC123" s="2702"/>
    </row>
    <row r="124" spans="1:29" ht="15" thickTop="1">
      <c r="A124" s="548"/>
      <c r="B124" s="487" t="s">
        <v>1729</v>
      </c>
      <c r="C124" s="527" t="s">
        <v>1705</v>
      </c>
      <c r="D124" s="527" t="s">
        <v>1706</v>
      </c>
      <c r="E124" s="527" t="s">
        <v>1707</v>
      </c>
      <c r="F124" s="527" t="s">
        <v>1708</v>
      </c>
      <c r="G124" s="527" t="s">
        <v>1709</v>
      </c>
      <c r="H124" s="488"/>
      <c r="I124" s="488"/>
      <c r="J124" s="488"/>
      <c r="K124" s="489"/>
      <c r="L124" s="490"/>
      <c r="M124" s="491"/>
      <c r="N124" s="2730"/>
      <c r="O124" s="2730"/>
      <c r="P124" s="2722"/>
      <c r="Q124" s="2716"/>
      <c r="R124" s="2702"/>
      <c r="S124" s="2702"/>
      <c r="T124" s="2702"/>
      <c r="U124" s="2702"/>
      <c r="V124" s="2702"/>
      <c r="W124" s="2702"/>
      <c r="X124" s="2702"/>
      <c r="Y124" s="2702"/>
      <c r="Z124" s="2702"/>
      <c r="AA124" s="2702"/>
      <c r="AB124" s="2702"/>
      <c r="AC124" s="270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31"/>
      <c r="O125" s="2731"/>
      <c r="P125" s="2721"/>
      <c r="Q125" s="2716"/>
      <c r="R125" s="2702"/>
      <c r="S125" s="2702"/>
      <c r="T125" s="2702"/>
      <c r="U125" s="2702"/>
      <c r="V125" s="2702"/>
      <c r="W125" s="2702"/>
      <c r="X125" s="2702"/>
      <c r="Y125" s="2702"/>
      <c r="Z125" s="2702"/>
      <c r="AA125" s="2702"/>
      <c r="AB125" s="2702"/>
      <c r="AC125" s="2702"/>
    </row>
    <row r="126" spans="1:29" s="422" customFormat="1" ht="15" thickTop="1">
      <c r="A126" s="542"/>
      <c r="B126" s="487">
        <f>B44</f>
        <v>111</v>
      </c>
      <c r="C126" s="503"/>
      <c r="D126" s="503"/>
      <c r="E126" s="503"/>
      <c r="F126" s="503"/>
      <c r="G126" s="503"/>
      <c r="H126" s="504"/>
      <c r="I126" s="504"/>
      <c r="J126" s="504"/>
      <c r="K126" s="504"/>
      <c r="L126" s="505"/>
      <c r="M126" s="506"/>
      <c r="N126" s="2732"/>
      <c r="O126" s="2732"/>
      <c r="P126" s="2722"/>
      <c r="Q126" s="2723"/>
      <c r="R126" s="2724"/>
      <c r="S126" s="2724"/>
      <c r="T126" s="2724"/>
      <c r="U126" s="2724"/>
      <c r="V126" s="2724"/>
      <c r="W126" s="2724"/>
      <c r="X126" s="2724"/>
      <c r="Y126" s="2724"/>
      <c r="Z126" s="2724"/>
      <c r="AA126" s="2724"/>
      <c r="AB126" s="2724"/>
      <c r="AC126" s="2724"/>
    </row>
    <row r="127" spans="1:29" s="422" customFormat="1" ht="15.75" thickBot="1">
      <c r="A127" s="502"/>
      <c r="B127" s="492"/>
      <c r="C127" s="509"/>
      <c r="D127" s="485"/>
      <c r="E127" s="485"/>
      <c r="F127" s="485"/>
      <c r="G127" s="509"/>
      <c r="H127" s="511"/>
      <c r="I127" s="511"/>
      <c r="J127" s="511"/>
      <c r="K127" s="511"/>
      <c r="L127" s="511"/>
      <c r="M127" s="512"/>
      <c r="N127" s="2732"/>
      <c r="O127" s="2732"/>
      <c r="P127" s="2722"/>
      <c r="Q127" s="2723"/>
      <c r="R127" s="2724"/>
      <c r="S127" s="2724"/>
      <c r="T127" s="2724"/>
      <c r="U127" s="2724"/>
      <c r="V127" s="2724"/>
      <c r="W127" s="2724"/>
      <c r="X127" s="2724"/>
      <c r="Y127" s="2724"/>
      <c r="Z127" s="2724"/>
      <c r="AA127" s="2724"/>
      <c r="AB127" s="2724"/>
      <c r="AC127" s="2724"/>
    </row>
    <row r="128" spans="1:29" ht="15" thickTop="1">
      <c r="A128" s="548"/>
      <c r="B128" s="487">
        <f>B45</f>
        <v>111</v>
      </c>
      <c r="C128" s="503"/>
      <c r="D128" s="503"/>
      <c r="E128" s="503"/>
      <c r="F128" s="503"/>
      <c r="G128" s="532"/>
      <c r="H128" s="532"/>
      <c r="I128" s="532"/>
      <c r="J128" s="532"/>
      <c r="K128" s="533"/>
      <c r="L128" s="534"/>
      <c r="M128" s="535"/>
      <c r="N128" s="2730"/>
      <c r="O128" s="2730"/>
      <c r="P128" s="2721"/>
      <c r="Q128" s="2716"/>
      <c r="R128" s="2702"/>
      <c r="S128" s="2702"/>
      <c r="T128" s="2702"/>
      <c r="U128" s="2702"/>
      <c r="V128" s="2702"/>
      <c r="W128" s="2702"/>
      <c r="X128" s="2702"/>
      <c r="Y128" s="2702"/>
      <c r="Z128" s="2702"/>
      <c r="AA128" s="2702"/>
      <c r="AB128" s="2702"/>
      <c r="AC128" s="2702"/>
    </row>
    <row r="129" spans="1:29" ht="15.75" thickBot="1">
      <c r="A129" s="483"/>
      <c r="B129" s="492"/>
      <c r="C129" s="509"/>
      <c r="D129" s="485"/>
      <c r="E129" s="485"/>
      <c r="F129" s="485"/>
      <c r="G129" s="485"/>
      <c r="H129" s="485"/>
      <c r="I129" s="485"/>
      <c r="J129" s="485"/>
      <c r="K129" s="485"/>
      <c r="L129" s="485"/>
      <c r="M129" s="486"/>
      <c r="N129" s="2731"/>
      <c r="O129" s="2731"/>
      <c r="P129" s="2721"/>
      <c r="Q129" s="2716"/>
      <c r="R129" s="2702"/>
      <c r="S129" s="2702"/>
      <c r="T129" s="2702"/>
      <c r="U129" s="2702"/>
      <c r="V129" s="2702"/>
      <c r="W129" s="2702"/>
      <c r="X129" s="2702"/>
      <c r="Y129" s="2702"/>
      <c r="Z129" s="2702"/>
      <c r="AA129" s="2702"/>
      <c r="AB129" s="2702"/>
      <c r="AC129" s="2702"/>
    </row>
    <row r="130" spans="1:29" ht="15" thickTop="1">
      <c r="A130" s="548"/>
      <c r="B130" s="495">
        <f>B46</f>
        <v>111</v>
      </c>
      <c r="C130" s="503"/>
      <c r="D130" s="503"/>
      <c r="E130" s="503"/>
      <c r="F130" s="503"/>
      <c r="G130" s="536"/>
      <c r="H130" s="536"/>
      <c r="I130" s="536"/>
      <c r="J130" s="536"/>
      <c r="K130" s="472"/>
      <c r="L130" s="473"/>
      <c r="M130" s="539"/>
      <c r="N130" s="2730"/>
      <c r="O130" s="2730"/>
      <c r="P130" s="2721"/>
      <c r="Q130" s="2716"/>
      <c r="R130" s="2702"/>
      <c r="S130" s="2702"/>
      <c r="T130" s="2702"/>
      <c r="U130" s="2702"/>
      <c r="V130" s="2702"/>
      <c r="W130" s="2702"/>
      <c r="X130" s="2702"/>
      <c r="Y130" s="2702"/>
      <c r="Z130" s="2702"/>
      <c r="AA130" s="2702"/>
      <c r="AB130" s="2702"/>
      <c r="AC130" s="2702"/>
    </row>
    <row r="131" spans="1:29" ht="15.75" thickBot="1">
      <c r="A131" s="1928"/>
      <c r="B131" s="518"/>
      <c r="C131" s="519"/>
      <c r="D131" s="519"/>
      <c r="E131" s="519"/>
      <c r="F131" s="519"/>
      <c r="G131" s="540"/>
      <c r="H131" s="540"/>
      <c r="I131" s="540"/>
      <c r="J131" s="540"/>
      <c r="K131" s="540"/>
      <c r="L131" s="540"/>
      <c r="M131" s="541"/>
      <c r="N131" s="2731"/>
      <c r="O131" s="2731"/>
      <c r="P131" s="2721"/>
      <c r="Q131" s="2716"/>
      <c r="R131" s="2702"/>
      <c r="S131" s="2702"/>
      <c r="T131" s="2702"/>
      <c r="U131" s="2702"/>
      <c r="V131" s="2702"/>
      <c r="W131" s="2702"/>
      <c r="X131" s="2702"/>
      <c r="Y131" s="2702"/>
      <c r="Z131" s="2702"/>
      <c r="AA131" s="2702"/>
      <c r="AB131" s="2702"/>
      <c r="AC131" s="270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8" priority="21" stopIfTrue="1" operator="containsText" text="超过">
      <formula>NOT(ISERROR(SEARCH("超过",F52)))</formula>
    </cfRule>
  </conditionalFormatting>
  <conditionalFormatting sqref="H54">
    <cfRule type="containsText" dxfId="127" priority="19" stopIfTrue="1" operator="containsText" text="超过">
      <formula>NOT(ISERROR(SEARCH("超过",H54)))</formula>
    </cfRule>
  </conditionalFormatting>
  <conditionalFormatting sqref="F54">
    <cfRule type="containsText" dxfId="126" priority="18" stopIfTrue="1" operator="containsText" text="超过">
      <formula>NOT(ISERROR(SEARCH("超过",F54)))</formula>
    </cfRule>
  </conditionalFormatting>
  <conditionalFormatting sqref="F53 H53">
    <cfRule type="containsText" dxfId="125" priority="17" stopIfTrue="1" operator="containsText" text="超过">
      <formula>NOT(ISERROR(SEARCH("超过",F53)))</formula>
    </cfRule>
  </conditionalFormatting>
  <conditionalFormatting sqref="E52">
    <cfRule type="expression" dxfId="124" priority="16" stopIfTrue="1">
      <formula>$F$52="超过30%"</formula>
    </cfRule>
  </conditionalFormatting>
  <conditionalFormatting sqref="E53">
    <cfRule type="expression" dxfId="123" priority="15" stopIfTrue="1">
      <formula>$F$53="超过20%"</formula>
    </cfRule>
  </conditionalFormatting>
  <conditionalFormatting sqref="E54">
    <cfRule type="expression" dxfId="122" priority="14" stopIfTrue="1">
      <formula>$F$54="超过30%"</formula>
    </cfRule>
  </conditionalFormatting>
  <conditionalFormatting sqref="G54">
    <cfRule type="expression" dxfId="121" priority="13" stopIfTrue="1">
      <formula>$H$54="超过30%"</formula>
    </cfRule>
  </conditionalFormatting>
  <conditionalFormatting sqref="G52">
    <cfRule type="expression" dxfId="120" priority="12" stopIfTrue="1">
      <formula>$H$52="超过30%"</formula>
    </cfRule>
  </conditionalFormatting>
  <conditionalFormatting sqref="G53">
    <cfRule type="expression" dxfId="119" priority="11" stopIfTrue="1">
      <formula>$H$53="超过20%"</formula>
    </cfRule>
  </conditionalFormatting>
  <conditionalFormatting sqref="J52">
    <cfRule type="containsText" dxfId="118" priority="10" stopIfTrue="1" operator="containsText" text="超过">
      <formula>NOT(ISERROR(SEARCH("超过",J52)))</formula>
    </cfRule>
  </conditionalFormatting>
  <conditionalFormatting sqref="J54">
    <cfRule type="containsText" dxfId="117" priority="9" stopIfTrue="1" operator="containsText" text="超过">
      <formula>NOT(ISERROR(SEARCH("超过",J54)))</formula>
    </cfRule>
  </conditionalFormatting>
  <conditionalFormatting sqref="J53">
    <cfRule type="containsText" dxfId="116" priority="8" stopIfTrue="1" operator="containsText" text="超过">
      <formula>NOT(ISERROR(SEARCH("超过",J53)))</formula>
    </cfRule>
  </conditionalFormatting>
  <conditionalFormatting sqref="I52">
    <cfRule type="expression" dxfId="115" priority="7" stopIfTrue="1">
      <formula>$J$52="超过30%"</formula>
    </cfRule>
  </conditionalFormatting>
  <conditionalFormatting sqref="I53">
    <cfRule type="expression" dxfId="114" priority="6" stopIfTrue="1">
      <formula>$J$53="超过20%"</formula>
    </cfRule>
  </conditionalFormatting>
  <conditionalFormatting sqref="I54">
    <cfRule type="expression" dxfId="113" priority="5" stopIfTrue="1">
      <formula>$J$54="超过30%"</formula>
    </cfRule>
  </conditionalFormatting>
  <conditionalFormatting sqref="F48">
    <cfRule type="expression" dxfId="112" priority="4">
      <formula>$D$48="简单平均"</formula>
    </cfRule>
  </conditionalFormatting>
  <conditionalFormatting sqref="H48">
    <cfRule type="expression" dxfId="111" priority="3">
      <formula>$D$48="简单平均"</formula>
    </cfRule>
  </conditionalFormatting>
  <conditionalFormatting sqref="J48">
    <cfRule type="expression" dxfId="110" priority="2">
      <formula>$D$48="简单平均"</formula>
    </cfRule>
  </conditionalFormatting>
  <conditionalFormatting sqref="F7:F46 H7:H46 J7:J46">
    <cfRule type="cellIs" dxfId="10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1644</v>
      </c>
      <c r="B1" s="1957" t="s">
        <v>1810</v>
      </c>
      <c r="C1" s="1224" t="s">
        <v>1646</v>
      </c>
      <c r="D1" s="1225"/>
      <c r="E1" s="3410"/>
      <c r="F1" s="1879"/>
      <c r="G1" s="1235" t="s">
        <v>1751</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1446</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1447</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1448</v>
      </c>
      <c r="B3" s="558">
        <f>IF(C2="——",C43,ROUND(B2*10000/D3,0))</f>
        <v>0</v>
      </c>
      <c r="C3" s="354" t="s">
        <v>1752</v>
      </c>
      <c r="D3" s="353">
        <f>IF(D1="",'数据-汇总表'!E3,SUMIF('数据-汇总表'!$C19:$C33,D1,'数据-汇总表'!$E19:$E33))</f>
        <v>48720.729999999974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1753</v>
      </c>
      <c r="B4" s="356"/>
      <c r="C4" s="3922" t="s">
        <v>1754</v>
      </c>
      <c r="D4" s="3923"/>
      <c r="E4" s="3924" t="s">
        <v>1755</v>
      </c>
      <c r="F4" s="3925"/>
      <c r="G4" s="3922" t="s">
        <v>1756</v>
      </c>
      <c r="H4" s="3923"/>
      <c r="I4" s="3922" t="s">
        <v>1757</v>
      </c>
      <c r="J4" s="3923"/>
      <c r="K4" s="559" t="s">
        <v>1758</v>
      </c>
      <c r="L4" s="913"/>
      <c r="M4" s="914"/>
      <c r="N4" s="914"/>
      <c r="O4" s="914"/>
      <c r="P4" s="3963" t="s">
        <v>1759</v>
      </c>
      <c r="Q4" s="3964"/>
      <c r="R4" s="3967" t="s">
        <v>1755</v>
      </c>
      <c r="S4" s="3968"/>
      <c r="T4" s="3967" t="s">
        <v>1756</v>
      </c>
      <c r="U4" s="3968"/>
      <c r="V4" s="3939" t="s">
        <v>1757</v>
      </c>
      <c r="W4" s="3939"/>
      <c r="X4" s="1355"/>
      <c r="Y4" s="3967" t="s">
        <v>1759</v>
      </c>
      <c r="Z4" s="3968"/>
      <c r="AA4" s="3962" t="s">
        <v>1755</v>
      </c>
      <c r="AB4" s="3953" t="s">
        <v>1756</v>
      </c>
      <c r="AC4" s="3962" t="s">
        <v>1757</v>
      </c>
    </row>
    <row r="5" spans="1:29" ht="15">
      <c r="A5" s="358"/>
      <c r="B5" s="359"/>
      <c r="C5" s="3948" t="s">
        <v>1657</v>
      </c>
      <c r="D5" s="3943"/>
      <c r="E5" s="3955" t="s">
        <v>1658</v>
      </c>
      <c r="F5" s="3956"/>
      <c r="G5" s="3948" t="s">
        <v>1659</v>
      </c>
      <c r="H5" s="3943"/>
      <c r="I5" s="3948" t="s">
        <v>1660</v>
      </c>
      <c r="J5" s="3943"/>
      <c r="K5" s="559"/>
      <c r="L5" s="913"/>
      <c r="M5" s="914"/>
      <c r="N5" s="914"/>
      <c r="O5" s="914"/>
      <c r="P5" s="3965"/>
      <c r="Q5" s="3929"/>
      <c r="R5" s="3934"/>
      <c r="S5" s="3935"/>
      <c r="T5" s="3934"/>
      <c r="U5" s="3935"/>
      <c r="V5" s="3939"/>
      <c r="W5" s="3939"/>
      <c r="X5" s="1355"/>
      <c r="Y5" s="3934"/>
      <c r="Z5" s="3935"/>
      <c r="AA5" s="3953"/>
      <c r="AB5" s="3953"/>
      <c r="AC5" s="3953"/>
    </row>
    <row r="6" spans="1:29" ht="15.75" thickBot="1">
      <c r="A6" s="360"/>
      <c r="B6" s="361"/>
      <c r="C6" s="3940" t="s">
        <v>1661</v>
      </c>
      <c r="D6" s="3941"/>
      <c r="E6" s="3950" t="s">
        <v>1661</v>
      </c>
      <c r="F6" s="3951"/>
      <c r="G6" s="3940" t="s">
        <v>1661</v>
      </c>
      <c r="H6" s="3941"/>
      <c r="I6" s="3940" t="s">
        <v>1661</v>
      </c>
      <c r="J6" s="3941"/>
      <c r="K6" s="559" t="s">
        <v>1662</v>
      </c>
      <c r="L6" s="913"/>
      <c r="M6" s="914"/>
      <c r="N6" s="914"/>
      <c r="O6" s="914"/>
      <c r="P6" s="3966"/>
      <c r="Q6" s="3931"/>
      <c r="R6" s="3934"/>
      <c r="S6" s="3935"/>
      <c r="T6" s="3936"/>
      <c r="U6" s="3937"/>
      <c r="V6" s="3939"/>
      <c r="W6" s="3939"/>
      <c r="X6" s="1355"/>
      <c r="Y6" s="3936"/>
      <c r="Z6" s="3937"/>
      <c r="AA6" s="3954"/>
      <c r="AB6" s="3954"/>
      <c r="AC6" s="3954"/>
    </row>
    <row r="7" spans="1:29" s="108" customFormat="1" ht="15.75" thickBot="1">
      <c r="A7" s="362" t="s">
        <v>1663</v>
      </c>
      <c r="B7" s="363"/>
      <c r="C7" s="364">
        <f>'数据-取费表'!B2</f>
        <v>45287</v>
      </c>
      <c r="D7" s="365">
        <v>100</v>
      </c>
      <c r="E7" s="366"/>
      <c r="F7" s="367">
        <f>SUMIF(52:52,YEAR(E7)&amp;"-"&amp;MONTH(E7),53:53)</f>
        <v>0</v>
      </c>
      <c r="G7" s="366"/>
      <c r="H7" s="365">
        <f>SUMIF(52:52,YEAR(G7)&amp;"-"&amp;MONTH(G7),53:53)</f>
        <v>0</v>
      </c>
      <c r="I7" s="366"/>
      <c r="J7" s="365">
        <f>SUMIF(52:52,YEAR(I7)&amp;"-"&amp;MONTH(I7),53:53)</f>
        <v>0</v>
      </c>
      <c r="K7" s="560"/>
      <c r="L7" s="915"/>
      <c r="M7" s="916"/>
      <c r="N7" s="916"/>
      <c r="O7" s="916"/>
      <c r="P7" s="3946" t="s">
        <v>1664</v>
      </c>
      <c r="Q7" s="3947"/>
      <c r="R7" s="701" t="s">
        <v>14</v>
      </c>
      <c r="S7" s="702">
        <f t="shared" ref="S7:S15" si="0">F7</f>
        <v>0</v>
      </c>
      <c r="T7" s="701" t="s">
        <v>14</v>
      </c>
      <c r="U7" s="702">
        <f t="shared" ref="U7:U15" si="1">H7</f>
        <v>0</v>
      </c>
      <c r="V7" s="701" t="s">
        <v>14</v>
      </c>
      <c r="W7" s="702">
        <f t="shared" ref="W7:W15" si="2">J7</f>
        <v>0</v>
      </c>
      <c r="X7" s="703"/>
      <c r="Y7" s="3946" t="s">
        <v>1664</v>
      </c>
      <c r="Z7" s="3945"/>
      <c r="AA7" s="704" t="e">
        <f>D7/F7</f>
        <v>#DIV/0!</v>
      </c>
      <c r="AB7" s="704" t="e">
        <f>D7/H7</f>
        <v>#DIV/0!</v>
      </c>
      <c r="AC7" s="704" t="e">
        <f>D7/J7</f>
        <v>#DIV/0!</v>
      </c>
    </row>
    <row r="8" spans="1:29" s="108" customFormat="1" ht="15.75" thickBot="1">
      <c r="A8" s="362" t="s">
        <v>1665</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946" t="s">
        <v>1667</v>
      </c>
      <c r="Q8" s="3945"/>
      <c r="R8" s="701" t="s">
        <v>14</v>
      </c>
      <c r="S8" s="702">
        <f t="shared" si="0"/>
        <v>100</v>
      </c>
      <c r="T8" s="701" t="s">
        <v>14</v>
      </c>
      <c r="U8" s="702">
        <f t="shared" si="1"/>
        <v>100</v>
      </c>
      <c r="V8" s="701" t="s">
        <v>14</v>
      </c>
      <c r="W8" s="702">
        <f t="shared" si="2"/>
        <v>100</v>
      </c>
      <c r="X8" s="703"/>
      <c r="Y8" s="3946" t="s">
        <v>1667</v>
      </c>
      <c r="Z8" s="3945"/>
      <c r="AA8" s="704">
        <f t="shared" ref="AA8:AA40" si="3">D8/F8</f>
        <v>1</v>
      </c>
      <c r="AB8" s="704">
        <f t="shared" ref="AB8:AB40" si="4">D8/H8</f>
        <v>1</v>
      </c>
      <c r="AC8" s="704">
        <f t="shared" ref="AC8:AC40" si="5">D8/J8</f>
        <v>1</v>
      </c>
    </row>
    <row r="9" spans="1:29" s="108" customFormat="1">
      <c r="A9" s="369" t="s">
        <v>1668</v>
      </c>
      <c r="B9" s="63" t="s">
        <v>1669</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905" t="s">
        <v>1670</v>
      </c>
      <c r="Q9" s="1343" t="str">
        <f t="shared" ref="Q9:Q15" si="6">B9</f>
        <v>用途</v>
      </c>
      <c r="R9" s="701" t="s">
        <v>14</v>
      </c>
      <c r="S9" s="702">
        <f t="shared" si="0"/>
        <v>100</v>
      </c>
      <c r="T9" s="701" t="s">
        <v>14</v>
      </c>
      <c r="U9" s="702">
        <f t="shared" si="1"/>
        <v>100</v>
      </c>
      <c r="V9" s="701" t="s">
        <v>14</v>
      </c>
      <c r="W9" s="702">
        <f t="shared" si="2"/>
        <v>100</v>
      </c>
      <c r="X9" s="703"/>
      <c r="Y9" s="3783" t="s">
        <v>1671</v>
      </c>
      <c r="Z9" s="52" t="str">
        <f t="shared" ref="Z9:Z15" si="7">Q9</f>
        <v>用途</v>
      </c>
      <c r="AA9" s="704">
        <f t="shared" si="3"/>
        <v>1</v>
      </c>
      <c r="AB9" s="704">
        <f t="shared" si="4"/>
        <v>1</v>
      </c>
      <c r="AC9" s="704">
        <f t="shared" si="5"/>
        <v>1</v>
      </c>
    </row>
    <row r="10" spans="1:29" s="378" customFormat="1" ht="27">
      <c r="A10" s="374"/>
      <c r="B10" s="375" t="s">
        <v>1672</v>
      </c>
      <c r="C10" s="3411"/>
      <c r="D10" s="127">
        <v>100</v>
      </c>
      <c r="E10" s="3411"/>
      <c r="F10" s="127">
        <f>SUMIF(59:59,E10,60:60)-SUMIF(59:59,C10,60:60)+100</f>
        <v>100</v>
      </c>
      <c r="G10" s="3412"/>
      <c r="H10" s="127">
        <f>SUMIF(59:59,G10,60:60)-SUMIF(59:59,C10,60:60)+100</f>
        <v>100</v>
      </c>
      <c r="I10" s="3411"/>
      <c r="J10" s="127">
        <f>SUMIF(59:59,I10,60:60)-SUMIF(59:59,C10,60:60)+100</f>
        <v>100</v>
      </c>
      <c r="K10" s="560"/>
      <c r="L10" s="918"/>
      <c r="M10" s="919"/>
      <c r="N10" s="919"/>
      <c r="O10" s="920"/>
      <c r="P10" s="3905"/>
      <c r="Q10" s="1343" t="str">
        <f t="shared" si="6"/>
        <v>土地使用年限（年）</v>
      </c>
      <c r="R10" s="701" t="s">
        <v>14</v>
      </c>
      <c r="S10" s="702">
        <f t="shared" si="0"/>
        <v>100</v>
      </c>
      <c r="T10" s="701" t="s">
        <v>14</v>
      </c>
      <c r="U10" s="702">
        <f t="shared" si="1"/>
        <v>100</v>
      </c>
      <c r="V10" s="701" t="s">
        <v>14</v>
      </c>
      <c r="W10" s="702">
        <f t="shared" si="2"/>
        <v>100</v>
      </c>
      <c r="X10" s="703"/>
      <c r="Y10" s="3783"/>
      <c r="Z10" s="52" t="str">
        <f t="shared" si="7"/>
        <v>土地使用年限（年）</v>
      </c>
      <c r="AA10" s="704">
        <f t="shared" si="3"/>
        <v>1</v>
      </c>
      <c r="AB10" s="704">
        <f t="shared" si="4"/>
        <v>1</v>
      </c>
      <c r="AC10" s="704">
        <f t="shared" si="5"/>
        <v>1</v>
      </c>
    </row>
    <row r="11" spans="1:29" ht="15">
      <c r="A11" s="379"/>
      <c r="B11" s="375" t="s">
        <v>1673</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905"/>
      <c r="Q11" s="1343" t="str">
        <f t="shared" si="6"/>
        <v>容积率</v>
      </c>
      <c r="R11" s="701" t="s">
        <v>14</v>
      </c>
      <c r="S11" s="702">
        <f t="shared" si="0"/>
        <v>100</v>
      </c>
      <c r="T11" s="701" t="s">
        <v>14</v>
      </c>
      <c r="U11" s="702">
        <f t="shared" si="1"/>
        <v>100</v>
      </c>
      <c r="V11" s="701" t="s">
        <v>14</v>
      </c>
      <c r="W11" s="702">
        <f t="shared" si="2"/>
        <v>100</v>
      </c>
      <c r="X11" s="703"/>
      <c r="Y11" s="378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905"/>
      <c r="Q12" s="1343">
        <f t="shared" si="6"/>
        <v>111</v>
      </c>
      <c r="R12" s="701" t="s">
        <v>14</v>
      </c>
      <c r="S12" s="702">
        <f t="shared" si="0"/>
        <v>100</v>
      </c>
      <c r="T12" s="701" t="s">
        <v>14</v>
      </c>
      <c r="U12" s="702">
        <f t="shared" si="1"/>
        <v>100</v>
      </c>
      <c r="V12" s="701" t="s">
        <v>14</v>
      </c>
      <c r="W12" s="702">
        <f t="shared" si="2"/>
        <v>100</v>
      </c>
      <c r="X12" s="703"/>
      <c r="Y12" s="378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905"/>
      <c r="Q13" s="1343">
        <f t="shared" si="6"/>
        <v>111</v>
      </c>
      <c r="R13" s="701" t="s">
        <v>14</v>
      </c>
      <c r="S13" s="702">
        <f t="shared" si="0"/>
        <v>100</v>
      </c>
      <c r="T13" s="701" t="s">
        <v>14</v>
      </c>
      <c r="U13" s="702">
        <f t="shared" si="1"/>
        <v>100</v>
      </c>
      <c r="V13" s="701" t="s">
        <v>14</v>
      </c>
      <c r="W13" s="702">
        <f t="shared" si="2"/>
        <v>100</v>
      </c>
      <c r="X13" s="703"/>
      <c r="Y13" s="3783"/>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905"/>
      <c r="Q14" s="1343">
        <f t="shared" si="6"/>
        <v>111</v>
      </c>
      <c r="R14" s="701" t="s">
        <v>14</v>
      </c>
      <c r="S14" s="702">
        <f t="shared" si="0"/>
        <v>100</v>
      </c>
      <c r="T14" s="701" t="s">
        <v>14</v>
      </c>
      <c r="U14" s="702">
        <f t="shared" si="1"/>
        <v>100</v>
      </c>
      <c r="V14" s="701" t="s">
        <v>14</v>
      </c>
      <c r="W14" s="702">
        <f t="shared" si="2"/>
        <v>100</v>
      </c>
      <c r="X14" s="703"/>
      <c r="Y14" s="3783"/>
      <c r="Z14" s="52">
        <f t="shared" si="7"/>
        <v>111</v>
      </c>
      <c r="AA14" s="704">
        <f t="shared" si="3"/>
        <v>1</v>
      </c>
      <c r="AB14" s="704">
        <f t="shared" si="4"/>
        <v>1</v>
      </c>
      <c r="AC14" s="704">
        <f t="shared" si="5"/>
        <v>1</v>
      </c>
    </row>
    <row r="15" spans="1:29" ht="57">
      <c r="A15" s="391" t="s">
        <v>1674</v>
      </c>
      <c r="B15" s="61" t="s">
        <v>1811</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912" t="s">
        <v>1675</v>
      </c>
      <c r="Q15" s="1352" t="str">
        <f t="shared" si="6"/>
        <v>产业集聚程度</v>
      </c>
      <c r="R15" s="705" t="s">
        <v>14</v>
      </c>
      <c r="S15" s="706">
        <f t="shared" si="0"/>
        <v>100</v>
      </c>
      <c r="T15" s="705" t="s">
        <v>14</v>
      </c>
      <c r="U15" s="706">
        <f t="shared" si="1"/>
        <v>100</v>
      </c>
      <c r="V15" s="705" t="s">
        <v>14</v>
      </c>
      <c r="W15" s="706">
        <f t="shared" si="2"/>
        <v>100</v>
      </c>
      <c r="X15" s="1355"/>
      <c r="Y15" s="3912" t="s">
        <v>1675</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913"/>
      <c r="Q16" s="1352"/>
      <c r="R16" s="705"/>
      <c r="S16" s="706"/>
      <c r="T16" s="705"/>
      <c r="U16" s="706"/>
      <c r="V16" s="705"/>
      <c r="W16" s="706"/>
      <c r="X16" s="1355"/>
      <c r="Y16" s="3913"/>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913"/>
      <c r="Q17" s="1352" t="str">
        <f>B17</f>
        <v>交通便捷度</v>
      </c>
      <c r="R17" s="705" t="s">
        <v>14</v>
      </c>
      <c r="S17" s="706">
        <f>F17</f>
        <v>100</v>
      </c>
      <c r="T17" s="705" t="s">
        <v>14</v>
      </c>
      <c r="U17" s="706">
        <f>H17</f>
        <v>100</v>
      </c>
      <c r="V17" s="705" t="s">
        <v>14</v>
      </c>
      <c r="W17" s="706">
        <f>J17</f>
        <v>100</v>
      </c>
      <c r="X17" s="1355"/>
      <c r="Y17" s="391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913"/>
      <c r="Q18" s="1352"/>
      <c r="R18" s="705"/>
      <c r="S18" s="706"/>
      <c r="T18" s="705"/>
      <c r="U18" s="706"/>
      <c r="V18" s="705"/>
      <c r="W18" s="706"/>
      <c r="X18" s="1355"/>
      <c r="Y18" s="3913"/>
      <c r="Z18" s="1356"/>
      <c r="AA18" s="1353">
        <v>1</v>
      </c>
      <c r="AB18" s="1353">
        <v>1</v>
      </c>
      <c r="AC18" s="1353">
        <v>1</v>
      </c>
    </row>
    <row r="19" spans="1:29" ht="42.75">
      <c r="A19" s="379"/>
      <c r="B19" s="402" t="s">
        <v>1796</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913"/>
      <c r="Q19" s="1352" t="str">
        <f>B19</f>
        <v>公共配套设施</v>
      </c>
      <c r="R19" s="705" t="s">
        <v>14</v>
      </c>
      <c r="S19" s="706">
        <f>F19</f>
        <v>100</v>
      </c>
      <c r="T19" s="705" t="s">
        <v>14</v>
      </c>
      <c r="U19" s="706">
        <f>H19</f>
        <v>100</v>
      </c>
      <c r="V19" s="705" t="s">
        <v>14</v>
      </c>
      <c r="W19" s="706">
        <f>J19</f>
        <v>100</v>
      </c>
      <c r="X19" s="1355"/>
      <c r="Y19" s="391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913"/>
      <c r="Q20" s="1352"/>
      <c r="R20" s="705"/>
      <c r="S20" s="706"/>
      <c r="T20" s="705"/>
      <c r="U20" s="706"/>
      <c r="V20" s="705"/>
      <c r="W20" s="706"/>
      <c r="X20" s="1355"/>
      <c r="Y20" s="3913"/>
      <c r="Z20" s="1356"/>
      <c r="AA20" s="1353">
        <v>1</v>
      </c>
      <c r="AB20" s="1353">
        <v>1</v>
      </c>
      <c r="AC20" s="1353">
        <v>1</v>
      </c>
    </row>
    <row r="21" spans="1:29" ht="28.5">
      <c r="A21" s="379"/>
      <c r="B21" s="1131" t="s">
        <v>1797</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913"/>
      <c r="Q21" s="1352" t="str">
        <f>B21</f>
        <v>基础设施水平</v>
      </c>
      <c r="R21" s="705" t="s">
        <v>14</v>
      </c>
      <c r="S21" s="706">
        <f>F21</f>
        <v>100</v>
      </c>
      <c r="T21" s="705" t="s">
        <v>14</v>
      </c>
      <c r="U21" s="706">
        <f>H21</f>
        <v>100</v>
      </c>
      <c r="V21" s="705" t="s">
        <v>14</v>
      </c>
      <c r="W21" s="706">
        <f>J21</f>
        <v>100</v>
      </c>
      <c r="X21" s="1355"/>
      <c r="Y21" s="391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913"/>
      <c r="Q22" s="1352"/>
      <c r="R22" s="705"/>
      <c r="S22" s="706"/>
      <c r="T22" s="705"/>
      <c r="U22" s="706"/>
      <c r="V22" s="705"/>
      <c r="W22" s="706"/>
      <c r="X22" s="1355"/>
      <c r="Y22" s="3913"/>
      <c r="Z22" s="1356"/>
      <c r="AA22" s="1353">
        <v>1</v>
      </c>
      <c r="AB22" s="1353">
        <v>1</v>
      </c>
      <c r="AC22" s="1353">
        <v>1</v>
      </c>
    </row>
    <row r="23" spans="1:29" ht="71.25">
      <c r="A23" s="379"/>
      <c r="B23" s="402" t="s">
        <v>1798</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913"/>
      <c r="Q23" s="1352" t="str">
        <f>B23</f>
        <v>环境质量</v>
      </c>
      <c r="R23" s="705" t="s">
        <v>14</v>
      </c>
      <c r="S23" s="706">
        <f>F23</f>
        <v>100</v>
      </c>
      <c r="T23" s="705" t="s">
        <v>14</v>
      </c>
      <c r="U23" s="706">
        <f>H23</f>
        <v>100</v>
      </c>
      <c r="V23" s="705" t="s">
        <v>14</v>
      </c>
      <c r="W23" s="706">
        <f>J23</f>
        <v>100</v>
      </c>
      <c r="X23" s="1355"/>
      <c r="Y23" s="391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913"/>
      <c r="Q24" s="1352"/>
      <c r="R24" s="705"/>
      <c r="S24" s="706"/>
      <c r="T24" s="705"/>
      <c r="U24" s="706"/>
      <c r="V24" s="705"/>
      <c r="W24" s="706"/>
      <c r="X24" s="1355"/>
      <c r="Y24" s="391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913"/>
      <c r="Q25" s="1352">
        <f>B25</f>
        <v>111</v>
      </c>
      <c r="R25" s="705" t="s">
        <v>14</v>
      </c>
      <c r="S25" s="706">
        <f>F25</f>
        <v>100</v>
      </c>
      <c r="T25" s="705" t="s">
        <v>14</v>
      </c>
      <c r="U25" s="706">
        <f>H25</f>
        <v>100</v>
      </c>
      <c r="V25" s="705" t="s">
        <v>14</v>
      </c>
      <c r="W25" s="706">
        <f>J25</f>
        <v>100</v>
      </c>
      <c r="X25" s="1355"/>
      <c r="Y25" s="391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913"/>
      <c r="Q26" s="1352">
        <f t="shared" ref="Q26:Q40" si="11">B26</f>
        <v>111</v>
      </c>
      <c r="R26" s="705" t="s">
        <v>14</v>
      </c>
      <c r="S26" s="706">
        <f>F26</f>
        <v>100</v>
      </c>
      <c r="T26" s="705" t="s">
        <v>14</v>
      </c>
      <c r="U26" s="706">
        <f>H26</f>
        <v>100</v>
      </c>
      <c r="V26" s="705" t="s">
        <v>14</v>
      </c>
      <c r="W26" s="706">
        <f>J26</f>
        <v>100</v>
      </c>
      <c r="X26" s="1355"/>
      <c r="Y26" s="391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913"/>
      <c r="Q27" s="1343">
        <f t="shared" si="11"/>
        <v>111</v>
      </c>
      <c r="R27" s="701" t="s">
        <v>14</v>
      </c>
      <c r="S27" s="702">
        <f>F27</f>
        <v>100</v>
      </c>
      <c r="T27" s="701" t="s">
        <v>14</v>
      </c>
      <c r="U27" s="702">
        <f>H27</f>
        <v>100</v>
      </c>
      <c r="V27" s="701" t="s">
        <v>14</v>
      </c>
      <c r="W27" s="702">
        <f>J27</f>
        <v>100</v>
      </c>
      <c r="X27" s="703"/>
      <c r="Y27" s="391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913"/>
      <c r="Q28" s="1352">
        <f t="shared" si="11"/>
        <v>111</v>
      </c>
      <c r="R28" s="705" t="s">
        <v>14</v>
      </c>
      <c r="S28" s="706">
        <f t="shared" ref="S28:S40" si="12">F28</f>
        <v>100</v>
      </c>
      <c r="T28" s="705" t="s">
        <v>14</v>
      </c>
      <c r="U28" s="706">
        <f t="shared" ref="U28:U40" si="13">H28</f>
        <v>100</v>
      </c>
      <c r="V28" s="705" t="s">
        <v>14</v>
      </c>
      <c r="W28" s="706">
        <f t="shared" ref="W28:W40" si="14">J28</f>
        <v>100</v>
      </c>
      <c r="X28" s="1355"/>
      <c r="Y28" s="3913"/>
      <c r="Z28" s="1356">
        <f t="shared" ref="Z28:Z40" si="15">Q28</f>
        <v>111</v>
      </c>
      <c r="AA28" s="1353">
        <f t="shared" si="3"/>
        <v>1</v>
      </c>
      <c r="AB28" s="1353">
        <f t="shared" si="4"/>
        <v>1</v>
      </c>
      <c r="AC28" s="1353">
        <f t="shared" si="5"/>
        <v>1</v>
      </c>
    </row>
    <row r="29" spans="1:29" ht="28.5">
      <c r="A29" s="417" t="s">
        <v>1678</v>
      </c>
      <c r="B29" s="63" t="s">
        <v>1801</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969" t="s">
        <v>1680</v>
      </c>
      <c r="Q29" s="1352" t="str">
        <f t="shared" si="11"/>
        <v>建筑类型</v>
      </c>
      <c r="R29" s="705" t="s">
        <v>14</v>
      </c>
      <c r="S29" s="706">
        <f t="shared" si="12"/>
        <v>100</v>
      </c>
      <c r="T29" s="705" t="s">
        <v>14</v>
      </c>
      <c r="U29" s="706">
        <f t="shared" si="13"/>
        <v>100</v>
      </c>
      <c r="V29" s="705" t="s">
        <v>14</v>
      </c>
      <c r="W29" s="706">
        <f t="shared" si="14"/>
        <v>100</v>
      </c>
      <c r="X29" s="1355"/>
      <c r="Y29" s="3917" t="s">
        <v>1680</v>
      </c>
      <c r="Z29" s="1356" t="str">
        <f t="shared" si="15"/>
        <v>建筑类型</v>
      </c>
      <c r="AA29" s="1353">
        <f t="shared" si="3"/>
        <v>1</v>
      </c>
      <c r="AB29" s="1353">
        <f t="shared" si="4"/>
        <v>1</v>
      </c>
      <c r="AC29" s="1353">
        <f t="shared" si="5"/>
        <v>1</v>
      </c>
    </row>
    <row r="30" spans="1:29" s="422" customFormat="1" ht="15">
      <c r="A30" s="419"/>
      <c r="B30" s="375" t="s">
        <v>1681</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917"/>
      <c r="Q30" s="707" t="str">
        <f t="shared" si="11"/>
        <v>项目建筑规模</v>
      </c>
      <c r="R30" s="708" t="s">
        <v>14</v>
      </c>
      <c r="S30" s="709" t="e">
        <f t="shared" si="12"/>
        <v>#N/A</v>
      </c>
      <c r="T30" s="708" t="s">
        <v>14</v>
      </c>
      <c r="U30" s="709" t="e">
        <f t="shared" si="13"/>
        <v>#N/A</v>
      </c>
      <c r="V30" s="708" t="s">
        <v>14</v>
      </c>
      <c r="W30" s="709" t="e">
        <f t="shared" si="14"/>
        <v>#N/A</v>
      </c>
      <c r="X30" s="710"/>
      <c r="Y30" s="3917"/>
      <c r="Z30" s="711" t="str">
        <f t="shared" si="15"/>
        <v>项目建筑规模</v>
      </c>
      <c r="AA30" s="1353" t="e">
        <f t="shared" si="3"/>
        <v>#N/A</v>
      </c>
      <c r="AB30" s="1353" t="e">
        <f t="shared" si="4"/>
        <v>#N/A</v>
      </c>
      <c r="AC30" s="1353" t="e">
        <f t="shared" si="5"/>
        <v>#N/A</v>
      </c>
    </row>
    <row r="31" spans="1:29" ht="15">
      <c r="A31" s="423"/>
      <c r="B31" s="375" t="s">
        <v>1682</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917"/>
      <c r="Q31" s="1352" t="str">
        <f t="shared" si="11"/>
        <v>建筑结构</v>
      </c>
      <c r="R31" s="705" t="s">
        <v>14</v>
      </c>
      <c r="S31" s="706">
        <f t="shared" si="12"/>
        <v>100</v>
      </c>
      <c r="T31" s="705" t="s">
        <v>14</v>
      </c>
      <c r="U31" s="706">
        <f t="shared" si="13"/>
        <v>100</v>
      </c>
      <c r="V31" s="705" t="s">
        <v>14</v>
      </c>
      <c r="W31" s="706">
        <f t="shared" si="14"/>
        <v>100</v>
      </c>
      <c r="X31" s="1355"/>
      <c r="Y31" s="3917"/>
      <c r="Z31" s="1356" t="str">
        <f t="shared" si="15"/>
        <v>建筑结构</v>
      </c>
      <c r="AA31" s="1353">
        <f t="shared" si="3"/>
        <v>1</v>
      </c>
      <c r="AB31" s="1353">
        <f t="shared" si="4"/>
        <v>1</v>
      </c>
      <c r="AC31" s="1353">
        <f t="shared" si="5"/>
        <v>1</v>
      </c>
    </row>
    <row r="32" spans="1:29" ht="15">
      <c r="A32" s="423"/>
      <c r="B32" s="375" t="s">
        <v>1769</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917"/>
      <c r="Q32" s="1352" t="str">
        <f t="shared" si="11"/>
        <v>公共部分装修</v>
      </c>
      <c r="R32" s="705" t="s">
        <v>14</v>
      </c>
      <c r="S32" s="706">
        <f t="shared" si="12"/>
        <v>100</v>
      </c>
      <c r="T32" s="705" t="s">
        <v>14</v>
      </c>
      <c r="U32" s="706">
        <f t="shared" si="13"/>
        <v>100</v>
      </c>
      <c r="V32" s="705" t="s">
        <v>14</v>
      </c>
      <c r="W32" s="706">
        <f t="shared" si="14"/>
        <v>100</v>
      </c>
      <c r="X32" s="1355"/>
      <c r="Y32" s="3917"/>
      <c r="Z32" s="1356" t="str">
        <f t="shared" si="15"/>
        <v>公共部分装修</v>
      </c>
      <c r="AA32" s="1353">
        <f t="shared" si="3"/>
        <v>1</v>
      </c>
      <c r="AB32" s="1353">
        <f t="shared" si="4"/>
        <v>1</v>
      </c>
      <c r="AC32" s="1353">
        <f t="shared" si="5"/>
        <v>1</v>
      </c>
    </row>
    <row r="33" spans="1:29" ht="15">
      <c r="A33" s="423"/>
      <c r="B33" s="375" t="s">
        <v>1770</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917"/>
      <c r="Q33" s="1352" t="str">
        <f t="shared" si="11"/>
        <v>成新度</v>
      </c>
      <c r="R33" s="705" t="s">
        <v>14</v>
      </c>
      <c r="S33" s="706" t="e">
        <f t="shared" si="12"/>
        <v>#N/A</v>
      </c>
      <c r="T33" s="705" t="s">
        <v>14</v>
      </c>
      <c r="U33" s="706" t="e">
        <f t="shared" si="13"/>
        <v>#N/A</v>
      </c>
      <c r="V33" s="705" t="s">
        <v>14</v>
      </c>
      <c r="W33" s="706" t="e">
        <f t="shared" si="14"/>
        <v>#N/A</v>
      </c>
      <c r="X33" s="1355"/>
      <c r="Y33" s="3917"/>
      <c r="Z33" s="1356" t="str">
        <f t="shared" si="15"/>
        <v>成新度</v>
      </c>
      <c r="AA33" s="1353" t="e">
        <f t="shared" si="3"/>
        <v>#N/A</v>
      </c>
      <c r="AB33" s="1353" t="e">
        <f t="shared" si="4"/>
        <v>#N/A</v>
      </c>
      <c r="AC33" s="1353" t="e">
        <f t="shared" si="5"/>
        <v>#N/A</v>
      </c>
    </row>
    <row r="34" spans="1:29" s="108" customFormat="1" ht="15">
      <c r="A34" s="424"/>
      <c r="B34" s="375" t="s">
        <v>1803</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917"/>
      <c r="Q34" s="1343" t="str">
        <f t="shared" si="11"/>
        <v>物业管理</v>
      </c>
      <c r="R34" s="701" t="s">
        <v>14</v>
      </c>
      <c r="S34" s="702">
        <f t="shared" si="12"/>
        <v>100</v>
      </c>
      <c r="T34" s="701" t="s">
        <v>14</v>
      </c>
      <c r="U34" s="702">
        <f t="shared" si="13"/>
        <v>100</v>
      </c>
      <c r="V34" s="701" t="s">
        <v>14</v>
      </c>
      <c r="W34" s="702">
        <f t="shared" si="14"/>
        <v>100</v>
      </c>
      <c r="X34" s="703"/>
      <c r="Y34" s="3917"/>
      <c r="Z34" s="52" t="str">
        <f t="shared" si="15"/>
        <v>物业管理</v>
      </c>
      <c r="AA34" s="704">
        <f t="shared" si="3"/>
        <v>1</v>
      </c>
      <c r="AB34" s="704">
        <f t="shared" si="4"/>
        <v>1</v>
      </c>
      <c r="AC34" s="704">
        <f t="shared" si="5"/>
        <v>1</v>
      </c>
    </row>
    <row r="35" spans="1:29" ht="15">
      <c r="A35" s="423"/>
      <c r="B35" s="375" t="s">
        <v>1771</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917" t="s">
        <v>1680</v>
      </c>
      <c r="Q35" s="1352" t="str">
        <f t="shared" si="11"/>
        <v>市政基础设施</v>
      </c>
      <c r="R35" s="705" t="s">
        <v>14</v>
      </c>
      <c r="S35" s="706">
        <f t="shared" si="12"/>
        <v>100</v>
      </c>
      <c r="T35" s="705" t="s">
        <v>14</v>
      </c>
      <c r="U35" s="706">
        <f t="shared" si="13"/>
        <v>100</v>
      </c>
      <c r="V35" s="705" t="s">
        <v>14</v>
      </c>
      <c r="W35" s="706">
        <f t="shared" si="14"/>
        <v>100</v>
      </c>
      <c r="X35" s="1355"/>
      <c r="Y35" s="3917" t="s">
        <v>1680</v>
      </c>
      <c r="Z35" s="1356" t="str">
        <f t="shared" si="15"/>
        <v>市政基础设施</v>
      </c>
      <c r="AA35" s="1353">
        <f t="shared" si="3"/>
        <v>1</v>
      </c>
      <c r="AB35" s="1353">
        <f t="shared" si="4"/>
        <v>1</v>
      </c>
      <c r="AC35" s="1353">
        <f t="shared" si="5"/>
        <v>1</v>
      </c>
    </row>
    <row r="36" spans="1:29" ht="15">
      <c r="A36" s="423"/>
      <c r="B36" s="375" t="s">
        <v>1776</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917"/>
      <c r="Q36" s="1352" t="str">
        <f t="shared" si="11"/>
        <v>内部装修</v>
      </c>
      <c r="R36" s="705" t="s">
        <v>14</v>
      </c>
      <c r="S36" s="706">
        <f t="shared" si="12"/>
        <v>100</v>
      </c>
      <c r="T36" s="705" t="s">
        <v>14</v>
      </c>
      <c r="U36" s="706">
        <f t="shared" si="13"/>
        <v>100</v>
      </c>
      <c r="V36" s="705" t="s">
        <v>14</v>
      </c>
      <c r="W36" s="706">
        <f t="shared" si="14"/>
        <v>100</v>
      </c>
      <c r="X36" s="1355"/>
      <c r="Y36" s="3917"/>
      <c r="Z36" s="1356" t="str">
        <f t="shared" si="15"/>
        <v>内部装修</v>
      </c>
      <c r="AA36" s="1353">
        <f t="shared" si="3"/>
        <v>1</v>
      </c>
      <c r="AB36" s="1353">
        <f t="shared" si="4"/>
        <v>1</v>
      </c>
      <c r="AC36" s="1353">
        <f t="shared" si="5"/>
        <v>1</v>
      </c>
    </row>
    <row r="37" spans="1:29" ht="15">
      <c r="A37" s="423"/>
      <c r="B37" s="375" t="s">
        <v>1812</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917"/>
      <c r="Q37" s="1352" t="str">
        <f t="shared" si="11"/>
        <v>内部装修状况</v>
      </c>
      <c r="R37" s="705" t="s">
        <v>14</v>
      </c>
      <c r="S37" s="706">
        <f t="shared" si="12"/>
        <v>100</v>
      </c>
      <c r="T37" s="705" t="s">
        <v>14</v>
      </c>
      <c r="U37" s="706">
        <f t="shared" si="13"/>
        <v>100</v>
      </c>
      <c r="V37" s="705" t="s">
        <v>14</v>
      </c>
      <c r="W37" s="706">
        <f t="shared" si="14"/>
        <v>100</v>
      </c>
      <c r="X37" s="1355"/>
      <c r="Y37" s="391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917"/>
      <c r="Q38" s="707">
        <f t="shared" si="11"/>
        <v>111</v>
      </c>
      <c r="R38" s="708" t="s">
        <v>14</v>
      </c>
      <c r="S38" s="709">
        <f t="shared" si="12"/>
        <v>100</v>
      </c>
      <c r="T38" s="708" t="s">
        <v>14</v>
      </c>
      <c r="U38" s="709">
        <f t="shared" si="13"/>
        <v>100</v>
      </c>
      <c r="V38" s="708" t="s">
        <v>14</v>
      </c>
      <c r="W38" s="709">
        <f t="shared" si="14"/>
        <v>100</v>
      </c>
      <c r="X38" s="710"/>
      <c r="Y38" s="391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917"/>
      <c r="Q39" s="1352">
        <f t="shared" si="11"/>
        <v>111</v>
      </c>
      <c r="R39" s="705" t="s">
        <v>14</v>
      </c>
      <c r="S39" s="706">
        <f t="shared" si="12"/>
        <v>100</v>
      </c>
      <c r="T39" s="705" t="s">
        <v>14</v>
      </c>
      <c r="U39" s="706">
        <f t="shared" si="13"/>
        <v>100</v>
      </c>
      <c r="V39" s="705" t="s">
        <v>14</v>
      </c>
      <c r="W39" s="706">
        <f t="shared" si="14"/>
        <v>100</v>
      </c>
      <c r="X39" s="1355"/>
      <c r="Y39" s="3917"/>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918"/>
      <c r="Q40" s="1352">
        <f t="shared" si="11"/>
        <v>111</v>
      </c>
      <c r="R40" s="705" t="s">
        <v>14</v>
      </c>
      <c r="S40" s="706">
        <f t="shared" si="12"/>
        <v>100</v>
      </c>
      <c r="T40" s="705" t="s">
        <v>14</v>
      </c>
      <c r="U40" s="706">
        <f t="shared" si="13"/>
        <v>100</v>
      </c>
      <c r="V40" s="705" t="s">
        <v>14</v>
      </c>
      <c r="W40" s="706">
        <f t="shared" si="14"/>
        <v>100</v>
      </c>
      <c r="X40" s="1355"/>
      <c r="Y40" s="3918"/>
      <c r="Z40" s="1356">
        <f t="shared" si="15"/>
        <v>111</v>
      </c>
      <c r="AA40" s="1353">
        <f t="shared" si="3"/>
        <v>1</v>
      </c>
      <c r="AB40" s="1353">
        <f t="shared" si="4"/>
        <v>1</v>
      </c>
      <c r="AC40" s="1353">
        <f t="shared" si="5"/>
        <v>1</v>
      </c>
    </row>
    <row r="41" spans="1:29" ht="15">
      <c r="A41" s="430" t="s">
        <v>1692</v>
      </c>
      <c r="B41" s="431"/>
      <c r="C41" s="1154" t="s">
        <v>0</v>
      </c>
      <c r="D41" s="1155"/>
      <c r="E41" s="1156"/>
      <c r="F41" s="1157"/>
      <c r="G41" s="1158"/>
      <c r="H41" s="1159"/>
      <c r="I41" s="1156"/>
      <c r="J41" s="1159"/>
      <c r="K41" s="714"/>
      <c r="L41" s="926"/>
      <c r="M41" s="927"/>
      <c r="N41" s="914"/>
      <c r="O41" s="927"/>
      <c r="P41" s="3905" t="str">
        <f>A41</f>
        <v>成交单价（元/平方米）</v>
      </c>
      <c r="Q41" s="3905"/>
      <c r="R41" s="3906">
        <f>E41</f>
        <v>0</v>
      </c>
      <c r="S41" s="3906"/>
      <c r="T41" s="3906">
        <f>G41</f>
        <v>0</v>
      </c>
      <c r="U41" s="3906"/>
      <c r="V41" s="3906">
        <f>I41</f>
        <v>0</v>
      </c>
      <c r="W41" s="3906"/>
      <c r="X41" s="690"/>
      <c r="Y41" s="712"/>
      <c r="Z41" s="690"/>
      <c r="AA41" s="690"/>
      <c r="AB41" s="690"/>
      <c r="AC41" s="690"/>
    </row>
    <row r="42" spans="1:29" ht="15.75" thickBot="1">
      <c r="A42" s="437" t="s">
        <v>1777</v>
      </c>
      <c r="B42" s="438"/>
      <c r="C42" s="1160" t="e">
        <f>R43</f>
        <v>#DIV/0!</v>
      </c>
      <c r="D42" s="2317" t="s">
        <v>2122</v>
      </c>
      <c r="E42" s="1161" t="e">
        <f>R42</f>
        <v>#DIV/0!</v>
      </c>
      <c r="F42" s="2318"/>
      <c r="G42" s="1160" t="e">
        <f>T42</f>
        <v>#DIV/0!</v>
      </c>
      <c r="H42" s="2318"/>
      <c r="I42" s="1161" t="e">
        <f>V42</f>
        <v>#DIV/0!</v>
      </c>
      <c r="J42" s="2318"/>
      <c r="K42" s="2320">
        <f>F42+H42+J42</f>
        <v>0</v>
      </c>
      <c r="L42" s="926"/>
      <c r="M42" s="927"/>
      <c r="N42" s="914"/>
      <c r="O42" s="927"/>
      <c r="P42" s="3905" t="str">
        <f>A42</f>
        <v>比较价值（元/平方米）</v>
      </c>
      <c r="Q42" s="3905"/>
      <c r="R42" s="3906" t="e">
        <f>IF(F1="售价",ROUND(PRODUCT(R41,AA7:AA40),0),ROUND(PRODUCT(R41,AA7:AA40),1))</f>
        <v>#DIV/0!</v>
      </c>
      <c r="S42" s="3906"/>
      <c r="T42" s="3906" t="e">
        <f>IF(F1="售价",ROUND(PRODUCT(T41,AB7:AB40),0),ROUND(PRODUCT(T41,AB7:AB40),1))</f>
        <v>#DIV/0!</v>
      </c>
      <c r="U42" s="3906"/>
      <c r="V42" s="3906" t="e">
        <f>IF(F1="售价",ROUND(PRODUCT(V41,AC7:AC40),0),ROUND(PRODUCT(V41,AC7:AC40),1))</f>
        <v>#DIV/0!</v>
      </c>
      <c r="W42" s="3906"/>
      <c r="X42" s="690"/>
      <c r="Y42" s="690"/>
      <c r="Z42" s="690"/>
      <c r="AA42" s="690"/>
      <c r="AB42" s="690"/>
      <c r="AC42" s="690"/>
    </row>
    <row r="43" spans="1:29" ht="15.75" thickBot="1">
      <c r="A43" s="441" t="s">
        <v>1778</v>
      </c>
      <c r="B43" s="442"/>
      <c r="C43" s="1163" t="e">
        <f>R43</f>
        <v>#DIV/0!</v>
      </c>
      <c r="D43" s="1163"/>
      <c r="E43" s="1163"/>
      <c r="F43" s="1163"/>
      <c r="G43" s="1163"/>
      <c r="H43" s="1163"/>
      <c r="I43" s="1163"/>
      <c r="J43" s="1163"/>
      <c r="K43" s="715"/>
      <c r="L43" s="926"/>
      <c r="M43" s="927"/>
      <c r="N43" s="927"/>
      <c r="O43" s="927"/>
      <c r="P43" s="3959" t="str">
        <f>A43</f>
        <v>估价对象XX用房的比较价值（楼面单价，元/平方米）</v>
      </c>
      <c r="Q43" s="3960"/>
      <c r="R43" s="3961" t="e">
        <f>IF(F1="售价",ROUND(IF(D42="简单平均",AVERAGE(R42:V42),R42*F42+T42*H42+V42*J42),0),ROUND(IF(D42="简单平均",AVERAGE(R42:V42),R42*F42+T42*H42+V42*J42),1))</f>
        <v>#DIV/0!</v>
      </c>
      <c r="S43" s="3961"/>
      <c r="T43" s="3961"/>
      <c r="U43" s="3961"/>
      <c r="V43" s="3961"/>
      <c r="W43" s="3961"/>
      <c r="X43" s="690"/>
      <c r="Y43" s="690"/>
      <c r="Z43" s="690"/>
      <c r="AA43" s="690"/>
      <c r="AB43" s="690"/>
      <c r="AC43" s="690"/>
    </row>
    <row r="44" spans="1:29">
      <c r="A44" s="2702"/>
      <c r="B44" s="2702"/>
      <c r="C44" s="2702"/>
      <c r="D44" s="2702"/>
      <c r="E44" s="2702"/>
      <c r="F44" s="2702"/>
      <c r="G44" s="2706"/>
      <c r="H44" s="2702"/>
      <c r="I44" s="2702"/>
      <c r="J44" s="2702"/>
      <c r="K44" s="2707"/>
      <c r="L44" s="889"/>
      <c r="M44" s="927"/>
      <c r="N44" s="927"/>
      <c r="O44" s="927"/>
    </row>
    <row r="45" spans="1:29">
      <c r="A45" s="2702"/>
      <c r="B45" s="2702"/>
      <c r="C45" s="2702"/>
      <c r="D45" s="2702"/>
      <c r="E45" s="2702"/>
      <c r="F45" s="2702"/>
      <c r="G45" s="2702"/>
      <c r="H45" s="2702"/>
      <c r="I45" s="2702"/>
      <c r="J45" s="2702"/>
      <c r="K45" s="2707"/>
      <c r="L45" s="889"/>
      <c r="M45" s="927"/>
      <c r="N45" s="927"/>
      <c r="O45" s="927"/>
    </row>
    <row r="46" spans="1:29" ht="13.5" customHeight="1">
      <c r="A46" s="2702"/>
      <c r="B46" s="2702"/>
      <c r="C46" s="446" t="s">
        <v>1779</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7"/>
      <c r="L46" s="889"/>
      <c r="M46" s="927"/>
      <c r="N46" s="927"/>
      <c r="O46" s="927"/>
    </row>
    <row r="47" spans="1:29" ht="13.5" customHeight="1">
      <c r="A47" s="2702"/>
      <c r="B47" s="2702"/>
      <c r="C47" s="446" t="s">
        <v>1780</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7"/>
      <c r="L47" s="889"/>
      <c r="M47" s="927"/>
      <c r="N47" s="927"/>
      <c r="O47" s="927"/>
    </row>
    <row r="48" spans="1:29" s="451" customFormat="1" ht="13.5" customHeight="1">
      <c r="A48" s="2705"/>
      <c r="B48" s="2705"/>
      <c r="C48" s="446" t="s">
        <v>1781</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10"/>
      <c r="L48" s="930"/>
      <c r="M48" s="928"/>
      <c r="N48" s="928"/>
      <c r="O48" s="928"/>
    </row>
    <row r="49" spans="1:17" s="451" customFormat="1">
      <c r="A49" s="2705"/>
      <c r="B49" s="2708"/>
      <c r="C49" s="2709"/>
      <c r="D49" s="2705"/>
      <c r="E49" s="2705"/>
      <c r="F49" s="2705"/>
      <c r="G49" s="2705"/>
      <c r="H49" s="2705"/>
      <c r="I49" s="2705"/>
      <c r="J49" s="2705"/>
      <c r="K49" s="2710"/>
      <c r="L49" s="930"/>
      <c r="M49" s="928"/>
      <c r="N49" s="928"/>
      <c r="O49" s="928"/>
    </row>
    <row r="50" spans="1:17">
      <c r="A50" s="2702"/>
      <c r="B50" s="2708"/>
      <c r="C50" s="2709"/>
      <c r="D50" s="2702"/>
      <c r="E50" s="2702"/>
      <c r="F50" s="2702"/>
      <c r="G50" s="2702"/>
      <c r="H50" s="2702"/>
      <c r="I50" s="2702"/>
      <c r="J50" s="2702"/>
      <c r="K50" s="2707"/>
      <c r="L50" s="889"/>
      <c r="M50" s="927"/>
      <c r="N50" s="927"/>
      <c r="O50" s="927"/>
    </row>
    <row r="51" spans="1:17" ht="21.75" thickBot="1">
      <c r="A51" s="694" t="s">
        <v>1782</v>
      </c>
      <c r="B51" s="690"/>
      <c r="C51" s="695"/>
      <c r="D51" s="695"/>
      <c r="E51" s="695"/>
      <c r="F51" s="696"/>
      <c r="G51" s="696"/>
      <c r="H51" s="695"/>
      <c r="I51" s="695"/>
      <c r="J51" s="695"/>
      <c r="K51" s="941"/>
      <c r="L51" s="942"/>
      <c r="M51" s="940"/>
      <c r="N51" s="940"/>
      <c r="O51" s="940"/>
      <c r="P51" s="452"/>
      <c r="Q51" s="453"/>
    </row>
    <row r="52" spans="1:17" s="457" customFormat="1" ht="15">
      <c r="A52" s="454" t="s">
        <v>1663</v>
      </c>
      <c r="B52" s="455"/>
      <c r="C52" s="1184" t="str">
        <f>YEAR(C7)&amp;"-"&amp;MONTH(C7)</f>
        <v>2023-12</v>
      </c>
      <c r="D52" s="1185">
        <f>EDATE(C52,-1)</f>
        <v>45231</v>
      </c>
      <c r="E52" s="1185">
        <f t="shared" ref="E52:O52" si="16">EDATE(D52,-1)</f>
        <v>45200</v>
      </c>
      <c r="F52" s="1185">
        <f t="shared" si="16"/>
        <v>45170</v>
      </c>
      <c r="G52" s="1185">
        <f t="shared" si="16"/>
        <v>45139</v>
      </c>
      <c r="H52" s="1185">
        <f t="shared" si="16"/>
        <v>45108</v>
      </c>
      <c r="I52" s="1185">
        <f t="shared" si="16"/>
        <v>45078</v>
      </c>
      <c r="J52" s="1185">
        <f t="shared" si="16"/>
        <v>45047</v>
      </c>
      <c r="K52" s="1185">
        <f t="shared" si="16"/>
        <v>45017</v>
      </c>
      <c r="L52" s="1185">
        <f t="shared" si="16"/>
        <v>44986</v>
      </c>
      <c r="M52" s="1185">
        <f t="shared" si="16"/>
        <v>44958</v>
      </c>
      <c r="N52" s="1185">
        <f t="shared" si="16"/>
        <v>44927</v>
      </c>
      <c r="O52" s="1185">
        <f t="shared" si="16"/>
        <v>44896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1700</v>
      </c>
      <c r="B54" s="465"/>
      <c r="C54" s="466"/>
      <c r="D54" s="467"/>
      <c r="E54" s="467"/>
      <c r="F54" s="467"/>
      <c r="G54" s="467"/>
      <c r="H54" s="467"/>
      <c r="I54" s="467"/>
      <c r="J54" s="467"/>
      <c r="K54" s="467"/>
      <c r="L54" s="467"/>
      <c r="M54" s="468"/>
      <c r="N54" s="2747"/>
      <c r="O54" s="2748"/>
      <c r="P54" s="453"/>
      <c r="Q54" s="453"/>
    </row>
    <row r="55" spans="1:17" s="108" customFormat="1" ht="15">
      <c r="A55" s="470" t="s">
        <v>1665</v>
      </c>
      <c r="B55" s="459"/>
      <c r="C55" s="471" t="s">
        <v>1760</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1703</v>
      </c>
      <c r="B57" s="477" t="s">
        <v>1669</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1672</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1673</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1674</v>
      </c>
      <c r="B70" s="477" t="s">
        <v>1813</v>
      </c>
      <c r="C70" s="522" t="s">
        <v>1705</v>
      </c>
      <c r="D70" s="522" t="s">
        <v>1706</v>
      </c>
      <c r="E70" s="522" t="s">
        <v>1707</v>
      </c>
      <c r="F70" s="522" t="s">
        <v>1708</v>
      </c>
      <c r="G70" s="522" t="s">
        <v>1709</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1710</v>
      </c>
      <c r="C72" s="527" t="s">
        <v>1705</v>
      </c>
      <c r="D72" s="527" t="s">
        <v>1706</v>
      </c>
      <c r="E72" s="527" t="s">
        <v>1707</v>
      </c>
      <c r="F72" s="527" t="s">
        <v>1708</v>
      </c>
      <c r="G72" s="527" t="s">
        <v>1709</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1711</v>
      </c>
      <c r="C74" s="527" t="s">
        <v>1705</v>
      </c>
      <c r="D74" s="527" t="s">
        <v>1706</v>
      </c>
      <c r="E74" s="527" t="s">
        <v>1707</v>
      </c>
      <c r="F74" s="527" t="s">
        <v>1708</v>
      </c>
      <c r="G74" s="527" t="s">
        <v>1709</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1797</v>
      </c>
      <c r="C76" s="608" t="s">
        <v>1783</v>
      </c>
      <c r="D76" s="608" t="s">
        <v>1784</v>
      </c>
      <c r="E76" s="608" t="s">
        <v>1785</v>
      </c>
      <c r="F76" s="608" t="s">
        <v>1786</v>
      </c>
      <c r="G76" s="608" t="s">
        <v>1787</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1806</v>
      </c>
      <c r="C78" s="527" t="s">
        <v>1705</v>
      </c>
      <c r="D78" s="527" t="s">
        <v>1706</v>
      </c>
      <c r="E78" s="527" t="s">
        <v>1707</v>
      </c>
      <c r="F78" s="527" t="s">
        <v>1708</v>
      </c>
      <c r="G78" s="527" t="s">
        <v>1709</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1678</v>
      </c>
      <c r="B88" s="477" t="s">
        <v>1720</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1721</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1722</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1724</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1725</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1726</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1728</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1814</v>
      </c>
      <c r="C106" s="527" t="s">
        <v>1705</v>
      </c>
      <c r="D106" s="527" t="s">
        <v>1706</v>
      </c>
      <c r="E106" s="527" t="s">
        <v>1707</v>
      </c>
      <c r="F106" s="527" t="s">
        <v>1708</v>
      </c>
      <c r="G106" s="527" t="s">
        <v>1709</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8" priority="20" stopIfTrue="1" operator="containsText" text="超过">
      <formula>NOT(ISERROR(SEARCH("超过",F46)))</formula>
    </cfRule>
  </conditionalFormatting>
  <conditionalFormatting sqref="H48">
    <cfRule type="containsText" dxfId="107" priority="19" stopIfTrue="1" operator="containsText" text="超过">
      <formula>NOT(ISERROR(SEARCH("超过",H48)))</formula>
    </cfRule>
  </conditionalFormatting>
  <conditionalFormatting sqref="F48">
    <cfRule type="containsText" dxfId="106" priority="18" stopIfTrue="1" operator="containsText" text="超过">
      <formula>NOT(ISERROR(SEARCH("超过",F48)))</formula>
    </cfRule>
  </conditionalFormatting>
  <conditionalFormatting sqref="F47 H47">
    <cfRule type="containsText" dxfId="105" priority="17" stopIfTrue="1" operator="containsText" text="超过">
      <formula>NOT(ISERROR(SEARCH("超过",F47)))</formula>
    </cfRule>
  </conditionalFormatting>
  <conditionalFormatting sqref="E46">
    <cfRule type="expression" dxfId="104" priority="16" stopIfTrue="1">
      <formula>$F$46="超过30%"</formula>
    </cfRule>
  </conditionalFormatting>
  <conditionalFormatting sqref="E47">
    <cfRule type="expression" dxfId="103" priority="15" stopIfTrue="1">
      <formula>$F$47="超过20%"</formula>
    </cfRule>
  </conditionalFormatting>
  <conditionalFormatting sqref="E48">
    <cfRule type="expression" dxfId="102" priority="14" stopIfTrue="1">
      <formula>$F$48="超过30%"</formula>
    </cfRule>
  </conditionalFormatting>
  <conditionalFormatting sqref="G48">
    <cfRule type="expression" dxfId="101" priority="13" stopIfTrue="1">
      <formula>$H$48="超过30%"</formula>
    </cfRule>
  </conditionalFormatting>
  <conditionalFormatting sqref="G46">
    <cfRule type="expression" dxfId="100" priority="12" stopIfTrue="1">
      <formula>$H$46="超过30%"</formula>
    </cfRule>
  </conditionalFormatting>
  <conditionalFormatting sqref="G47">
    <cfRule type="expression" dxfId="99" priority="11" stopIfTrue="1">
      <formula>$H$47="超过20%"</formula>
    </cfRule>
  </conditionalFormatting>
  <conditionalFormatting sqref="J46">
    <cfRule type="containsText" dxfId="98" priority="10" stopIfTrue="1" operator="containsText" text="超过">
      <formula>NOT(ISERROR(SEARCH("超过",J46)))</formula>
    </cfRule>
  </conditionalFormatting>
  <conditionalFormatting sqref="J48">
    <cfRule type="containsText" dxfId="97" priority="9" stopIfTrue="1" operator="containsText" text="超过">
      <formula>NOT(ISERROR(SEARCH("超过",J48)))</formula>
    </cfRule>
  </conditionalFormatting>
  <conditionalFormatting sqref="J47">
    <cfRule type="containsText" dxfId="96" priority="8" stopIfTrue="1" operator="containsText" text="超过">
      <formula>NOT(ISERROR(SEARCH("超过",J47)))</formula>
    </cfRule>
  </conditionalFormatting>
  <conditionalFormatting sqref="I46">
    <cfRule type="expression" dxfId="95" priority="7" stopIfTrue="1">
      <formula>$J$46="超过30%"</formula>
    </cfRule>
  </conditionalFormatting>
  <conditionalFormatting sqref="I47">
    <cfRule type="expression" dxfId="94" priority="6" stopIfTrue="1">
      <formula>$J$47="超过20%"</formula>
    </cfRule>
  </conditionalFormatting>
  <conditionalFormatting sqref="I48">
    <cfRule type="expression" dxfId="93" priority="5" stopIfTrue="1">
      <formula>$J$48="超过30%"</formula>
    </cfRule>
  </conditionalFormatting>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F7:F40 H7:H40 J7:J40">
    <cfRule type="cellIs" dxfId="8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受贵公司委托，我公司对北京市朝阳区东四环北路2号房地产市场价值进行了预评估。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估价对象为北京市朝阳区东四环北路2号房地产，为北京新资物业管理有限公司所有。根据《国有土地使用证》[]，估价对象（分摊）出让国有建设用地使用权面积为0平方米，建筑面积为48720.73平方米。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四环北路2号房地产,属北京新资物业管理有限公司开发建设的，该项目尚在开发建设中。根据《国有土地使用证》[]，估价对象（分摊）出让国有建设用地使用权面积为0平方米，规划建筑面积为48720.73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朝阳区东四环北路2号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2023年12月27日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27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1815</v>
      </c>
      <c r="B1" s="1223" t="s">
        <v>3317</v>
      </c>
      <c r="C1" s="1224" t="s">
        <v>1646</v>
      </c>
      <c r="D1" s="1225"/>
      <c r="E1" s="3410"/>
      <c r="F1" s="1879"/>
      <c r="G1" s="1227" t="s">
        <v>1751</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1446</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1447</v>
      </c>
      <c r="F2" s="1883"/>
      <c r="G2" s="908"/>
      <c r="H2" s="908"/>
      <c r="I2" s="908"/>
      <c r="J2" s="908"/>
      <c r="K2" s="910"/>
      <c r="L2" s="2711"/>
      <c r="M2" s="2712"/>
      <c r="N2" s="2712"/>
      <c r="O2" s="2712"/>
      <c r="P2" s="1165"/>
      <c r="Q2" s="699"/>
      <c r="R2" s="699"/>
      <c r="S2" s="699"/>
      <c r="T2" s="699"/>
      <c r="U2" s="699"/>
      <c r="V2" s="699"/>
      <c r="W2" s="699"/>
      <c r="X2" s="699"/>
      <c r="Y2" s="699"/>
      <c r="Z2" s="699"/>
      <c r="AA2" s="699"/>
      <c r="AB2" s="699"/>
      <c r="AC2" s="700"/>
    </row>
    <row r="3" spans="1:29" s="352" customFormat="1" ht="28.5" customHeight="1" thickBot="1">
      <c r="A3" s="203" t="s">
        <v>1448</v>
      </c>
      <c r="B3" s="558" t="e">
        <f>IF(AND(C2="——",B37="元/平方米"),C39,ROUND(B2*10000/D3,0))</f>
        <v>#DIV/0!</v>
      </c>
      <c r="C3" s="354" t="s">
        <v>1752</v>
      </c>
      <c r="D3" s="353">
        <f>SUMIF('数据-汇总表'!$C19:$C33,D1,'数据-汇总表'!$E19:$E33)</f>
        <v>0</v>
      </c>
      <c r="E3" s="354" t="s">
        <v>1816</v>
      </c>
      <c r="F3" s="353">
        <f>SUMIF('数据-取费表'!A5:A15,D1,'数据-取费表'!AH5:AH15)</f>
        <v>0</v>
      </c>
      <c r="G3" s="908"/>
      <c r="H3" s="908"/>
      <c r="I3" s="908"/>
      <c r="J3" s="908"/>
      <c r="K3" s="910"/>
      <c r="L3" s="2711"/>
      <c r="M3" s="2712" t="e">
        <f ca="1">IF(C2="——",IF(B37="元/平方米",ROUND(C39*D3/10000,0),ROUND(F3*C39/10000,0)),IF(B37="元/平方米",ROUND(C39*D3/10000,0),ROUND(F3*C39/10000,0))-D2)</f>
        <v>#DIV/0!</v>
      </c>
      <c r="N3" s="2712"/>
      <c r="O3" s="2712"/>
      <c r="P3" s="1165"/>
      <c r="Q3" s="699"/>
      <c r="R3" s="699"/>
      <c r="S3" s="699"/>
      <c r="T3" s="699"/>
      <c r="U3" s="699"/>
      <c r="V3" s="699"/>
      <c r="W3" s="699"/>
      <c r="X3" s="699"/>
      <c r="Y3" s="699"/>
      <c r="Z3" s="699"/>
      <c r="AA3" s="699"/>
      <c r="AB3" s="716"/>
      <c r="AC3" s="713"/>
    </row>
    <row r="4" spans="1:29" ht="15">
      <c r="A4" s="355" t="s">
        <v>1753</v>
      </c>
      <c r="B4" s="356"/>
      <c r="C4" s="3922" t="s">
        <v>1754</v>
      </c>
      <c r="D4" s="3923"/>
      <c r="E4" s="3924" t="s">
        <v>1755</v>
      </c>
      <c r="F4" s="3925"/>
      <c r="G4" s="3922" t="s">
        <v>1756</v>
      </c>
      <c r="H4" s="3923"/>
      <c r="I4" s="3922" t="s">
        <v>1757</v>
      </c>
      <c r="J4" s="3923"/>
      <c r="K4" s="559" t="s">
        <v>1758</v>
      </c>
      <c r="L4" s="2692"/>
      <c r="M4" s="2693"/>
      <c r="N4" s="2693"/>
      <c r="O4" s="2693"/>
      <c r="P4" s="3963" t="s">
        <v>1759</v>
      </c>
      <c r="Q4" s="3964"/>
      <c r="R4" s="3967" t="s">
        <v>1755</v>
      </c>
      <c r="S4" s="3968"/>
      <c r="T4" s="3967" t="s">
        <v>1756</v>
      </c>
      <c r="U4" s="3968"/>
      <c r="V4" s="3939" t="s">
        <v>1757</v>
      </c>
      <c r="W4" s="3939"/>
      <c r="X4" s="1355"/>
      <c r="Y4" s="3967" t="s">
        <v>1759</v>
      </c>
      <c r="Z4" s="3968"/>
      <c r="AA4" s="3962" t="s">
        <v>1755</v>
      </c>
      <c r="AB4" s="3953" t="s">
        <v>1756</v>
      </c>
      <c r="AC4" s="3962" t="s">
        <v>1757</v>
      </c>
    </row>
    <row r="5" spans="1:29" ht="15">
      <c r="A5" s="358"/>
      <c r="B5" s="359"/>
      <c r="C5" s="3948" t="s">
        <v>1657</v>
      </c>
      <c r="D5" s="3943"/>
      <c r="E5" s="3955" t="s">
        <v>1658</v>
      </c>
      <c r="F5" s="3956"/>
      <c r="G5" s="3948" t="s">
        <v>1659</v>
      </c>
      <c r="H5" s="3943"/>
      <c r="I5" s="3948" t="s">
        <v>1660</v>
      </c>
      <c r="J5" s="3943"/>
      <c r="K5" s="559"/>
      <c r="L5" s="2692"/>
      <c r="M5" s="2693"/>
      <c r="N5" s="2693"/>
      <c r="O5" s="2693"/>
      <c r="P5" s="3965"/>
      <c r="Q5" s="3929"/>
      <c r="R5" s="3934"/>
      <c r="S5" s="3935"/>
      <c r="T5" s="3934"/>
      <c r="U5" s="3935"/>
      <c r="V5" s="3939"/>
      <c r="W5" s="3939"/>
      <c r="X5" s="1355"/>
      <c r="Y5" s="3934"/>
      <c r="Z5" s="3935"/>
      <c r="AA5" s="3953"/>
      <c r="AB5" s="3953"/>
      <c r="AC5" s="3953"/>
    </row>
    <row r="6" spans="1:29" ht="15.75" thickBot="1">
      <c r="A6" s="360"/>
      <c r="B6" s="361"/>
      <c r="C6" s="3940" t="s">
        <v>1661</v>
      </c>
      <c r="D6" s="3941"/>
      <c r="E6" s="3950" t="s">
        <v>1661</v>
      </c>
      <c r="F6" s="3951"/>
      <c r="G6" s="3940" t="s">
        <v>1661</v>
      </c>
      <c r="H6" s="3941"/>
      <c r="I6" s="3940" t="s">
        <v>1661</v>
      </c>
      <c r="J6" s="3941"/>
      <c r="K6" s="559" t="s">
        <v>1662</v>
      </c>
      <c r="L6" s="2692"/>
      <c r="M6" s="2693"/>
      <c r="N6" s="2693"/>
      <c r="O6" s="2693"/>
      <c r="P6" s="3966"/>
      <c r="Q6" s="3931"/>
      <c r="R6" s="3934"/>
      <c r="S6" s="3935"/>
      <c r="T6" s="3936"/>
      <c r="U6" s="3937"/>
      <c r="V6" s="3939"/>
      <c r="W6" s="3939"/>
      <c r="X6" s="1355"/>
      <c r="Y6" s="3936"/>
      <c r="Z6" s="3937"/>
      <c r="AA6" s="3954"/>
      <c r="AB6" s="3954"/>
      <c r="AC6" s="3954"/>
    </row>
    <row r="7" spans="1:29" s="108" customFormat="1" ht="15.75" thickBot="1">
      <c r="A7" s="362" t="s">
        <v>1663</v>
      </c>
      <c r="B7" s="363"/>
      <c r="C7" s="364">
        <f>'数据-取费表'!B2</f>
        <v>45287</v>
      </c>
      <c r="D7" s="365">
        <v>100</v>
      </c>
      <c r="E7" s="366"/>
      <c r="F7" s="367">
        <f>SUMIF(48:48,YEAR(E7)&amp;"-"&amp;MONTH(E7),49:49)</f>
        <v>0</v>
      </c>
      <c r="G7" s="366"/>
      <c r="H7" s="365">
        <f>SUMIF(48:48,YEAR(G7)&amp;"-"&amp;MONTH(G7),49:49)</f>
        <v>0</v>
      </c>
      <c r="I7" s="366"/>
      <c r="J7" s="365">
        <f>SUMIF(48:48,YEAR(I7)&amp;"-"&amp;MONTH(I7),49:49)</f>
        <v>0</v>
      </c>
      <c r="K7" s="560"/>
      <c r="L7" s="2694"/>
      <c r="M7" s="2695"/>
      <c r="N7" s="2695"/>
      <c r="O7" s="2695"/>
      <c r="P7" s="3946" t="s">
        <v>1664</v>
      </c>
      <c r="Q7" s="3947"/>
      <c r="R7" s="701" t="s">
        <v>14</v>
      </c>
      <c r="S7" s="702">
        <f t="shared" ref="S7:S14" si="0">F7</f>
        <v>0</v>
      </c>
      <c r="T7" s="701" t="s">
        <v>14</v>
      </c>
      <c r="U7" s="702">
        <f t="shared" ref="U7:U14" si="1">H7</f>
        <v>0</v>
      </c>
      <c r="V7" s="701" t="s">
        <v>14</v>
      </c>
      <c r="W7" s="702">
        <f t="shared" ref="W7:W14" si="2">J7</f>
        <v>0</v>
      </c>
      <c r="X7" s="703"/>
      <c r="Y7" s="3946" t="s">
        <v>1664</v>
      </c>
      <c r="Z7" s="3945"/>
      <c r="AA7" s="704" t="e">
        <f>D7/F7</f>
        <v>#DIV/0!</v>
      </c>
      <c r="AB7" s="704" t="e">
        <f>D7/H7</f>
        <v>#DIV/0!</v>
      </c>
      <c r="AC7" s="704" t="e">
        <f>D7/J7</f>
        <v>#DIV/0!</v>
      </c>
    </row>
    <row r="8" spans="1:29" s="108" customFormat="1" ht="15.75" thickBot="1">
      <c r="A8" s="362" t="s">
        <v>1665</v>
      </c>
      <c r="B8" s="363"/>
      <c r="C8" s="368"/>
      <c r="D8" s="365">
        <v>100</v>
      </c>
      <c r="E8" s="368"/>
      <c r="F8" s="367">
        <f>SUMIF(51:51,E8,52:52)-SUMIF(51:51,C8,52:52)+100</f>
        <v>100</v>
      </c>
      <c r="G8" s="368"/>
      <c r="H8" s="365">
        <f>SUMIF(51:51,G8,52:52)-SUMIF(51:51,C8,52:52)+100</f>
        <v>100</v>
      </c>
      <c r="I8" s="368"/>
      <c r="J8" s="365">
        <f>SUMIF(51:51,I8,52:52)-SUMIF(51:51,C8,52:52)+100</f>
        <v>100</v>
      </c>
      <c r="K8" s="560"/>
      <c r="L8" s="2694"/>
      <c r="M8" s="2695"/>
      <c r="N8" s="2695"/>
      <c r="O8" s="2695"/>
      <c r="P8" s="3946" t="s">
        <v>1667</v>
      </c>
      <c r="Q8" s="3945"/>
      <c r="R8" s="701" t="s">
        <v>14</v>
      </c>
      <c r="S8" s="702">
        <f t="shared" si="0"/>
        <v>100</v>
      </c>
      <c r="T8" s="701" t="s">
        <v>14</v>
      </c>
      <c r="U8" s="702">
        <f t="shared" si="1"/>
        <v>100</v>
      </c>
      <c r="V8" s="701" t="s">
        <v>14</v>
      </c>
      <c r="W8" s="702">
        <f t="shared" si="2"/>
        <v>100</v>
      </c>
      <c r="X8" s="703"/>
      <c r="Y8" s="3946" t="s">
        <v>1667</v>
      </c>
      <c r="Z8" s="3945"/>
      <c r="AA8" s="704">
        <f t="shared" ref="AA8:AA36" si="3">D8/F8</f>
        <v>1</v>
      </c>
      <c r="AB8" s="704">
        <f t="shared" ref="AB8:AB36" si="4">D8/H8</f>
        <v>1</v>
      </c>
      <c r="AC8" s="704">
        <f t="shared" ref="AC8:AC36" si="5">D8/J8</f>
        <v>1</v>
      </c>
    </row>
    <row r="9" spans="1:29" s="108" customFormat="1">
      <c r="A9" s="60" t="s">
        <v>1668</v>
      </c>
      <c r="B9" s="588" t="s">
        <v>1669</v>
      </c>
      <c r="C9" s="370"/>
      <c r="D9" s="126">
        <v>100</v>
      </c>
      <c r="E9" s="373"/>
      <c r="F9" s="126">
        <f>SUMIF(53:53,E9,54:54)-SUMIF(53:53,C9,54:54)+100</f>
        <v>100</v>
      </c>
      <c r="G9" s="371"/>
      <c r="H9" s="126">
        <f>SUMIF(53:53,G9,54:54)-SUMIF(53:53,C9,54:54)+100</f>
        <v>100</v>
      </c>
      <c r="I9" s="371"/>
      <c r="J9" s="126">
        <f>SUMIF(53:53,I9,54:54)-SUMIF(53:53,C9,54:54)+100</f>
        <v>100</v>
      </c>
      <c r="K9" s="560"/>
      <c r="L9" s="2694"/>
      <c r="M9" s="2695"/>
      <c r="N9" s="2695"/>
      <c r="O9" s="2695"/>
      <c r="P9" s="3905" t="s">
        <v>1670</v>
      </c>
      <c r="Q9" s="1343" t="str">
        <f t="shared" ref="Q9:Q14" si="6">B9</f>
        <v>用途</v>
      </c>
      <c r="R9" s="701" t="s">
        <v>14</v>
      </c>
      <c r="S9" s="702">
        <f t="shared" si="0"/>
        <v>100</v>
      </c>
      <c r="T9" s="701" t="s">
        <v>14</v>
      </c>
      <c r="U9" s="702">
        <f t="shared" si="1"/>
        <v>100</v>
      </c>
      <c r="V9" s="701" t="s">
        <v>14</v>
      </c>
      <c r="W9" s="702">
        <f t="shared" si="2"/>
        <v>100</v>
      </c>
      <c r="X9" s="703"/>
      <c r="Y9" s="3783" t="s">
        <v>1671</v>
      </c>
      <c r="Z9" s="52" t="str">
        <f t="shared" ref="Z9:Z14" si="7">Q9</f>
        <v>用途</v>
      </c>
      <c r="AA9" s="704">
        <f t="shared" si="3"/>
        <v>1</v>
      </c>
      <c r="AB9" s="704">
        <f t="shared" si="4"/>
        <v>1</v>
      </c>
      <c r="AC9" s="704">
        <f t="shared" si="5"/>
        <v>1</v>
      </c>
    </row>
    <row r="10" spans="1:29" s="378" customFormat="1" ht="27">
      <c r="A10" s="589"/>
      <c r="B10" s="590" t="s">
        <v>1672</v>
      </c>
      <c r="C10" s="3411"/>
      <c r="D10" s="127">
        <v>100</v>
      </c>
      <c r="E10" s="3411"/>
      <c r="F10" s="127">
        <f>SUMIF(55:55,E10,56:56)-SUMIF(55:55,C10,56:56)+100</f>
        <v>100</v>
      </c>
      <c r="G10" s="3412"/>
      <c r="H10" s="127">
        <f>SUMIF(55:55,G10,56:56)-SUMIF(55:55,C10,56:56)+100</f>
        <v>100</v>
      </c>
      <c r="I10" s="3411"/>
      <c r="J10" s="127">
        <f>SUMIF(55:55,I10,56:56)-SUMIF(55:55,C10,56:56)+100</f>
        <v>100</v>
      </c>
      <c r="K10" s="560"/>
      <c r="L10" s="2696"/>
      <c r="M10" s="2697"/>
      <c r="N10" s="2697"/>
      <c r="O10" s="2697"/>
      <c r="P10" s="3905"/>
      <c r="Q10" s="1343" t="str">
        <f t="shared" si="6"/>
        <v>土地使用年限（年）</v>
      </c>
      <c r="R10" s="701" t="s">
        <v>14</v>
      </c>
      <c r="S10" s="702">
        <f t="shared" si="0"/>
        <v>100</v>
      </c>
      <c r="T10" s="701" t="s">
        <v>14</v>
      </c>
      <c r="U10" s="702">
        <f t="shared" si="1"/>
        <v>100</v>
      </c>
      <c r="V10" s="701" t="s">
        <v>14</v>
      </c>
      <c r="W10" s="702">
        <f t="shared" si="2"/>
        <v>100</v>
      </c>
      <c r="X10" s="703"/>
      <c r="Y10" s="378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698"/>
      <c r="M11" s="2693"/>
      <c r="N11" s="2693"/>
      <c r="O11" s="2693"/>
      <c r="P11" s="3905"/>
      <c r="Q11" s="1343">
        <f t="shared" si="6"/>
        <v>111</v>
      </c>
      <c r="R11" s="701" t="s">
        <v>14</v>
      </c>
      <c r="S11" s="702">
        <f t="shared" si="0"/>
        <v>100</v>
      </c>
      <c r="T11" s="701" t="s">
        <v>14</v>
      </c>
      <c r="U11" s="702">
        <f t="shared" si="1"/>
        <v>100</v>
      </c>
      <c r="V11" s="701" t="s">
        <v>14</v>
      </c>
      <c r="W11" s="702">
        <f t="shared" si="2"/>
        <v>100</v>
      </c>
      <c r="X11" s="703"/>
      <c r="Y11" s="378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694"/>
      <c r="M12" s="2695"/>
      <c r="N12" s="2695"/>
      <c r="O12" s="2695"/>
      <c r="P12" s="3905"/>
      <c r="Q12" s="1343">
        <f t="shared" si="6"/>
        <v>111</v>
      </c>
      <c r="R12" s="701" t="s">
        <v>14</v>
      </c>
      <c r="S12" s="702">
        <f t="shared" si="0"/>
        <v>100</v>
      </c>
      <c r="T12" s="701" t="s">
        <v>14</v>
      </c>
      <c r="U12" s="702">
        <f t="shared" si="1"/>
        <v>100</v>
      </c>
      <c r="V12" s="701" t="s">
        <v>14</v>
      </c>
      <c r="W12" s="702">
        <f t="shared" si="2"/>
        <v>100</v>
      </c>
      <c r="X12" s="703"/>
      <c r="Y12" s="378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699"/>
      <c r="M13" s="2693"/>
      <c r="N13" s="2693"/>
      <c r="O13" s="2693"/>
      <c r="P13" s="3905"/>
      <c r="Q13" s="1343">
        <f t="shared" si="6"/>
        <v>111</v>
      </c>
      <c r="R13" s="701" t="s">
        <v>14</v>
      </c>
      <c r="S13" s="702">
        <f t="shared" si="0"/>
        <v>100</v>
      </c>
      <c r="T13" s="701" t="s">
        <v>14</v>
      </c>
      <c r="U13" s="702">
        <f t="shared" si="1"/>
        <v>100</v>
      </c>
      <c r="V13" s="701" t="s">
        <v>14</v>
      </c>
      <c r="W13" s="702">
        <f t="shared" si="2"/>
        <v>100</v>
      </c>
      <c r="X13" s="703"/>
      <c r="Y13" s="3783"/>
      <c r="Z13" s="52">
        <f t="shared" si="7"/>
        <v>111</v>
      </c>
      <c r="AA13" s="704">
        <f t="shared" si="3"/>
        <v>1</v>
      </c>
      <c r="AB13" s="704">
        <f t="shared" si="4"/>
        <v>1</v>
      </c>
      <c r="AC13" s="704">
        <f t="shared" si="5"/>
        <v>1</v>
      </c>
    </row>
    <row r="14" spans="1:29" ht="15">
      <c r="A14" s="355" t="s">
        <v>1674</v>
      </c>
      <c r="B14" s="577" t="s">
        <v>1817</v>
      </c>
      <c r="C14" s="1971"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699"/>
      <c r="M14" s="2693"/>
      <c r="N14" s="2693"/>
      <c r="O14" s="2693"/>
      <c r="P14" s="3912" t="s">
        <v>1675</v>
      </c>
      <c r="Q14" s="1352" t="str">
        <f t="shared" si="6"/>
        <v>交通便捷度</v>
      </c>
      <c r="R14" s="705" t="s">
        <v>14</v>
      </c>
      <c r="S14" s="706">
        <f t="shared" si="0"/>
        <v>100</v>
      </c>
      <c r="T14" s="705" t="s">
        <v>14</v>
      </c>
      <c r="U14" s="706">
        <f t="shared" si="1"/>
        <v>100</v>
      </c>
      <c r="V14" s="705" t="s">
        <v>14</v>
      </c>
      <c r="W14" s="706">
        <f t="shared" si="2"/>
        <v>100</v>
      </c>
      <c r="X14" s="1355"/>
      <c r="Y14" s="3912" t="s">
        <v>1675</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699"/>
      <c r="M15" s="2693"/>
      <c r="N15" s="2693"/>
      <c r="O15" s="2693"/>
      <c r="P15" s="3913"/>
      <c r="Q15" s="1352"/>
      <c r="R15" s="705"/>
      <c r="S15" s="706"/>
      <c r="T15" s="705"/>
      <c r="U15" s="706"/>
      <c r="V15" s="705"/>
      <c r="W15" s="706"/>
      <c r="X15" s="1355"/>
      <c r="Y15" s="3913"/>
      <c r="Z15" s="1356"/>
      <c r="AA15" s="1353">
        <v>1</v>
      </c>
      <c r="AB15" s="1353">
        <v>1</v>
      </c>
      <c r="AC15" s="1353">
        <v>1</v>
      </c>
    </row>
    <row r="16" spans="1:29" ht="15">
      <c r="A16" s="358"/>
      <c r="B16" s="579" t="s">
        <v>1796</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699"/>
      <c r="M16" s="2693"/>
      <c r="N16" s="2693"/>
      <c r="O16" s="2693"/>
      <c r="P16" s="3913"/>
      <c r="Q16" s="1352" t="str">
        <f>B16</f>
        <v>公共配套设施</v>
      </c>
      <c r="R16" s="705" t="s">
        <v>14</v>
      </c>
      <c r="S16" s="706">
        <f>F16</f>
        <v>100</v>
      </c>
      <c r="T16" s="705" t="s">
        <v>14</v>
      </c>
      <c r="U16" s="706">
        <f>H16</f>
        <v>100</v>
      </c>
      <c r="V16" s="705" t="s">
        <v>14</v>
      </c>
      <c r="W16" s="706">
        <f>J16</f>
        <v>100</v>
      </c>
      <c r="X16" s="1355"/>
      <c r="Y16" s="391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699"/>
      <c r="M17" s="2693"/>
      <c r="N17" s="2693"/>
      <c r="O17" s="2693"/>
      <c r="P17" s="3913"/>
      <c r="Q17" s="1352"/>
      <c r="R17" s="705"/>
      <c r="S17" s="706"/>
      <c r="T17" s="705"/>
      <c r="U17" s="706"/>
      <c r="V17" s="705"/>
      <c r="W17" s="706"/>
      <c r="X17" s="1355"/>
      <c r="Y17" s="3913"/>
      <c r="Z17" s="1356"/>
      <c r="AA17" s="1353">
        <v>1</v>
      </c>
      <c r="AB17" s="1353">
        <v>1</v>
      </c>
      <c r="AC17" s="1353">
        <v>1</v>
      </c>
    </row>
    <row r="18" spans="1:29" ht="15">
      <c r="A18" s="358"/>
      <c r="B18" s="581" t="s">
        <v>1797</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699"/>
      <c r="M18" s="2693"/>
      <c r="N18" s="2693"/>
      <c r="O18" s="2693"/>
      <c r="P18" s="3913"/>
      <c r="Q18" s="1352" t="str">
        <f>B18</f>
        <v>基础设施水平</v>
      </c>
      <c r="R18" s="705" t="s">
        <v>14</v>
      </c>
      <c r="S18" s="706">
        <f>F18</f>
        <v>100</v>
      </c>
      <c r="T18" s="705" t="s">
        <v>14</v>
      </c>
      <c r="U18" s="706">
        <f>H18</f>
        <v>100</v>
      </c>
      <c r="V18" s="705" t="s">
        <v>14</v>
      </c>
      <c r="W18" s="706">
        <f>J18</f>
        <v>100</v>
      </c>
      <c r="X18" s="1355"/>
      <c r="Y18" s="391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699"/>
      <c r="M19" s="2693"/>
      <c r="N19" s="2693"/>
      <c r="O19" s="2693"/>
      <c r="P19" s="3913"/>
      <c r="Q19" s="1352"/>
      <c r="R19" s="705"/>
      <c r="S19" s="706"/>
      <c r="T19" s="705"/>
      <c r="U19" s="706"/>
      <c r="V19" s="705"/>
      <c r="W19" s="706"/>
      <c r="X19" s="1355"/>
      <c r="Y19" s="3913"/>
      <c r="Z19" s="1356"/>
      <c r="AA19" s="1353">
        <v>1</v>
      </c>
      <c r="AB19" s="1353">
        <v>1</v>
      </c>
      <c r="AC19" s="1353">
        <v>1</v>
      </c>
    </row>
    <row r="20" spans="1:29" ht="15">
      <c r="A20" s="358"/>
      <c r="B20" s="579" t="s">
        <v>1818</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699"/>
      <c r="M20" s="2693"/>
      <c r="N20" s="2693"/>
      <c r="O20" s="2693"/>
      <c r="P20" s="3913"/>
      <c r="Q20" s="1352" t="str">
        <f>B20</f>
        <v>自然及人文环境</v>
      </c>
      <c r="R20" s="705" t="s">
        <v>14</v>
      </c>
      <c r="S20" s="706">
        <f>F20</f>
        <v>100</v>
      </c>
      <c r="T20" s="705" t="s">
        <v>14</v>
      </c>
      <c r="U20" s="706">
        <f>H20</f>
        <v>100</v>
      </c>
      <c r="V20" s="705" t="s">
        <v>14</v>
      </c>
      <c r="W20" s="706">
        <f>J20</f>
        <v>100</v>
      </c>
      <c r="X20" s="1355"/>
      <c r="Y20" s="391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699"/>
      <c r="M21" s="2693"/>
      <c r="N21" s="2693"/>
      <c r="O21" s="2693"/>
      <c r="P21" s="3913"/>
      <c r="Q21" s="1352"/>
      <c r="R21" s="705"/>
      <c r="S21" s="706"/>
      <c r="T21" s="705"/>
      <c r="U21" s="706"/>
      <c r="V21" s="705"/>
      <c r="W21" s="706"/>
      <c r="X21" s="1355"/>
      <c r="Y21" s="3913"/>
      <c r="Z21" s="1356"/>
      <c r="AA21" s="1353">
        <v>1</v>
      </c>
      <c r="AB21" s="1353">
        <v>1</v>
      </c>
      <c r="AC21" s="1353">
        <v>1</v>
      </c>
    </row>
    <row r="22" spans="1:29" ht="15">
      <c r="A22" s="358"/>
      <c r="B22" s="579" t="s">
        <v>1819</v>
      </c>
      <c r="C22" s="565"/>
      <c r="D22" s="401">
        <v>100</v>
      </c>
      <c r="E22" s="565"/>
      <c r="F22" s="412">
        <f>SUMIF(71:71,E22,72:72)-SUMIF(71:71,C22,72:72)+100</f>
        <v>100</v>
      </c>
      <c r="G22" s="565"/>
      <c r="H22" s="386">
        <f>SUMIF(71:71,G22,72:72)-SUMIF(71:71,C22,72:72)+100</f>
        <v>100</v>
      </c>
      <c r="I22" s="565"/>
      <c r="J22" s="386">
        <f>SUMIF(71:71,I22,72:72)-SUMIF(71:71,C22,72:72)+100</f>
        <v>100</v>
      </c>
      <c r="K22" s="561"/>
      <c r="L22" s="2699"/>
      <c r="M22" s="2693"/>
      <c r="N22" s="2693"/>
      <c r="O22" s="2693"/>
      <c r="P22" s="3913"/>
      <c r="Q22" s="1352" t="str">
        <f>B22</f>
        <v>楼层</v>
      </c>
      <c r="R22" s="705" t="s">
        <v>14</v>
      </c>
      <c r="S22" s="706">
        <f>F22</f>
        <v>100</v>
      </c>
      <c r="T22" s="705" t="s">
        <v>14</v>
      </c>
      <c r="U22" s="706">
        <f>H22</f>
        <v>100</v>
      </c>
      <c r="V22" s="705" t="s">
        <v>14</v>
      </c>
      <c r="W22" s="706">
        <f>J22</f>
        <v>100</v>
      </c>
      <c r="X22" s="1355"/>
      <c r="Y22" s="391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699"/>
      <c r="M23" s="2693"/>
      <c r="N23" s="2693"/>
      <c r="O23" s="2693"/>
      <c r="P23" s="3913"/>
      <c r="Q23" s="1352">
        <f>B23</f>
        <v>111</v>
      </c>
      <c r="R23" s="705" t="s">
        <v>14</v>
      </c>
      <c r="S23" s="706">
        <f>F23</f>
        <v>100</v>
      </c>
      <c r="T23" s="705" t="s">
        <v>14</v>
      </c>
      <c r="U23" s="706">
        <f>H23</f>
        <v>100</v>
      </c>
      <c r="V23" s="705" t="s">
        <v>14</v>
      </c>
      <c r="W23" s="706">
        <f>J23</f>
        <v>100</v>
      </c>
      <c r="X23" s="1355"/>
      <c r="Y23" s="391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699"/>
      <c r="M24" s="2693"/>
      <c r="N24" s="2693"/>
      <c r="O24" s="2693"/>
      <c r="P24" s="3913"/>
      <c r="Q24" s="1352">
        <f t="shared" ref="Q24:Q36" si="11">B24</f>
        <v>111</v>
      </c>
      <c r="R24" s="705" t="s">
        <v>14</v>
      </c>
      <c r="S24" s="706">
        <f>F24</f>
        <v>100</v>
      </c>
      <c r="T24" s="705" t="s">
        <v>14</v>
      </c>
      <c r="U24" s="706">
        <f>H24</f>
        <v>100</v>
      </c>
      <c r="V24" s="705" t="s">
        <v>14</v>
      </c>
      <c r="W24" s="706">
        <f>J24</f>
        <v>100</v>
      </c>
      <c r="X24" s="1355"/>
      <c r="Y24" s="391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694"/>
      <c r="M25" s="2695"/>
      <c r="N25" s="2695"/>
      <c r="O25" s="2695"/>
      <c r="P25" s="3913"/>
      <c r="Q25" s="1343">
        <f t="shared" si="11"/>
        <v>111</v>
      </c>
      <c r="R25" s="701" t="s">
        <v>14</v>
      </c>
      <c r="S25" s="702">
        <f>F25</f>
        <v>100</v>
      </c>
      <c r="T25" s="701" t="s">
        <v>14</v>
      </c>
      <c r="U25" s="702">
        <f>H25</f>
        <v>100</v>
      </c>
      <c r="V25" s="701" t="s">
        <v>14</v>
      </c>
      <c r="W25" s="702">
        <f>J25</f>
        <v>100</v>
      </c>
      <c r="X25" s="703"/>
      <c r="Y25" s="3913"/>
      <c r="Z25" s="52">
        <f>Q25</f>
        <v>111</v>
      </c>
      <c r="AA25" s="1353">
        <f>D25/F25</f>
        <v>1</v>
      </c>
      <c r="AB25" s="1353">
        <f>D25/H25</f>
        <v>1</v>
      </c>
      <c r="AC25" s="1353">
        <f>D25/J25</f>
        <v>1</v>
      </c>
    </row>
    <row r="26" spans="1:29" ht="28.5">
      <c r="A26" s="600" t="s">
        <v>1678</v>
      </c>
      <c r="B26" s="62" t="s">
        <v>1820</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699"/>
      <c r="M26" s="2693"/>
      <c r="N26" s="2693"/>
      <c r="O26" s="2693"/>
      <c r="P26" s="3969" t="s">
        <v>1680</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917" t="s">
        <v>1680</v>
      </c>
      <c r="Z26" s="1356" t="str">
        <f t="shared" ref="Z26:Z36" si="15">Q26</f>
        <v>配套类型</v>
      </c>
      <c r="AA26" s="1353" t="e">
        <f t="shared" si="3"/>
        <v>#DIV/0!</v>
      </c>
      <c r="AB26" s="1353" t="e">
        <f t="shared" si="4"/>
        <v>#DIV/0!</v>
      </c>
      <c r="AC26" s="1353" t="e">
        <f t="shared" si="5"/>
        <v>#DIV/0!</v>
      </c>
    </row>
    <row r="27" spans="1:29" s="422" customFormat="1" ht="15">
      <c r="A27" s="601"/>
      <c r="B27" s="602" t="s">
        <v>1821</v>
      </c>
      <c r="C27" s="603"/>
      <c r="D27" s="127">
        <v>100</v>
      </c>
      <c r="E27" s="603"/>
      <c r="F27" s="412">
        <f>SUMIF(81:81,E27,82:82)-SUMIF(81:81,C27,82:82)+100</f>
        <v>100</v>
      </c>
      <c r="G27" s="603"/>
      <c r="H27" s="386">
        <f>SUMIF(81:81,G27,82:82)-SUMIF(81:81,C27,82:82)+100</f>
        <v>100</v>
      </c>
      <c r="I27" s="603"/>
      <c r="J27" s="386">
        <f>SUMIF(81:81,I27,82:82)-SUMIF(81:81,C27,82:82)+100</f>
        <v>100</v>
      </c>
      <c r="K27" s="562"/>
      <c r="L27" s="2698"/>
      <c r="M27" s="2700"/>
      <c r="N27" s="2700"/>
      <c r="O27" s="2700"/>
      <c r="P27" s="3917"/>
      <c r="Q27" s="707" t="str">
        <f t="shared" si="11"/>
        <v>项目停车位配比</v>
      </c>
      <c r="R27" s="708" t="s">
        <v>14</v>
      </c>
      <c r="S27" s="709">
        <f t="shared" si="12"/>
        <v>100</v>
      </c>
      <c r="T27" s="708" t="s">
        <v>14</v>
      </c>
      <c r="U27" s="709">
        <f t="shared" si="13"/>
        <v>100</v>
      </c>
      <c r="V27" s="708" t="s">
        <v>14</v>
      </c>
      <c r="W27" s="709">
        <f t="shared" si="14"/>
        <v>100</v>
      </c>
      <c r="X27" s="710"/>
      <c r="Y27" s="3917"/>
      <c r="Z27" s="711" t="str">
        <f t="shared" si="15"/>
        <v>项目停车位配比</v>
      </c>
      <c r="AA27" s="1353">
        <f t="shared" si="3"/>
        <v>1</v>
      </c>
      <c r="AB27" s="1353">
        <f t="shared" si="4"/>
        <v>1</v>
      </c>
      <c r="AC27" s="1353">
        <f t="shared" si="5"/>
        <v>1</v>
      </c>
    </row>
    <row r="28" spans="1:29" ht="15">
      <c r="A28" s="604"/>
      <c r="B28" s="602" t="s">
        <v>1822</v>
      </c>
      <c r="C28" s="411"/>
      <c r="D28" s="386">
        <v>100</v>
      </c>
      <c r="E28" s="411"/>
      <c r="F28" s="412">
        <f>SUMIF(83:83,E28,84:84)-SUMIF(83:83,C28,84:84)+100</f>
        <v>100</v>
      </c>
      <c r="G28" s="411"/>
      <c r="H28" s="386">
        <f>SUMIF(83:83,G28,84:84)-SUMIF(83:83,C28,84:84)+100</f>
        <v>100</v>
      </c>
      <c r="I28" s="411"/>
      <c r="J28" s="386">
        <f>SUMIF(83:83,I28,84:84)-SUMIF(83:83,C28,84:84)+100</f>
        <v>100</v>
      </c>
      <c r="K28" s="561"/>
      <c r="L28" s="2699"/>
      <c r="M28" s="2693"/>
      <c r="N28" s="2693"/>
      <c r="O28" s="2693"/>
      <c r="P28" s="3917"/>
      <c r="Q28" s="1352" t="str">
        <f t="shared" si="11"/>
        <v>公共部分装修</v>
      </c>
      <c r="R28" s="705" t="s">
        <v>14</v>
      </c>
      <c r="S28" s="706">
        <f t="shared" si="12"/>
        <v>100</v>
      </c>
      <c r="T28" s="705" t="s">
        <v>14</v>
      </c>
      <c r="U28" s="706">
        <f t="shared" si="13"/>
        <v>100</v>
      </c>
      <c r="V28" s="705" t="s">
        <v>14</v>
      </c>
      <c r="W28" s="706">
        <f t="shared" si="14"/>
        <v>100</v>
      </c>
      <c r="X28" s="1355"/>
      <c r="Y28" s="3917"/>
      <c r="Z28" s="1356" t="str">
        <f t="shared" si="15"/>
        <v>公共部分装修</v>
      </c>
      <c r="AA28" s="1353">
        <f t="shared" si="3"/>
        <v>1</v>
      </c>
      <c r="AB28" s="1353">
        <f t="shared" si="4"/>
        <v>1</v>
      </c>
      <c r="AC28" s="1353">
        <f t="shared" si="5"/>
        <v>1</v>
      </c>
    </row>
    <row r="29" spans="1:29" ht="15">
      <c r="A29" s="604"/>
      <c r="B29" s="602" t="s">
        <v>1823</v>
      </c>
      <c r="C29" s="425"/>
      <c r="D29" s="386">
        <v>100</v>
      </c>
      <c r="E29" s="425"/>
      <c r="F29" s="412" t="e">
        <f>LOOKUP(E29,86:86,87:87)-LOOKUP(C29,86:86,87:87)+100</f>
        <v>#N/A</v>
      </c>
      <c r="G29" s="425"/>
      <c r="H29" s="412" t="e">
        <f>LOOKUP(G29,86:86,87:87)-LOOKUP(C29,86:86,87:87)+100</f>
        <v>#N/A</v>
      </c>
      <c r="I29" s="425"/>
      <c r="J29" s="386" t="e">
        <f>LOOKUP(I29,86:86,87:87)-LOOKUP(C29,86:86,87:87)+100</f>
        <v>#N/A</v>
      </c>
      <c r="K29" s="561"/>
      <c r="L29" s="2699"/>
      <c r="M29" s="2693"/>
      <c r="N29" s="2693"/>
      <c r="O29" s="2693"/>
      <c r="P29" s="3917"/>
      <c r="Q29" s="1352" t="str">
        <f t="shared" si="11"/>
        <v>成新率</v>
      </c>
      <c r="R29" s="705" t="s">
        <v>14</v>
      </c>
      <c r="S29" s="706" t="e">
        <f t="shared" si="12"/>
        <v>#N/A</v>
      </c>
      <c r="T29" s="705" t="s">
        <v>14</v>
      </c>
      <c r="U29" s="706" t="e">
        <f t="shared" si="13"/>
        <v>#N/A</v>
      </c>
      <c r="V29" s="705" t="s">
        <v>14</v>
      </c>
      <c r="W29" s="706" t="e">
        <f t="shared" si="14"/>
        <v>#N/A</v>
      </c>
      <c r="X29" s="1355"/>
      <c r="Y29" s="3917"/>
      <c r="Z29" s="1356" t="str">
        <f t="shared" si="15"/>
        <v>成新率</v>
      </c>
      <c r="AA29" s="1353" t="e">
        <f t="shared" si="3"/>
        <v>#N/A</v>
      </c>
      <c r="AB29" s="1353" t="e">
        <f t="shared" si="4"/>
        <v>#N/A</v>
      </c>
      <c r="AC29" s="1353" t="e">
        <f t="shared" si="5"/>
        <v>#N/A</v>
      </c>
    </row>
    <row r="30" spans="1:29" ht="15">
      <c r="A30" s="604"/>
      <c r="B30" s="602" t="s">
        <v>1824</v>
      </c>
      <c r="C30" s="605"/>
      <c r="D30" s="386">
        <v>100</v>
      </c>
      <c r="E30" s="605"/>
      <c r="F30" s="412">
        <f>SUMIF(88:88,E30,89:89)-SUMIF(88:88,C30,89:89)+100</f>
        <v>100</v>
      </c>
      <c r="G30" s="605"/>
      <c r="H30" s="386">
        <f>SUMIF(88:88,E30,89:89)-SUMIF(88:88,C30,89:89)+100</f>
        <v>100</v>
      </c>
      <c r="I30" s="605"/>
      <c r="J30" s="386">
        <f>SUMIF(88:88,E30,89:89)-SUMIF(88:88,C30,89:89)+100</f>
        <v>100</v>
      </c>
      <c r="K30" s="561"/>
      <c r="L30" s="2699"/>
      <c r="M30" s="2693"/>
      <c r="N30" s="2693"/>
      <c r="O30" s="2693"/>
      <c r="P30" s="3917"/>
      <c r="Q30" s="1352" t="str">
        <f t="shared" si="11"/>
        <v>物业等级</v>
      </c>
      <c r="R30" s="705" t="s">
        <v>14</v>
      </c>
      <c r="S30" s="706">
        <f t="shared" si="12"/>
        <v>100</v>
      </c>
      <c r="T30" s="705" t="s">
        <v>14</v>
      </c>
      <c r="U30" s="706">
        <f t="shared" si="13"/>
        <v>100</v>
      </c>
      <c r="V30" s="705" t="s">
        <v>14</v>
      </c>
      <c r="W30" s="706">
        <f t="shared" si="14"/>
        <v>100</v>
      </c>
      <c r="X30" s="1355"/>
      <c r="Y30" s="3917"/>
      <c r="Z30" s="1356" t="str">
        <f t="shared" si="15"/>
        <v>物业等级</v>
      </c>
      <c r="AA30" s="1353">
        <f t="shared" si="3"/>
        <v>1</v>
      </c>
      <c r="AB30" s="1353">
        <f t="shared" si="4"/>
        <v>1</v>
      </c>
      <c r="AC30" s="1353">
        <f t="shared" si="5"/>
        <v>1</v>
      </c>
    </row>
    <row r="31" spans="1:29" s="108" customFormat="1" ht="15">
      <c r="A31" s="606"/>
      <c r="B31" s="602" t="s">
        <v>1825</v>
      </c>
      <c r="C31" s="420"/>
      <c r="D31" s="127">
        <v>100</v>
      </c>
      <c r="E31" s="420"/>
      <c r="F31" s="412" t="e">
        <f>LOOKUP(E31,91:91,92:92)-LOOKUP(C31,91:91,92:92)+100</f>
        <v>#N/A</v>
      </c>
      <c r="G31" s="420"/>
      <c r="H31" s="386" t="e">
        <f>LOOKUP(G31,91:91,92:92)-LOOKUP(C31,91:91,92:92)+100</f>
        <v>#N/A</v>
      </c>
      <c r="I31" s="420"/>
      <c r="J31" s="386" t="e">
        <f>LOOKUP(I31,91:91,92:92)-LOOKUP(C31,91:91,92:92)+100</f>
        <v>#N/A</v>
      </c>
      <c r="K31" s="561"/>
      <c r="L31" s="2694"/>
      <c r="M31" s="2695"/>
      <c r="N31" s="2695"/>
      <c r="O31" s="2695"/>
      <c r="P31" s="3917"/>
      <c r="Q31" s="1343" t="str">
        <f t="shared" si="11"/>
        <v>停车位面积</v>
      </c>
      <c r="R31" s="701" t="s">
        <v>14</v>
      </c>
      <c r="S31" s="702" t="e">
        <f t="shared" si="12"/>
        <v>#N/A</v>
      </c>
      <c r="T31" s="701" t="s">
        <v>14</v>
      </c>
      <c r="U31" s="702" t="e">
        <f t="shared" si="13"/>
        <v>#N/A</v>
      </c>
      <c r="V31" s="701" t="s">
        <v>14</v>
      </c>
      <c r="W31" s="702" t="e">
        <f t="shared" si="14"/>
        <v>#N/A</v>
      </c>
      <c r="X31" s="703"/>
      <c r="Y31" s="3917"/>
      <c r="Z31" s="52" t="str">
        <f t="shared" si="15"/>
        <v>停车位面积</v>
      </c>
      <c r="AA31" s="704" t="e">
        <f t="shared" si="3"/>
        <v>#N/A</v>
      </c>
      <c r="AB31" s="704" t="e">
        <f t="shared" si="4"/>
        <v>#N/A</v>
      </c>
      <c r="AC31" s="704" t="e">
        <f t="shared" si="5"/>
        <v>#N/A</v>
      </c>
    </row>
    <row r="32" spans="1:29" ht="15">
      <c r="A32" s="604"/>
      <c r="B32" s="602" t="s">
        <v>1826</v>
      </c>
      <c r="C32" s="411"/>
      <c r="D32" s="386">
        <v>100</v>
      </c>
      <c r="E32" s="411"/>
      <c r="F32" s="412">
        <f>SUMIF(93:93,E32,94:94)-SUMIF(93:93,C32,94:94)+100</f>
        <v>100</v>
      </c>
      <c r="G32" s="411"/>
      <c r="H32" s="386">
        <f>SUMIF(93:93,G32,94:94)-SUMIF(93:93,C32,94:94)+100</f>
        <v>100</v>
      </c>
      <c r="I32" s="411"/>
      <c r="J32" s="386">
        <f>SUMIF(93:93,I32,94:94)-SUMIF(93:93,C32,94:94)+100</f>
        <v>100</v>
      </c>
      <c r="K32" s="561"/>
      <c r="L32" s="2699"/>
      <c r="M32" s="2693"/>
      <c r="N32" s="2693"/>
      <c r="O32" s="2693"/>
      <c r="P32" s="3917" t="s">
        <v>1680</v>
      </c>
      <c r="Q32" s="1352" t="str">
        <f t="shared" si="11"/>
        <v>车位类型</v>
      </c>
      <c r="R32" s="705" t="s">
        <v>14</v>
      </c>
      <c r="S32" s="706">
        <f t="shared" si="12"/>
        <v>100</v>
      </c>
      <c r="T32" s="705" t="s">
        <v>14</v>
      </c>
      <c r="U32" s="706">
        <f t="shared" si="13"/>
        <v>100</v>
      </c>
      <c r="V32" s="705" t="s">
        <v>14</v>
      </c>
      <c r="W32" s="706">
        <f t="shared" si="14"/>
        <v>100</v>
      </c>
      <c r="X32" s="1355"/>
      <c r="Y32" s="3917" t="s">
        <v>1680</v>
      </c>
      <c r="Z32" s="1356" t="str">
        <f t="shared" si="15"/>
        <v>车位类型</v>
      </c>
      <c r="AA32" s="1353">
        <f t="shared" si="3"/>
        <v>1</v>
      </c>
      <c r="AB32" s="1353">
        <f t="shared" si="4"/>
        <v>1</v>
      </c>
      <c r="AC32" s="1353">
        <f t="shared" si="5"/>
        <v>1</v>
      </c>
    </row>
    <row r="33" spans="1:29" ht="15">
      <c r="A33" s="604"/>
      <c r="B33" s="602" t="s">
        <v>1827</v>
      </c>
      <c r="C33" s="411"/>
      <c r="D33" s="386">
        <v>100</v>
      </c>
      <c r="E33" s="411"/>
      <c r="F33" s="412">
        <f>SUMIF(95:95,E33,96:96)-SUMIF(95:95,C33,96:96)+100</f>
        <v>100</v>
      </c>
      <c r="G33" s="411"/>
      <c r="H33" s="386">
        <f>SUMIF(95:95,G33,96:96)-SUMIF(95:95,C33,96:96)+100</f>
        <v>100</v>
      </c>
      <c r="I33" s="411"/>
      <c r="J33" s="386">
        <f>SUMIF(95:95,I33,96:96)-SUMIF(95:95,C33,96:96)+100</f>
        <v>100</v>
      </c>
      <c r="K33" s="561"/>
      <c r="L33" s="2699"/>
      <c r="M33" s="2693"/>
      <c r="N33" s="2693"/>
      <c r="O33" s="2693"/>
      <c r="P33" s="3917"/>
      <c r="Q33" s="1352" t="str">
        <f t="shared" si="11"/>
        <v>是否直接入户</v>
      </c>
      <c r="R33" s="705" t="s">
        <v>14</v>
      </c>
      <c r="S33" s="706">
        <f t="shared" si="12"/>
        <v>100</v>
      </c>
      <c r="T33" s="705" t="s">
        <v>14</v>
      </c>
      <c r="U33" s="706">
        <f t="shared" si="13"/>
        <v>100</v>
      </c>
      <c r="V33" s="705" t="s">
        <v>14</v>
      </c>
      <c r="W33" s="706">
        <f t="shared" si="14"/>
        <v>100</v>
      </c>
      <c r="X33" s="1355"/>
      <c r="Y33" s="391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699"/>
      <c r="M34" s="2693"/>
      <c r="N34" s="2693"/>
      <c r="O34" s="2693"/>
      <c r="P34" s="3917"/>
      <c r="Q34" s="1352">
        <f t="shared" si="11"/>
        <v>111</v>
      </c>
      <c r="R34" s="705" t="s">
        <v>14</v>
      </c>
      <c r="S34" s="706">
        <f t="shared" si="12"/>
        <v>100</v>
      </c>
      <c r="T34" s="705" t="s">
        <v>14</v>
      </c>
      <c r="U34" s="706">
        <f t="shared" si="13"/>
        <v>100</v>
      </c>
      <c r="V34" s="705" t="s">
        <v>14</v>
      </c>
      <c r="W34" s="706">
        <f t="shared" si="14"/>
        <v>100</v>
      </c>
      <c r="X34" s="1355"/>
      <c r="Y34" s="391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698"/>
      <c r="M35" s="2700"/>
      <c r="N35" s="2700"/>
      <c r="O35" s="2700"/>
      <c r="P35" s="3917"/>
      <c r="Q35" s="707">
        <f t="shared" si="11"/>
        <v>111</v>
      </c>
      <c r="R35" s="708" t="s">
        <v>14</v>
      </c>
      <c r="S35" s="709">
        <f t="shared" si="12"/>
        <v>100</v>
      </c>
      <c r="T35" s="708" t="s">
        <v>14</v>
      </c>
      <c r="U35" s="709">
        <f t="shared" si="13"/>
        <v>100</v>
      </c>
      <c r="V35" s="708" t="s">
        <v>14</v>
      </c>
      <c r="W35" s="709">
        <f t="shared" si="14"/>
        <v>100</v>
      </c>
      <c r="X35" s="710"/>
      <c r="Y35" s="391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699"/>
      <c r="M36" s="2693"/>
      <c r="N36" s="2693"/>
      <c r="O36" s="2693"/>
      <c r="P36" s="3917"/>
      <c r="Q36" s="1352">
        <f t="shared" si="11"/>
        <v>111</v>
      </c>
      <c r="R36" s="705" t="s">
        <v>14</v>
      </c>
      <c r="S36" s="706">
        <f t="shared" si="12"/>
        <v>100</v>
      </c>
      <c r="T36" s="705" t="s">
        <v>14</v>
      </c>
      <c r="U36" s="706">
        <f t="shared" si="13"/>
        <v>100</v>
      </c>
      <c r="V36" s="705" t="s">
        <v>14</v>
      </c>
      <c r="W36" s="706">
        <f t="shared" si="14"/>
        <v>100</v>
      </c>
      <c r="X36" s="1355"/>
      <c r="Y36" s="3917"/>
      <c r="Z36" s="1356">
        <f t="shared" si="15"/>
        <v>111</v>
      </c>
      <c r="AA36" s="1353">
        <f t="shared" si="3"/>
        <v>1</v>
      </c>
      <c r="AB36" s="1353">
        <f t="shared" si="4"/>
        <v>1</v>
      </c>
      <c r="AC36" s="1353">
        <f t="shared" si="5"/>
        <v>1</v>
      </c>
    </row>
    <row r="37" spans="1:29" ht="15">
      <c r="A37" s="430" t="s">
        <v>1828</v>
      </c>
      <c r="B37" s="1973" t="s">
        <v>3338</v>
      </c>
      <c r="C37" s="1154" t="s">
        <v>0</v>
      </c>
      <c r="D37" s="1155"/>
      <c r="E37" s="1156"/>
      <c r="F37" s="1157"/>
      <c r="G37" s="1158"/>
      <c r="H37" s="1159"/>
      <c r="I37" s="1156"/>
      <c r="J37" s="1159"/>
      <c r="K37" s="568"/>
      <c r="L37" s="2701"/>
      <c r="M37" s="2702"/>
      <c r="N37" s="2693"/>
      <c r="O37" s="2702"/>
      <c r="P37" s="3905" t="str">
        <f>A37</f>
        <v>成交单价</v>
      </c>
      <c r="Q37" s="3905"/>
      <c r="R37" s="3906">
        <f>E37</f>
        <v>0</v>
      </c>
      <c r="S37" s="3906"/>
      <c r="T37" s="3906">
        <f>G37</f>
        <v>0</v>
      </c>
      <c r="U37" s="3906"/>
      <c r="V37" s="3906">
        <f>I37</f>
        <v>0</v>
      </c>
      <c r="W37" s="3906"/>
      <c r="X37" s="690"/>
      <c r="Y37" s="712"/>
      <c r="Z37" s="690"/>
      <c r="AA37" s="690"/>
      <c r="AB37" s="690"/>
      <c r="AC37" s="690"/>
    </row>
    <row r="38" spans="1:29" ht="15.75" thickBot="1">
      <c r="A38" s="437" t="s">
        <v>1829</v>
      </c>
      <c r="B38" s="438" t="str">
        <f>B37</f>
        <v>元/平方米</v>
      </c>
      <c r="C38" s="1160" t="e">
        <f>R39</f>
        <v>#DIV/0!</v>
      </c>
      <c r="D38" s="2317" t="s">
        <v>2122</v>
      </c>
      <c r="E38" s="1161" t="e">
        <f>R38</f>
        <v>#DIV/0!</v>
      </c>
      <c r="F38" s="2318"/>
      <c r="G38" s="1160" t="e">
        <f>T38</f>
        <v>#DIV/0!</v>
      </c>
      <c r="H38" s="2318"/>
      <c r="I38" s="1161" t="e">
        <f>V38</f>
        <v>#DIV/0!</v>
      </c>
      <c r="J38" s="2318"/>
      <c r="K38" s="2320">
        <f>F38+H38+J38</f>
        <v>0</v>
      </c>
      <c r="L38" s="2701"/>
      <c r="M38" s="2702"/>
      <c r="N38" s="2702"/>
      <c r="O38" s="2702"/>
      <c r="P38" s="3905" t="str">
        <f>A38</f>
        <v>比较价值（元/平方米）</v>
      </c>
      <c r="Q38" s="3905"/>
      <c r="R38" s="3906" t="e">
        <f>IF(F1="售价",ROUND(PRODUCT(R37,AA7:AA36),0),ROUND(PRODUCT(R37,AA7:AA36),1))</f>
        <v>#DIV/0!</v>
      </c>
      <c r="S38" s="3906"/>
      <c r="T38" s="3906" t="e">
        <f>IF(F1="售价",ROUND(PRODUCT(T37,AB7:AB36),0),ROUND(PRODUCT(T37,AB7:AB36),1))</f>
        <v>#DIV/0!</v>
      </c>
      <c r="U38" s="3906"/>
      <c r="V38" s="3906" t="e">
        <f>IF(F1="售价",ROUND(PRODUCT(V37,AC7:AC36),0),ROUND(PRODUCT(V37,AC7:AC36),1))</f>
        <v>#DIV/0!</v>
      </c>
      <c r="W38" s="3906"/>
      <c r="X38" s="690"/>
      <c r="Y38" s="690"/>
      <c r="Z38" s="690"/>
      <c r="AA38" s="690"/>
      <c r="AB38" s="690"/>
      <c r="AC38" s="690"/>
    </row>
    <row r="39" spans="1:29" ht="15.75" thickBot="1">
      <c r="A39" s="441" t="s">
        <v>1830</v>
      </c>
      <c r="B39" s="442"/>
      <c r="C39" s="1163" t="e">
        <f>R39</f>
        <v>#DIV/0!</v>
      </c>
      <c r="D39" s="1163"/>
      <c r="E39" s="1163"/>
      <c r="F39" s="1163"/>
      <c r="G39" s="1163"/>
      <c r="H39" s="1163"/>
      <c r="I39" s="1163"/>
      <c r="J39" s="1163"/>
      <c r="K39" s="569"/>
      <c r="L39" s="2701"/>
      <c r="M39" s="2702"/>
      <c r="N39" s="2702"/>
      <c r="O39" s="2702"/>
      <c r="P39" s="3959" t="str">
        <f>A39</f>
        <v>估价对象XX用房的比较价值（楼面单价，元/平方米）</v>
      </c>
      <c r="Q39" s="3960"/>
      <c r="R39" s="3970" t="e">
        <f>IF(F1="售价",ROUND(IF(D38="简单平均",AVERAGE(R38:W38),R38*F38+T38*H38+V38*J38),0),ROUND(IF(D38="简单平均",AVERAGE(R38:V38),R38*F38+T38*H38+V38*J38),1))</f>
        <v>#DIV/0!</v>
      </c>
      <c r="S39" s="3970"/>
      <c r="T39" s="3970"/>
      <c r="U39" s="3970"/>
      <c r="V39" s="3970"/>
      <c r="W39" s="3970"/>
      <c r="X39" s="690"/>
      <c r="Y39" s="690"/>
      <c r="Z39" s="690"/>
      <c r="AA39" s="690"/>
      <c r="AB39" s="690"/>
      <c r="AC39" s="690"/>
    </row>
    <row r="40" spans="1:29">
      <c r="A40" s="2702"/>
      <c r="B40" s="2702"/>
      <c r="C40" s="2702"/>
      <c r="D40" s="2702"/>
      <c r="E40" s="2702"/>
      <c r="F40" s="2702"/>
      <c r="G40" s="2706"/>
      <c r="H40" s="2702"/>
      <c r="I40" s="2702"/>
      <c r="J40" s="2702"/>
      <c r="K40" s="2707"/>
      <c r="L40" s="2703"/>
      <c r="M40" s="2702"/>
      <c r="N40" s="2702"/>
      <c r="O40" s="2702"/>
      <c r="P40" s="2733"/>
      <c r="Q40" s="2702"/>
      <c r="R40" s="2702"/>
      <c r="S40" s="2702"/>
      <c r="T40" s="2702"/>
      <c r="U40" s="2702"/>
      <c r="V40" s="2702"/>
      <c r="W40" s="2702"/>
      <c r="X40" s="2702"/>
      <c r="Y40" s="2702"/>
      <c r="Z40" s="2702"/>
      <c r="AA40" s="2702"/>
      <c r="AB40" s="2702"/>
      <c r="AC40" s="2702"/>
    </row>
    <row r="41" spans="1:29">
      <c r="A41" s="2702"/>
      <c r="B41" s="2702"/>
      <c r="C41" s="2702"/>
      <c r="D41" s="2702"/>
      <c r="E41" s="2702"/>
      <c r="F41" s="2702"/>
      <c r="G41" s="2702"/>
      <c r="H41" s="2702"/>
      <c r="I41" s="2702"/>
      <c r="J41" s="2702"/>
      <c r="K41" s="2707"/>
      <c r="L41" s="2703"/>
      <c r="M41" s="2702"/>
      <c r="N41" s="2702"/>
      <c r="O41" s="2702"/>
      <c r="P41" s="2733"/>
      <c r="Q41" s="2702"/>
      <c r="R41" s="2702"/>
      <c r="S41" s="2702"/>
      <c r="T41" s="2702"/>
      <c r="U41" s="2702"/>
      <c r="V41" s="2702"/>
      <c r="W41" s="2702"/>
      <c r="X41" s="2702"/>
      <c r="Y41" s="2702"/>
      <c r="Z41" s="2702"/>
      <c r="AA41" s="2702"/>
      <c r="AB41" s="2702"/>
      <c r="AC41" s="2702"/>
    </row>
    <row r="42" spans="1:29" ht="13.5" customHeight="1">
      <c r="A42" s="2702"/>
      <c r="B42" s="2702"/>
      <c r="C42" s="446" t="s">
        <v>1831</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07"/>
      <c r="L42" s="2703"/>
      <c r="M42" s="2702"/>
      <c r="N42" s="2702"/>
      <c r="O42" s="2702"/>
      <c r="P42" s="2733"/>
      <c r="Q42" s="2702"/>
      <c r="R42" s="2702"/>
      <c r="S42" s="2702"/>
      <c r="T42" s="2702"/>
      <c r="U42" s="2702"/>
      <c r="V42" s="2702"/>
      <c r="W42" s="2702"/>
      <c r="X42" s="2702"/>
      <c r="Y42" s="2702"/>
      <c r="Z42" s="2702"/>
      <c r="AA42" s="2702"/>
      <c r="AB42" s="2702"/>
      <c r="AC42" s="2702"/>
    </row>
    <row r="43" spans="1:29" ht="13.5" customHeight="1">
      <c r="A43" s="2702"/>
      <c r="B43" s="2702"/>
      <c r="C43" s="446" t="s">
        <v>1832</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07"/>
      <c r="L43" s="2703"/>
      <c r="M43" s="2702"/>
      <c r="N43" s="2702"/>
      <c r="O43" s="2702"/>
      <c r="P43" s="2733"/>
      <c r="Q43" s="2702"/>
      <c r="R43" s="2702"/>
      <c r="S43" s="2702"/>
      <c r="T43" s="2702"/>
      <c r="U43" s="2702"/>
      <c r="V43" s="2702"/>
      <c r="W43" s="2702"/>
      <c r="X43" s="2702"/>
      <c r="Y43" s="2702"/>
      <c r="Z43" s="2702"/>
      <c r="AA43" s="2702"/>
      <c r="AB43" s="2702"/>
      <c r="AC43" s="2702"/>
    </row>
    <row r="44" spans="1:29" s="451" customFormat="1" ht="13.5" customHeight="1">
      <c r="A44" s="2705"/>
      <c r="B44" s="2705"/>
      <c r="C44" s="446" t="s">
        <v>1833</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10"/>
      <c r="L44" s="2704"/>
      <c r="M44" s="2705"/>
      <c r="N44" s="2705"/>
      <c r="O44" s="2705"/>
      <c r="P44" s="2734"/>
      <c r="Q44" s="2705"/>
      <c r="R44" s="2705"/>
      <c r="S44" s="2705"/>
      <c r="T44" s="2705"/>
      <c r="U44" s="2705"/>
      <c r="V44" s="2705"/>
      <c r="W44" s="2705"/>
      <c r="X44" s="2705"/>
      <c r="Y44" s="2705"/>
      <c r="Z44" s="2705"/>
      <c r="AA44" s="2705"/>
      <c r="AB44" s="2705"/>
      <c r="AC44" s="2705"/>
    </row>
    <row r="45" spans="1:29" s="451" customFormat="1">
      <c r="A45" s="2705"/>
      <c r="B45" s="2708"/>
      <c r="C45" s="2709"/>
      <c r="D45" s="2705"/>
      <c r="E45" s="2705"/>
      <c r="F45" s="2705"/>
      <c r="G45" s="2705"/>
      <c r="H45" s="2705"/>
      <c r="I45" s="2705"/>
      <c r="J45" s="2705"/>
      <c r="K45" s="2710"/>
      <c r="L45" s="2704"/>
      <c r="M45" s="2705"/>
      <c r="N45" s="2705"/>
      <c r="O45" s="2705"/>
      <c r="P45" s="2734"/>
      <c r="Q45" s="2705"/>
      <c r="R45" s="2705"/>
      <c r="S45" s="2705"/>
      <c r="T45" s="2705"/>
      <c r="U45" s="2705"/>
      <c r="V45" s="2705"/>
      <c r="W45" s="2705"/>
      <c r="X45" s="2705"/>
      <c r="Y45" s="2705"/>
      <c r="Z45" s="2705"/>
      <c r="AA45" s="2705"/>
      <c r="AB45" s="2705"/>
      <c r="AC45" s="2705"/>
    </row>
    <row r="46" spans="1:29">
      <c r="A46" s="2702"/>
      <c r="B46" s="2708"/>
      <c r="C46" s="2709"/>
      <c r="D46" s="2702"/>
      <c r="E46" s="2702"/>
      <c r="F46" s="2702"/>
      <c r="G46" s="2702"/>
      <c r="H46" s="2702"/>
      <c r="I46" s="2702"/>
      <c r="J46" s="2702"/>
      <c r="K46" s="2707"/>
      <c r="L46" s="2703"/>
      <c r="M46" s="2702"/>
      <c r="N46" s="2702"/>
      <c r="O46" s="2702"/>
      <c r="P46" s="2733"/>
      <c r="Q46" s="2702"/>
      <c r="R46" s="2702"/>
      <c r="S46" s="2702"/>
      <c r="T46" s="2702"/>
      <c r="U46" s="2702"/>
      <c r="V46" s="2702"/>
      <c r="W46" s="2702"/>
      <c r="X46" s="2702"/>
      <c r="Y46" s="2702"/>
      <c r="Z46" s="2702"/>
      <c r="AA46" s="2702"/>
      <c r="AB46" s="2702"/>
      <c r="AC46" s="2702"/>
    </row>
    <row r="47" spans="1:29" ht="21.75" thickBot="1">
      <c r="A47" s="1166" t="s">
        <v>1834</v>
      </c>
      <c r="B47" s="927"/>
      <c r="C47" s="940"/>
      <c r="D47" s="940"/>
      <c r="E47" s="940"/>
      <c r="F47" s="1167"/>
      <c r="G47" s="1167"/>
      <c r="H47" s="940"/>
      <c r="I47" s="940"/>
      <c r="J47" s="940"/>
      <c r="K47" s="941"/>
      <c r="L47" s="942"/>
      <c r="M47" s="940"/>
      <c r="N47" s="2746"/>
      <c r="O47" s="2746"/>
      <c r="P47" s="2735"/>
      <c r="Q47" s="2716"/>
      <c r="R47" s="2702"/>
      <c r="S47" s="2702"/>
      <c r="T47" s="2702"/>
      <c r="U47" s="2702"/>
      <c r="V47" s="2702"/>
      <c r="W47" s="2702"/>
      <c r="X47" s="2702"/>
      <c r="Y47" s="2702"/>
      <c r="Z47" s="2702"/>
      <c r="AA47" s="2702"/>
      <c r="AB47" s="2702"/>
      <c r="AC47" s="2702"/>
    </row>
    <row r="48" spans="1:29" s="457" customFormat="1" ht="15">
      <c r="A48" s="454" t="s">
        <v>1835</v>
      </c>
      <c r="B48" s="455"/>
      <c r="C48" s="1184" t="str">
        <f>YEAR(C7)&amp;"-"&amp;MONTH(C7)</f>
        <v>2023-12</v>
      </c>
      <c r="D48" s="1185">
        <f>EDATE(C48,-1)</f>
        <v>45231</v>
      </c>
      <c r="E48" s="1185">
        <f t="shared" ref="E48:O48" si="16">EDATE(D48,-1)</f>
        <v>45200</v>
      </c>
      <c r="F48" s="1185">
        <f t="shared" si="16"/>
        <v>45170</v>
      </c>
      <c r="G48" s="1185">
        <f t="shared" si="16"/>
        <v>45139</v>
      </c>
      <c r="H48" s="1185">
        <f t="shared" si="16"/>
        <v>45108</v>
      </c>
      <c r="I48" s="1185">
        <f t="shared" si="16"/>
        <v>45078</v>
      </c>
      <c r="J48" s="1185">
        <f t="shared" si="16"/>
        <v>45047</v>
      </c>
      <c r="K48" s="1185">
        <f t="shared" si="16"/>
        <v>45017</v>
      </c>
      <c r="L48" s="1185">
        <f t="shared" si="16"/>
        <v>44986</v>
      </c>
      <c r="M48" s="1185">
        <f t="shared" si="16"/>
        <v>44958</v>
      </c>
      <c r="N48" s="1185">
        <f t="shared" si="16"/>
        <v>44927</v>
      </c>
      <c r="O48" s="1185">
        <f t="shared" si="16"/>
        <v>44896</v>
      </c>
      <c r="P48" s="2736"/>
      <c r="Q48" s="2718"/>
      <c r="R48" s="2718"/>
      <c r="S48" s="2718"/>
      <c r="T48" s="2718"/>
      <c r="U48" s="2718"/>
      <c r="V48" s="2718"/>
      <c r="W48" s="2718"/>
      <c r="X48" s="2718"/>
      <c r="Y48" s="2718"/>
      <c r="Z48" s="2718"/>
      <c r="AA48" s="2718"/>
      <c r="AB48" s="2718"/>
      <c r="AC48" s="2718"/>
    </row>
    <row r="49" spans="1:29" s="108" customFormat="1" ht="15">
      <c r="A49" s="458"/>
      <c r="B49" s="459"/>
      <c r="C49" s="1177">
        <v>100</v>
      </c>
      <c r="D49" s="461"/>
      <c r="E49" s="461"/>
      <c r="F49" s="461"/>
      <c r="G49" s="461"/>
      <c r="H49" s="461"/>
      <c r="I49" s="461"/>
      <c r="J49" s="461"/>
      <c r="K49" s="461"/>
      <c r="L49" s="461"/>
      <c r="M49" s="462"/>
      <c r="N49" s="461"/>
      <c r="O49" s="462"/>
      <c r="P49" s="2737"/>
      <c r="Q49" s="2638"/>
      <c r="R49" s="2638"/>
      <c r="S49" s="2638"/>
      <c r="T49" s="2638"/>
      <c r="U49" s="2638"/>
      <c r="V49" s="2638"/>
      <c r="W49" s="2638"/>
      <c r="X49" s="2638"/>
      <c r="Y49" s="2638"/>
      <c r="Z49" s="2638"/>
      <c r="AA49" s="2638"/>
      <c r="AB49" s="2638"/>
      <c r="AC49" s="2638"/>
    </row>
    <row r="50" spans="1:29" s="108" customFormat="1" ht="15.75" thickBot="1">
      <c r="A50" s="464" t="s">
        <v>1700</v>
      </c>
      <c r="B50" s="465"/>
      <c r="C50" s="466"/>
      <c r="D50" s="467"/>
      <c r="E50" s="467"/>
      <c r="F50" s="467"/>
      <c r="G50" s="467"/>
      <c r="H50" s="467"/>
      <c r="I50" s="467"/>
      <c r="J50" s="467"/>
      <c r="K50" s="467"/>
      <c r="L50" s="467"/>
      <c r="M50" s="468"/>
      <c r="N50" s="467"/>
      <c r="O50" s="468"/>
      <c r="P50" s="2737"/>
      <c r="Q50" s="2716"/>
      <c r="R50" s="2638"/>
      <c r="S50" s="2638"/>
      <c r="T50" s="2638"/>
      <c r="U50" s="2638"/>
      <c r="V50" s="2638"/>
      <c r="W50" s="2638"/>
      <c r="X50" s="2638"/>
      <c r="Y50" s="2638"/>
      <c r="Z50" s="2638"/>
      <c r="AA50" s="2638"/>
      <c r="AB50" s="2638"/>
      <c r="AC50" s="2638"/>
    </row>
    <row r="51" spans="1:29" s="108" customFormat="1" ht="15">
      <c r="A51" s="470" t="s">
        <v>1665</v>
      </c>
      <c r="B51" s="459"/>
      <c r="C51" s="471" t="s">
        <v>1760</v>
      </c>
      <c r="D51" s="472"/>
      <c r="E51" s="472"/>
      <c r="F51" s="472"/>
      <c r="G51" s="472"/>
      <c r="H51" s="472"/>
      <c r="I51" s="472"/>
      <c r="J51" s="472"/>
      <c r="K51" s="472"/>
      <c r="L51" s="473"/>
      <c r="M51" s="474"/>
      <c r="N51" s="2729"/>
      <c r="O51" s="2729"/>
      <c r="P51" s="2738"/>
      <c r="Q51" s="2716"/>
      <c r="R51" s="2638"/>
      <c r="S51" s="2638"/>
      <c r="T51" s="2638"/>
      <c r="U51" s="2638"/>
      <c r="V51" s="2638"/>
      <c r="W51" s="2638"/>
      <c r="X51" s="2638"/>
      <c r="Y51" s="2638"/>
      <c r="Z51" s="2638"/>
      <c r="AA51" s="2638"/>
      <c r="AB51" s="2638"/>
      <c r="AC51" s="2638"/>
    </row>
    <row r="52" spans="1:29" s="108" customFormat="1" ht="15.75" thickBot="1">
      <c r="A52" s="470"/>
      <c r="B52" s="459"/>
      <c r="C52" s="587">
        <v>100</v>
      </c>
      <c r="D52" s="461"/>
      <c r="E52" s="461"/>
      <c r="F52" s="461"/>
      <c r="G52" s="461"/>
      <c r="H52" s="461"/>
      <c r="I52" s="461"/>
      <c r="J52" s="461"/>
      <c r="K52" s="461"/>
      <c r="L52" s="461"/>
      <c r="M52" s="463"/>
      <c r="N52" s="2729"/>
      <c r="O52" s="2729"/>
      <c r="P52" s="2737"/>
      <c r="Q52" s="2716"/>
      <c r="R52" s="2638"/>
      <c r="S52" s="2638"/>
      <c r="T52" s="2638"/>
      <c r="U52" s="2638"/>
      <c r="V52" s="2638"/>
      <c r="W52" s="2638"/>
      <c r="X52" s="2638"/>
      <c r="Y52" s="2638"/>
      <c r="Z52" s="2638"/>
      <c r="AA52" s="2638"/>
      <c r="AB52" s="2638"/>
      <c r="AC52" s="2638"/>
    </row>
    <row r="53" spans="1:29">
      <c r="A53" s="476" t="s">
        <v>1703</v>
      </c>
      <c r="B53" s="477" t="s">
        <v>1669</v>
      </c>
      <c r="C53" s="478">
        <f>C9</f>
        <v>0</v>
      </c>
      <c r="D53" s="479"/>
      <c r="E53" s="479"/>
      <c r="F53" s="479"/>
      <c r="G53" s="479"/>
      <c r="H53" s="479"/>
      <c r="I53" s="479"/>
      <c r="J53" s="479"/>
      <c r="K53" s="480"/>
      <c r="L53" s="481"/>
      <c r="M53" s="482"/>
      <c r="N53" s="2730"/>
      <c r="O53" s="2730"/>
      <c r="P53" s="2739"/>
      <c r="Q53" s="2716"/>
      <c r="R53" s="2702"/>
      <c r="S53" s="2702"/>
      <c r="T53" s="2702"/>
      <c r="U53" s="2702"/>
      <c r="V53" s="2702"/>
      <c r="W53" s="2702"/>
      <c r="X53" s="2702"/>
      <c r="Y53" s="2702"/>
      <c r="Z53" s="2702"/>
      <c r="AA53" s="2702"/>
      <c r="AB53" s="2702"/>
      <c r="AC53" s="2702"/>
    </row>
    <row r="54" spans="1:29" ht="15.75" thickBot="1">
      <c r="A54" s="483"/>
      <c r="B54" s="484"/>
      <c r="C54" s="485">
        <v>100</v>
      </c>
      <c r="D54" s="485"/>
      <c r="E54" s="485"/>
      <c r="F54" s="485"/>
      <c r="G54" s="485"/>
      <c r="H54" s="485"/>
      <c r="I54" s="485"/>
      <c r="J54" s="485"/>
      <c r="K54" s="485"/>
      <c r="L54" s="485"/>
      <c r="M54" s="486"/>
      <c r="N54" s="2731"/>
      <c r="O54" s="2731"/>
      <c r="P54" s="2739"/>
      <c r="Q54" s="2716"/>
      <c r="R54" s="2702"/>
      <c r="S54" s="2702"/>
      <c r="T54" s="2702"/>
      <c r="U54" s="2702"/>
      <c r="V54" s="2702"/>
      <c r="W54" s="2702"/>
      <c r="X54" s="2702"/>
      <c r="Y54" s="2702"/>
      <c r="Z54" s="2702"/>
      <c r="AA54" s="2702"/>
      <c r="AB54" s="2702"/>
      <c r="AC54" s="2702"/>
    </row>
    <row r="55" spans="1:29" ht="27.75" thickTop="1">
      <c r="A55" s="483"/>
      <c r="B55" s="487" t="s">
        <v>1672</v>
      </c>
      <c r="C55" s="532"/>
      <c r="D55" s="532"/>
      <c r="E55" s="532"/>
      <c r="F55" s="532"/>
      <c r="G55" s="532"/>
      <c r="H55" s="532"/>
      <c r="I55" s="532"/>
      <c r="J55" s="532"/>
      <c r="K55" s="533"/>
      <c r="L55" s="534"/>
      <c r="M55" s="535"/>
      <c r="N55" s="2730"/>
      <c r="O55" s="2730"/>
      <c r="P55" s="2739"/>
      <c r="Q55" s="2716"/>
      <c r="R55" s="2702"/>
      <c r="S55" s="2702"/>
      <c r="T55" s="2702"/>
      <c r="U55" s="2702"/>
      <c r="V55" s="2702"/>
      <c r="W55" s="2702"/>
      <c r="X55" s="2702"/>
      <c r="Y55" s="2702"/>
      <c r="Z55" s="2702"/>
      <c r="AA55" s="2702"/>
      <c r="AB55" s="2702"/>
      <c r="AC55" s="2702"/>
    </row>
    <row r="56" spans="1:29" ht="15.75" thickBot="1">
      <c r="A56" s="483"/>
      <c r="B56" s="492"/>
      <c r="C56" s="485"/>
      <c r="D56" s="485"/>
      <c r="E56" s="485"/>
      <c r="F56" s="485"/>
      <c r="G56" s="485"/>
      <c r="H56" s="485"/>
      <c r="I56" s="485"/>
      <c r="J56" s="485"/>
      <c r="K56" s="485"/>
      <c r="L56" s="485"/>
      <c r="M56" s="486"/>
      <c r="N56" s="2731"/>
      <c r="O56" s="2731"/>
      <c r="P56" s="2739"/>
      <c r="Q56" s="2716"/>
      <c r="R56" s="2702"/>
      <c r="S56" s="2702"/>
      <c r="T56" s="2702"/>
      <c r="U56" s="2702"/>
      <c r="V56" s="2702"/>
      <c r="W56" s="2702"/>
      <c r="X56" s="2702"/>
      <c r="Y56" s="2702"/>
      <c r="Z56" s="2702"/>
      <c r="AA56" s="2702"/>
      <c r="AB56" s="2702"/>
      <c r="AC56" s="2702"/>
    </row>
    <row r="57" spans="1:29" ht="15.75" thickTop="1">
      <c r="A57" s="483"/>
      <c r="B57" s="608">
        <f>B11</f>
        <v>111</v>
      </c>
      <c r="C57" s="498"/>
      <c r="D57" s="498"/>
      <c r="E57" s="498"/>
      <c r="F57" s="498"/>
      <c r="G57" s="498"/>
      <c r="H57" s="498"/>
      <c r="I57" s="498"/>
      <c r="J57" s="498"/>
      <c r="K57" s="499"/>
      <c r="L57" s="500"/>
      <c r="M57" s="501"/>
      <c r="N57" s="2730"/>
      <c r="O57" s="2730"/>
      <c r="P57" s="2739"/>
      <c r="Q57" s="2716"/>
      <c r="R57" s="2702"/>
      <c r="S57" s="2702"/>
      <c r="T57" s="2702"/>
      <c r="U57" s="2702"/>
      <c r="V57" s="2702"/>
      <c r="W57" s="2702"/>
      <c r="X57" s="2702"/>
      <c r="Y57" s="2702"/>
      <c r="Z57" s="2702"/>
      <c r="AA57" s="2702"/>
      <c r="AB57" s="2702"/>
      <c r="AC57" s="2702"/>
    </row>
    <row r="58" spans="1:29" ht="15.75" thickBot="1">
      <c r="A58" s="483"/>
      <c r="B58" s="484"/>
      <c r="C58" s="509"/>
      <c r="D58" s="485"/>
      <c r="E58" s="485"/>
      <c r="F58" s="485"/>
      <c r="G58" s="485"/>
      <c r="H58" s="485"/>
      <c r="I58" s="485"/>
      <c r="J58" s="485"/>
      <c r="K58" s="485"/>
      <c r="L58" s="485"/>
      <c r="M58" s="486"/>
      <c r="N58" s="2731"/>
      <c r="O58" s="2731"/>
      <c r="P58" s="2739"/>
      <c r="Q58" s="2716"/>
      <c r="R58" s="2702"/>
      <c r="S58" s="2702"/>
      <c r="T58" s="2702"/>
      <c r="U58" s="2702"/>
      <c r="V58" s="2702"/>
      <c r="W58" s="2702"/>
      <c r="X58" s="2702"/>
      <c r="Y58" s="2702"/>
      <c r="Z58" s="2702"/>
      <c r="AA58" s="2702"/>
      <c r="AB58" s="2702"/>
      <c r="AC58" s="2702"/>
    </row>
    <row r="59" spans="1:29" s="422" customFormat="1" ht="15.75" thickTop="1">
      <c r="A59" s="502"/>
      <c r="B59" s="487">
        <f>B12</f>
        <v>111</v>
      </c>
      <c r="C59" s="498"/>
      <c r="D59" s="498"/>
      <c r="E59" s="498"/>
      <c r="F59" s="498"/>
      <c r="G59" s="503"/>
      <c r="H59" s="504"/>
      <c r="I59" s="504"/>
      <c r="J59" s="504"/>
      <c r="K59" s="504"/>
      <c r="L59" s="505"/>
      <c r="M59" s="506"/>
      <c r="N59" s="2732"/>
      <c r="O59" s="2732"/>
      <c r="P59" s="2740"/>
      <c r="Q59" s="2723"/>
      <c r="R59" s="2724"/>
      <c r="S59" s="2724"/>
      <c r="T59" s="2724"/>
      <c r="U59" s="2724"/>
      <c r="V59" s="2724"/>
      <c r="W59" s="2724"/>
      <c r="X59" s="2724"/>
      <c r="Y59" s="2724"/>
      <c r="Z59" s="2724"/>
      <c r="AA59" s="2724"/>
      <c r="AB59" s="2724"/>
      <c r="AC59" s="2724"/>
    </row>
    <row r="60" spans="1:29" s="422" customFormat="1" ht="15.75" thickBot="1">
      <c r="A60" s="502"/>
      <c r="B60" s="492"/>
      <c r="C60" s="509"/>
      <c r="D60" s="485"/>
      <c r="E60" s="485"/>
      <c r="F60" s="485"/>
      <c r="G60" s="485"/>
      <c r="H60" s="485"/>
      <c r="I60" s="485"/>
      <c r="J60" s="485"/>
      <c r="K60" s="485"/>
      <c r="L60" s="485"/>
      <c r="M60" s="486"/>
      <c r="N60" s="2731"/>
      <c r="O60" s="2731"/>
      <c r="P60" s="2740"/>
      <c r="Q60" s="2723"/>
      <c r="R60" s="2724"/>
      <c r="S60" s="2724"/>
      <c r="T60" s="2724"/>
      <c r="U60" s="2724"/>
      <c r="V60" s="2724"/>
      <c r="W60" s="2724"/>
      <c r="X60" s="2724"/>
      <c r="Y60" s="2724"/>
      <c r="Z60" s="2724"/>
      <c r="AA60" s="2724"/>
      <c r="AB60" s="2724"/>
      <c r="AC60" s="2724"/>
    </row>
    <row r="61" spans="1:29" s="422" customFormat="1" ht="15.75" thickTop="1">
      <c r="A61" s="502"/>
      <c r="B61" s="487">
        <f>B13</f>
        <v>111</v>
      </c>
      <c r="C61" s="503"/>
      <c r="D61" s="503"/>
      <c r="E61" s="503"/>
      <c r="F61" s="503"/>
      <c r="G61" s="503"/>
      <c r="H61" s="504"/>
      <c r="I61" s="504"/>
      <c r="J61" s="504"/>
      <c r="K61" s="504"/>
      <c r="L61" s="505"/>
      <c r="M61" s="506"/>
      <c r="N61" s="2732"/>
      <c r="O61" s="2732"/>
      <c r="P61" s="2741"/>
      <c r="Q61" s="2726"/>
      <c r="R61" s="2724"/>
      <c r="S61" s="2724"/>
      <c r="T61" s="2724"/>
      <c r="U61" s="2724"/>
      <c r="V61" s="2724"/>
      <c r="W61" s="2724"/>
      <c r="X61" s="2724"/>
      <c r="Y61" s="2724"/>
      <c r="Z61" s="2724"/>
      <c r="AA61" s="2724"/>
      <c r="AB61" s="2724"/>
      <c r="AC61" s="2724"/>
    </row>
    <row r="62" spans="1:29" s="422" customFormat="1" ht="15.75" thickBot="1">
      <c r="A62" s="502"/>
      <c r="B62" s="492"/>
      <c r="C62" s="509"/>
      <c r="D62" s="509"/>
      <c r="E62" s="509"/>
      <c r="F62" s="509"/>
      <c r="G62" s="509"/>
      <c r="H62" s="511"/>
      <c r="I62" s="511"/>
      <c r="J62" s="511"/>
      <c r="K62" s="511"/>
      <c r="L62" s="511"/>
      <c r="M62" s="512"/>
      <c r="N62" s="2732"/>
      <c r="O62" s="2732"/>
      <c r="P62" s="2740"/>
      <c r="Q62" s="2723"/>
      <c r="R62" s="2724"/>
      <c r="S62" s="2724"/>
      <c r="T62" s="2724"/>
      <c r="U62" s="2724"/>
      <c r="V62" s="2724"/>
      <c r="W62" s="2724"/>
      <c r="X62" s="2724"/>
      <c r="Y62" s="2724"/>
      <c r="Z62" s="2724"/>
      <c r="AA62" s="2724"/>
      <c r="AB62" s="2724"/>
      <c r="AC62" s="2724"/>
    </row>
    <row r="63" spans="1:29" ht="15" thickTop="1">
      <c r="A63" s="476" t="s">
        <v>1674</v>
      </c>
      <c r="B63" s="477" t="s">
        <v>1710</v>
      </c>
      <c r="C63" s="522" t="s">
        <v>1705</v>
      </c>
      <c r="D63" s="522" t="s">
        <v>1706</v>
      </c>
      <c r="E63" s="522" t="s">
        <v>1707</v>
      </c>
      <c r="F63" s="522" t="s">
        <v>1708</v>
      </c>
      <c r="G63" s="522" t="s">
        <v>1709</v>
      </c>
      <c r="H63" s="478"/>
      <c r="I63" s="478"/>
      <c r="J63" s="478"/>
      <c r="K63" s="523"/>
      <c r="L63" s="524"/>
      <c r="M63" s="525"/>
      <c r="N63" s="2730"/>
      <c r="O63" s="2730"/>
      <c r="P63" s="2743"/>
      <c r="Q63" s="2716"/>
      <c r="R63" s="2702"/>
      <c r="S63" s="2702"/>
      <c r="T63" s="2702"/>
      <c r="U63" s="2702"/>
      <c r="V63" s="2702"/>
      <c r="W63" s="2702"/>
      <c r="X63" s="2702"/>
      <c r="Y63" s="2702"/>
      <c r="Z63" s="2702"/>
      <c r="AA63" s="2702"/>
      <c r="AB63" s="2702"/>
      <c r="AC63" s="270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31"/>
      <c r="O64" s="2731"/>
      <c r="P64" s="2739"/>
      <c r="Q64" s="2716"/>
      <c r="R64" s="2702"/>
      <c r="S64" s="2702"/>
      <c r="T64" s="2702"/>
      <c r="U64" s="2702"/>
      <c r="V64" s="2702"/>
      <c r="W64" s="2702"/>
      <c r="X64" s="2702"/>
      <c r="Y64" s="2702"/>
      <c r="Z64" s="2702"/>
      <c r="AA64" s="2702"/>
      <c r="AB64" s="2702"/>
      <c r="AC64" s="2702"/>
    </row>
    <row r="65" spans="1:29" ht="15.75" thickTop="1">
      <c r="A65" s="483"/>
      <c r="B65" s="487" t="s">
        <v>1711</v>
      </c>
      <c r="C65" s="527" t="s">
        <v>1705</v>
      </c>
      <c r="D65" s="527" t="s">
        <v>1706</v>
      </c>
      <c r="E65" s="527" t="s">
        <v>1707</v>
      </c>
      <c r="F65" s="527" t="s">
        <v>1708</v>
      </c>
      <c r="G65" s="527" t="s">
        <v>1709</v>
      </c>
      <c r="H65" s="488"/>
      <c r="I65" s="488"/>
      <c r="J65" s="488"/>
      <c r="K65" s="489"/>
      <c r="L65" s="490"/>
      <c r="M65" s="491"/>
      <c r="N65" s="2730"/>
      <c r="O65" s="2730"/>
      <c r="P65" s="2739"/>
      <c r="Q65" s="2716"/>
      <c r="R65" s="2702"/>
      <c r="S65" s="2702"/>
      <c r="T65" s="2702"/>
      <c r="U65" s="2702"/>
      <c r="V65" s="2702"/>
      <c r="W65" s="2702"/>
      <c r="X65" s="2702"/>
      <c r="Y65" s="2702"/>
      <c r="Z65" s="2702"/>
      <c r="AA65" s="2702"/>
      <c r="AB65" s="2702"/>
      <c r="AC65" s="270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31"/>
      <c r="O66" s="2731"/>
      <c r="P66" s="2739"/>
      <c r="Q66" s="2716"/>
      <c r="R66" s="2702"/>
      <c r="S66" s="2702"/>
      <c r="T66" s="2702"/>
      <c r="U66" s="2702"/>
      <c r="V66" s="2702"/>
      <c r="W66" s="2702"/>
      <c r="X66" s="2702"/>
      <c r="Y66" s="2702"/>
      <c r="Z66" s="2702"/>
      <c r="AA66" s="2702"/>
      <c r="AB66" s="2702"/>
      <c r="AC66" s="2702"/>
    </row>
    <row r="67" spans="1:29" ht="15.75" thickTop="1">
      <c r="A67" s="483"/>
      <c r="B67" s="495" t="s">
        <v>1797</v>
      </c>
      <c r="C67" s="608" t="s">
        <v>1783</v>
      </c>
      <c r="D67" s="608" t="s">
        <v>1784</v>
      </c>
      <c r="E67" s="608" t="s">
        <v>1785</v>
      </c>
      <c r="F67" s="608" t="s">
        <v>1786</v>
      </c>
      <c r="G67" s="608" t="s">
        <v>1787</v>
      </c>
      <c r="H67" s="488"/>
      <c r="I67" s="488"/>
      <c r="J67" s="488"/>
      <c r="K67" s="488"/>
      <c r="L67" s="488"/>
      <c r="M67" s="1129"/>
      <c r="N67" s="2731"/>
      <c r="O67" s="2731"/>
      <c r="P67" s="2739"/>
      <c r="Q67" s="2716"/>
      <c r="R67" s="2702"/>
      <c r="S67" s="2702"/>
      <c r="T67" s="2702"/>
      <c r="U67" s="2702"/>
      <c r="V67" s="2702"/>
      <c r="W67" s="2702"/>
      <c r="X67" s="2702"/>
      <c r="Y67" s="2702"/>
      <c r="Z67" s="2702"/>
      <c r="AA67" s="2702"/>
      <c r="AB67" s="2702"/>
      <c r="AC67" s="270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31"/>
      <c r="O68" s="2731"/>
      <c r="P68" s="2739"/>
      <c r="Q68" s="2716"/>
      <c r="R68" s="2702"/>
      <c r="S68" s="2702"/>
      <c r="T68" s="2702"/>
      <c r="U68" s="2702"/>
      <c r="V68" s="2702"/>
      <c r="W68" s="2702"/>
      <c r="X68" s="2702"/>
      <c r="Y68" s="2702"/>
      <c r="Z68" s="2702"/>
      <c r="AA68" s="2702"/>
      <c r="AB68" s="2702"/>
      <c r="AC68" s="2702"/>
    </row>
    <row r="69" spans="1:29" ht="15.75" thickTop="1">
      <c r="A69" s="483"/>
      <c r="B69" s="487" t="s">
        <v>1717</v>
      </c>
      <c r="C69" s="527" t="s">
        <v>1705</v>
      </c>
      <c r="D69" s="527" t="s">
        <v>1706</v>
      </c>
      <c r="E69" s="527" t="s">
        <v>1707</v>
      </c>
      <c r="F69" s="527" t="s">
        <v>1708</v>
      </c>
      <c r="G69" s="527" t="s">
        <v>1709</v>
      </c>
      <c r="H69" s="488"/>
      <c r="I69" s="488"/>
      <c r="J69" s="488"/>
      <c r="K69" s="489"/>
      <c r="L69" s="490"/>
      <c r="M69" s="491"/>
      <c r="N69" s="2730"/>
      <c r="O69" s="2730"/>
      <c r="P69" s="2739"/>
      <c r="Q69" s="2716"/>
      <c r="R69" s="2702"/>
      <c r="S69" s="2702"/>
      <c r="T69" s="2702"/>
      <c r="U69" s="2702"/>
      <c r="V69" s="2702"/>
      <c r="W69" s="2702"/>
      <c r="X69" s="2702"/>
      <c r="Y69" s="2702"/>
      <c r="Z69" s="2702"/>
      <c r="AA69" s="2702"/>
      <c r="AB69" s="2702"/>
      <c r="AC69" s="270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31"/>
      <c r="O70" s="2731"/>
      <c r="P70" s="2739"/>
      <c r="Q70" s="2716"/>
      <c r="R70" s="2702"/>
      <c r="S70" s="2702"/>
      <c r="T70" s="2702"/>
      <c r="U70" s="2702"/>
      <c r="V70" s="2702"/>
      <c r="W70" s="2702"/>
      <c r="X70" s="2702"/>
      <c r="Y70" s="2702"/>
      <c r="Z70" s="2702"/>
      <c r="AA70" s="2702"/>
      <c r="AB70" s="2702"/>
      <c r="AC70" s="2702"/>
    </row>
    <row r="71" spans="1:29" ht="15.75" thickTop="1">
      <c r="A71" s="483"/>
      <c r="B71" s="487" t="s">
        <v>1836</v>
      </c>
      <c r="C71" s="503"/>
      <c r="D71" s="503"/>
      <c r="E71" s="503"/>
      <c r="F71" s="503"/>
      <c r="G71" s="503"/>
      <c r="H71" s="532"/>
      <c r="I71" s="532"/>
      <c r="J71" s="532"/>
      <c r="K71" s="533"/>
      <c r="L71" s="534"/>
      <c r="M71" s="535"/>
      <c r="N71" s="2730"/>
      <c r="O71" s="2730"/>
      <c r="P71" s="2739"/>
      <c r="Q71" s="2716"/>
      <c r="R71" s="2702"/>
      <c r="S71" s="2702"/>
      <c r="T71" s="2702"/>
      <c r="U71" s="2702"/>
      <c r="V71" s="2702"/>
      <c r="W71" s="2702"/>
      <c r="X71" s="2702"/>
      <c r="Y71" s="2702"/>
      <c r="Z71" s="2702"/>
      <c r="AA71" s="2702"/>
      <c r="AB71" s="2702"/>
      <c r="AC71" s="270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31"/>
      <c r="O72" s="2731"/>
      <c r="P72" s="2739"/>
      <c r="Q72" s="2716"/>
      <c r="R72" s="2702"/>
      <c r="S72" s="2702"/>
      <c r="T72" s="2702"/>
      <c r="U72" s="2702"/>
      <c r="V72" s="2702"/>
      <c r="W72" s="2702"/>
      <c r="X72" s="2702"/>
      <c r="Y72" s="2702"/>
      <c r="Z72" s="2702"/>
      <c r="AA72" s="2702"/>
      <c r="AB72" s="2702"/>
      <c r="AC72" s="2702"/>
    </row>
    <row r="73" spans="1:29" s="108" customFormat="1" ht="15.75" thickTop="1">
      <c r="A73" s="528"/>
      <c r="B73" s="487">
        <f>B23</f>
        <v>111</v>
      </c>
      <c r="C73" s="498"/>
      <c r="D73" s="498"/>
      <c r="E73" s="498"/>
      <c r="F73" s="498"/>
      <c r="G73" s="503"/>
      <c r="H73" s="503"/>
      <c r="I73" s="503"/>
      <c r="J73" s="503"/>
      <c r="K73" s="503"/>
      <c r="L73" s="529"/>
      <c r="M73" s="530"/>
      <c r="N73" s="2729"/>
      <c r="O73" s="2729"/>
      <c r="P73" s="2739"/>
      <c r="Q73" s="2716"/>
      <c r="R73" s="2638"/>
      <c r="S73" s="2638"/>
      <c r="T73" s="2638"/>
      <c r="U73" s="2638"/>
      <c r="V73" s="2638"/>
      <c r="W73" s="2638"/>
      <c r="X73" s="2638"/>
      <c r="Y73" s="2638"/>
      <c r="Z73" s="2638"/>
      <c r="AA73" s="2638"/>
      <c r="AB73" s="2638"/>
      <c r="AC73" s="2638"/>
    </row>
    <row r="74" spans="1:29" s="108" customFormat="1" ht="15.75" thickBot="1">
      <c r="A74" s="528"/>
      <c r="B74" s="492"/>
      <c r="C74" s="509"/>
      <c r="D74" s="485"/>
      <c r="E74" s="485"/>
      <c r="F74" s="485"/>
      <c r="G74" s="485"/>
      <c r="H74" s="485"/>
      <c r="I74" s="485"/>
      <c r="J74" s="485"/>
      <c r="K74" s="485"/>
      <c r="L74" s="485"/>
      <c r="M74" s="486"/>
      <c r="N74" s="2731"/>
      <c r="O74" s="2731"/>
      <c r="P74" s="2739"/>
      <c r="Q74" s="2716"/>
      <c r="R74" s="2638"/>
      <c r="S74" s="2638"/>
      <c r="T74" s="2638"/>
      <c r="U74" s="2638"/>
      <c r="V74" s="2638"/>
      <c r="W74" s="2638"/>
      <c r="X74" s="2638"/>
      <c r="Y74" s="2638"/>
      <c r="Z74" s="2638"/>
      <c r="AA74" s="2638"/>
      <c r="AB74" s="2638"/>
      <c r="AC74" s="2638"/>
    </row>
    <row r="75" spans="1:29" s="108" customFormat="1" ht="15.75" thickTop="1">
      <c r="A75" s="528"/>
      <c r="B75" s="487">
        <f>B24</f>
        <v>111</v>
      </c>
      <c r="C75" s="498"/>
      <c r="D75" s="498"/>
      <c r="E75" s="498"/>
      <c r="F75" s="498"/>
      <c r="G75" s="503"/>
      <c r="H75" s="503"/>
      <c r="I75" s="503"/>
      <c r="J75" s="503"/>
      <c r="K75" s="503"/>
      <c r="L75" s="503"/>
      <c r="M75" s="530"/>
      <c r="N75" s="2729"/>
      <c r="O75" s="2729"/>
      <c r="P75" s="2739"/>
      <c r="Q75" s="2716"/>
      <c r="R75" s="2638"/>
      <c r="S75" s="2638"/>
      <c r="T75" s="2638"/>
      <c r="U75" s="2638"/>
      <c r="V75" s="2638"/>
      <c r="W75" s="2638"/>
      <c r="X75" s="2638"/>
      <c r="Y75" s="2638"/>
      <c r="Z75" s="2638"/>
      <c r="AA75" s="2638"/>
      <c r="AB75" s="2638"/>
      <c r="AC75" s="2638"/>
    </row>
    <row r="76" spans="1:29" s="108" customFormat="1" ht="15.75" thickBot="1">
      <c r="A76" s="528"/>
      <c r="B76" s="492"/>
      <c r="C76" s="509"/>
      <c r="D76" s="485"/>
      <c r="E76" s="485"/>
      <c r="F76" s="485"/>
      <c r="G76" s="485"/>
      <c r="H76" s="485"/>
      <c r="I76" s="485"/>
      <c r="J76" s="485"/>
      <c r="K76" s="485"/>
      <c r="L76" s="485"/>
      <c r="M76" s="486"/>
      <c r="N76" s="2731"/>
      <c r="O76" s="2731"/>
      <c r="P76" s="2739"/>
      <c r="Q76" s="2716"/>
      <c r="R76" s="2638"/>
      <c r="S76" s="2638"/>
      <c r="T76" s="2638"/>
      <c r="U76" s="2638"/>
      <c r="V76" s="2638"/>
      <c r="W76" s="2638"/>
      <c r="X76" s="2638"/>
      <c r="Y76" s="2638"/>
      <c r="Z76" s="2638"/>
      <c r="AA76" s="2638"/>
      <c r="AB76" s="2638"/>
      <c r="AC76" s="2638"/>
    </row>
    <row r="77" spans="1:29" s="422" customFormat="1" ht="15.75" thickTop="1">
      <c r="A77" s="502"/>
      <c r="B77" s="487">
        <f>B25</f>
        <v>111</v>
      </c>
      <c r="C77" s="503"/>
      <c r="D77" s="503"/>
      <c r="E77" s="503"/>
      <c r="F77" s="503"/>
      <c r="G77" s="503"/>
      <c r="H77" s="504"/>
      <c r="I77" s="504"/>
      <c r="J77" s="504"/>
      <c r="K77" s="504"/>
      <c r="L77" s="505"/>
      <c r="M77" s="506"/>
      <c r="N77" s="2732"/>
      <c r="O77" s="2732"/>
      <c r="P77" s="2740"/>
      <c r="Q77" s="2723"/>
      <c r="R77" s="2724"/>
      <c r="S77" s="2724"/>
      <c r="T77" s="2724"/>
      <c r="U77" s="2724"/>
      <c r="V77" s="2724"/>
      <c r="W77" s="2724"/>
      <c r="X77" s="2724"/>
      <c r="Y77" s="2724"/>
      <c r="Z77" s="2724"/>
      <c r="AA77" s="2724"/>
      <c r="AB77" s="2724"/>
      <c r="AC77" s="2724"/>
    </row>
    <row r="78" spans="1:29" s="422" customFormat="1" ht="15.75" thickBot="1">
      <c r="A78" s="502"/>
      <c r="B78" s="492"/>
      <c r="C78" s="509"/>
      <c r="D78" s="509"/>
      <c r="E78" s="509"/>
      <c r="F78" s="509"/>
      <c r="G78" s="485"/>
      <c r="H78" s="485"/>
      <c r="I78" s="485"/>
      <c r="J78" s="485"/>
      <c r="K78" s="485"/>
      <c r="L78" s="485"/>
      <c r="M78" s="486"/>
      <c r="N78" s="2732"/>
      <c r="O78" s="2732"/>
      <c r="P78" s="2740"/>
      <c r="Q78" s="2723"/>
      <c r="R78" s="2724"/>
      <c r="S78" s="2724"/>
      <c r="T78" s="2724"/>
      <c r="U78" s="2724"/>
      <c r="V78" s="2724"/>
      <c r="W78" s="2724"/>
      <c r="X78" s="2724"/>
      <c r="Y78" s="2724"/>
      <c r="Z78" s="2724"/>
      <c r="AA78" s="2724"/>
      <c r="AB78" s="2724"/>
      <c r="AC78" s="2724"/>
    </row>
    <row r="79" spans="1:29" ht="27.75" thickTop="1">
      <c r="A79" s="476" t="s">
        <v>1678</v>
      </c>
      <c r="B79" s="477" t="s">
        <v>1837</v>
      </c>
      <c r="C79" s="478" t="str">
        <f>C26</f>
        <v>车库</v>
      </c>
      <c r="D79" s="479"/>
      <c r="E79" s="479"/>
      <c r="F79" s="479"/>
      <c r="G79" s="479"/>
      <c r="H79" s="479"/>
      <c r="I79" s="479"/>
      <c r="J79" s="479"/>
      <c r="K79" s="480"/>
      <c r="L79" s="481"/>
      <c r="M79" s="482"/>
      <c r="N79" s="2730"/>
      <c r="O79" s="2730"/>
      <c r="P79" s="2739"/>
      <c r="Q79" s="2716"/>
      <c r="R79" s="2702"/>
      <c r="S79" s="2702"/>
      <c r="T79" s="2702"/>
      <c r="U79" s="2702"/>
      <c r="V79" s="2702"/>
      <c r="W79" s="2702"/>
      <c r="X79" s="2702"/>
      <c r="Y79" s="2702"/>
      <c r="Z79" s="2702"/>
      <c r="AA79" s="2702"/>
      <c r="AB79" s="2702"/>
      <c r="AC79" s="270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31"/>
      <c r="O80" s="2731"/>
      <c r="P80" s="2739"/>
      <c r="Q80" s="2716"/>
      <c r="R80" s="2702"/>
      <c r="S80" s="2702"/>
      <c r="T80" s="2702"/>
      <c r="U80" s="2702"/>
      <c r="V80" s="2702"/>
      <c r="W80" s="2702"/>
      <c r="X80" s="2702"/>
      <c r="Y80" s="2702"/>
      <c r="Z80" s="2702"/>
      <c r="AA80" s="2702"/>
      <c r="AB80" s="2702"/>
      <c r="AC80" s="2702"/>
    </row>
    <row r="81" spans="1:29" ht="15.75" thickTop="1">
      <c r="A81" s="483"/>
      <c r="B81" s="487" t="s">
        <v>1838</v>
      </c>
      <c r="C81" s="609"/>
      <c r="D81" s="609"/>
      <c r="E81" s="609"/>
      <c r="F81" s="609"/>
      <c r="G81" s="609"/>
      <c r="H81" s="609"/>
      <c r="I81" s="609"/>
      <c r="J81" s="609"/>
      <c r="K81" s="610"/>
      <c r="L81" s="611"/>
      <c r="M81" s="612"/>
      <c r="N81" s="2729"/>
      <c r="O81" s="2729"/>
      <c r="P81" s="2739"/>
      <c r="Q81" s="2716"/>
      <c r="R81" s="2702"/>
      <c r="S81" s="2702"/>
      <c r="T81" s="2702"/>
      <c r="U81" s="2702"/>
      <c r="V81" s="2702"/>
      <c r="W81" s="2702"/>
      <c r="X81" s="2702"/>
      <c r="Y81" s="2702"/>
      <c r="Z81" s="2702"/>
      <c r="AA81" s="2702"/>
      <c r="AB81" s="2702"/>
      <c r="AC81" s="2702"/>
    </row>
    <row r="82" spans="1:29" s="422" customFormat="1" ht="15.75" thickBot="1">
      <c r="A82" s="502"/>
      <c r="B82" s="492"/>
      <c r="C82" s="509"/>
      <c r="D82" s="485"/>
      <c r="E82" s="485"/>
      <c r="F82" s="485"/>
      <c r="G82" s="485"/>
      <c r="H82" s="485"/>
      <c r="I82" s="485"/>
      <c r="J82" s="485"/>
      <c r="K82" s="485"/>
      <c r="L82" s="485"/>
      <c r="M82" s="486"/>
      <c r="N82" s="2731"/>
      <c r="O82" s="2731"/>
      <c r="P82" s="2740"/>
      <c r="Q82" s="2723"/>
      <c r="R82" s="2724"/>
      <c r="S82" s="2724"/>
      <c r="T82" s="2724"/>
      <c r="U82" s="2724"/>
      <c r="V82" s="2724"/>
      <c r="W82" s="2724"/>
      <c r="X82" s="2724"/>
      <c r="Y82" s="2724"/>
      <c r="Z82" s="2724"/>
      <c r="AA82" s="2724"/>
      <c r="AB82" s="2724"/>
      <c r="AC82" s="2724"/>
    </row>
    <row r="83" spans="1:29" ht="15" thickTop="1">
      <c r="A83" s="548"/>
      <c r="B83" s="487" t="s">
        <v>1724</v>
      </c>
      <c r="C83" s="503"/>
      <c r="D83" s="503"/>
      <c r="E83" s="532"/>
      <c r="F83" s="532"/>
      <c r="G83" s="532"/>
      <c r="H83" s="532"/>
      <c r="I83" s="532"/>
      <c r="J83" s="532"/>
      <c r="K83" s="533"/>
      <c r="L83" s="534"/>
      <c r="M83" s="535"/>
      <c r="N83" s="2730"/>
      <c r="O83" s="2730"/>
      <c r="P83" s="2739"/>
      <c r="Q83" s="2716"/>
      <c r="R83" s="2702"/>
      <c r="S83" s="2702"/>
      <c r="T83" s="2702"/>
      <c r="U83" s="2702"/>
      <c r="V83" s="2702"/>
      <c r="W83" s="2702"/>
      <c r="X83" s="2702"/>
      <c r="Y83" s="2702"/>
      <c r="Z83" s="2702"/>
      <c r="AA83" s="2702"/>
      <c r="AB83" s="2702"/>
      <c r="AC83" s="270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31"/>
      <c r="O84" s="2731"/>
      <c r="P84" s="2739"/>
      <c r="Q84" s="2716"/>
      <c r="R84" s="2702"/>
      <c r="S84" s="2702"/>
      <c r="T84" s="2702"/>
      <c r="U84" s="2702"/>
      <c r="V84" s="2702"/>
      <c r="W84" s="2702"/>
      <c r="X84" s="2702"/>
      <c r="Y84" s="2702"/>
      <c r="Z84" s="2702"/>
      <c r="AA84" s="2702"/>
      <c r="AB84" s="2702"/>
      <c r="AC84" s="2702"/>
    </row>
    <row r="85" spans="1:29" ht="15" thickTop="1">
      <c r="A85" s="548"/>
      <c r="B85" s="487" t="s">
        <v>1839</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30"/>
      <c r="O85" s="2730"/>
      <c r="P85" s="2739"/>
      <c r="Q85" s="2716"/>
      <c r="R85" s="2702"/>
      <c r="S85" s="2702"/>
      <c r="T85" s="2702"/>
      <c r="U85" s="2702"/>
      <c r="V85" s="2702"/>
      <c r="W85" s="2702"/>
      <c r="X85" s="2702"/>
      <c r="Y85" s="2702"/>
      <c r="Z85" s="2702"/>
      <c r="AA85" s="2702"/>
      <c r="AB85" s="2702"/>
      <c r="AC85" s="2702"/>
    </row>
    <row r="86" spans="1:29">
      <c r="A86" s="548"/>
      <c r="B86" s="495"/>
      <c r="C86" s="552">
        <v>0.5</v>
      </c>
      <c r="D86" s="552">
        <v>0.6</v>
      </c>
      <c r="E86" s="552">
        <v>0.7</v>
      </c>
      <c r="F86" s="552">
        <v>0.8</v>
      </c>
      <c r="G86" s="552">
        <v>0.9</v>
      </c>
      <c r="H86" s="552">
        <v>1.0001</v>
      </c>
      <c r="I86" s="571"/>
      <c r="J86" s="571"/>
      <c r="K86" s="572"/>
      <c r="L86" s="573"/>
      <c r="M86" s="574"/>
      <c r="N86" s="2730"/>
      <c r="O86" s="2730"/>
      <c r="P86" s="2739"/>
      <c r="Q86" s="2716"/>
      <c r="R86" s="2702"/>
      <c r="S86" s="2702"/>
      <c r="T86" s="2702"/>
      <c r="U86" s="2702"/>
      <c r="V86" s="2702"/>
      <c r="W86" s="2702"/>
      <c r="X86" s="2702"/>
      <c r="Y86" s="2702"/>
      <c r="Z86" s="2702"/>
      <c r="AA86" s="2702"/>
      <c r="AB86" s="2702"/>
      <c r="AC86" s="270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31"/>
      <c r="O87" s="2731"/>
      <c r="P87" s="2739"/>
      <c r="Q87" s="2716"/>
      <c r="R87" s="2702"/>
      <c r="S87" s="2702"/>
      <c r="T87" s="2702"/>
      <c r="U87" s="2702"/>
      <c r="V87" s="2702"/>
      <c r="W87" s="2702"/>
      <c r="X87" s="2702"/>
      <c r="Y87" s="2702"/>
      <c r="Z87" s="2702"/>
      <c r="AA87" s="2702"/>
      <c r="AB87" s="2702"/>
      <c r="AC87" s="2702"/>
    </row>
    <row r="88" spans="1:29" ht="15" thickTop="1">
      <c r="A88" s="548"/>
      <c r="B88" s="495" t="s">
        <v>1840</v>
      </c>
      <c r="C88" s="479"/>
      <c r="D88" s="479"/>
      <c r="E88" s="479"/>
      <c r="F88" s="479"/>
      <c r="G88" s="479"/>
      <c r="H88" s="479"/>
      <c r="I88" s="479"/>
      <c r="J88" s="479"/>
      <c r="K88" s="480"/>
      <c r="L88" s="481"/>
      <c r="M88" s="482"/>
      <c r="N88" s="2730"/>
      <c r="O88" s="2730"/>
      <c r="P88" s="2739"/>
      <c r="Q88" s="2716"/>
      <c r="R88" s="2702"/>
      <c r="S88" s="2702"/>
      <c r="T88" s="2702"/>
      <c r="U88" s="2702"/>
      <c r="V88" s="2702"/>
      <c r="W88" s="2702"/>
      <c r="X88" s="2702"/>
      <c r="Y88" s="2702"/>
      <c r="Z88" s="2702"/>
      <c r="AA88" s="2702"/>
      <c r="AB88" s="2702"/>
      <c r="AC88" s="270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31"/>
      <c r="O89" s="2731"/>
      <c r="P89" s="2739"/>
      <c r="Q89" s="2716"/>
      <c r="R89" s="2702"/>
      <c r="S89" s="2702"/>
      <c r="T89" s="2702"/>
      <c r="U89" s="2702"/>
      <c r="V89" s="2702"/>
      <c r="W89" s="2702"/>
      <c r="X89" s="2702"/>
      <c r="Y89" s="2702"/>
      <c r="Z89" s="2702"/>
      <c r="AA89" s="2702"/>
      <c r="AB89" s="2702"/>
      <c r="AC89" s="2702"/>
    </row>
    <row r="90" spans="1:29" s="422" customFormat="1" ht="15" thickTop="1">
      <c r="A90" s="542"/>
      <c r="B90" s="487" t="s">
        <v>1841</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32"/>
      <c r="O90" s="2732"/>
      <c r="P90" s="2740"/>
      <c r="Q90" s="2723"/>
      <c r="R90" s="2724"/>
      <c r="S90" s="2724"/>
      <c r="T90" s="2724"/>
      <c r="U90" s="2724"/>
      <c r="V90" s="2724"/>
      <c r="W90" s="2724"/>
      <c r="X90" s="2724"/>
      <c r="Y90" s="2724"/>
      <c r="Z90" s="2724"/>
      <c r="AA90" s="2724"/>
      <c r="AB90" s="2724"/>
      <c r="AC90" s="2724"/>
    </row>
    <row r="91" spans="1:29" s="422" customFormat="1">
      <c r="A91" s="542"/>
      <c r="B91" s="495"/>
      <c r="C91" s="544"/>
      <c r="D91" s="544"/>
      <c r="E91" s="544"/>
      <c r="F91" s="544"/>
      <c r="G91" s="544"/>
      <c r="H91" s="544"/>
      <c r="I91" s="544"/>
      <c r="J91" s="545"/>
      <c r="K91" s="545"/>
      <c r="L91" s="546"/>
      <c r="M91" s="547"/>
      <c r="N91" s="2732"/>
      <c r="O91" s="2732"/>
      <c r="P91" s="2740"/>
      <c r="Q91" s="2723"/>
      <c r="R91" s="2724"/>
      <c r="S91" s="2724"/>
      <c r="T91" s="2724"/>
      <c r="U91" s="2724"/>
      <c r="V91" s="2724"/>
      <c r="W91" s="2724"/>
      <c r="X91" s="2724"/>
      <c r="Y91" s="2724"/>
      <c r="Z91" s="2724"/>
      <c r="AA91" s="2724"/>
      <c r="AB91" s="2724"/>
      <c r="AC91" s="2724"/>
    </row>
    <row r="92" spans="1:29" s="422" customFormat="1" ht="15.75" thickBot="1">
      <c r="A92" s="502"/>
      <c r="B92" s="492"/>
      <c r="C92" s="509"/>
      <c r="D92" s="485"/>
      <c r="E92" s="485"/>
      <c r="F92" s="485"/>
      <c r="G92" s="485"/>
      <c r="H92" s="485"/>
      <c r="I92" s="485"/>
      <c r="J92" s="485"/>
      <c r="K92" s="485"/>
      <c r="L92" s="485"/>
      <c r="M92" s="486"/>
      <c r="N92" s="2732"/>
      <c r="O92" s="2732"/>
      <c r="P92" s="2740"/>
      <c r="Q92" s="2723"/>
      <c r="R92" s="2724"/>
      <c r="S92" s="2724"/>
      <c r="T92" s="2724"/>
      <c r="U92" s="2724"/>
      <c r="V92" s="2724"/>
      <c r="W92" s="2724"/>
      <c r="X92" s="2724"/>
      <c r="Y92" s="2724"/>
      <c r="Z92" s="2724"/>
      <c r="AA92" s="2724"/>
      <c r="AB92" s="2724"/>
      <c r="AC92" s="2724"/>
    </row>
    <row r="93" spans="1:29" ht="15" thickTop="1">
      <c r="A93" s="548"/>
      <c r="B93" s="487" t="s">
        <v>1842</v>
      </c>
      <c r="C93" s="503"/>
      <c r="D93" s="503"/>
      <c r="E93" s="532"/>
      <c r="F93" s="532"/>
      <c r="G93" s="532"/>
      <c r="H93" s="532"/>
      <c r="I93" s="532"/>
      <c r="J93" s="532"/>
      <c r="K93" s="533"/>
      <c r="L93" s="534"/>
      <c r="M93" s="535"/>
      <c r="N93" s="2730"/>
      <c r="O93" s="2730"/>
      <c r="P93" s="2739"/>
      <c r="Q93" s="2716"/>
      <c r="R93" s="2702"/>
      <c r="S93" s="2702"/>
      <c r="T93" s="2702"/>
      <c r="U93" s="2702"/>
      <c r="V93" s="2702"/>
      <c r="W93" s="2702"/>
      <c r="X93" s="2702"/>
      <c r="Y93" s="2702"/>
      <c r="Z93" s="2702"/>
      <c r="AA93" s="2702"/>
      <c r="AB93" s="2702"/>
      <c r="AC93" s="270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31"/>
      <c r="O94" s="2731"/>
      <c r="P94" s="2739"/>
      <c r="Q94" s="2716"/>
      <c r="R94" s="2702"/>
      <c r="S94" s="2702"/>
      <c r="T94" s="2702"/>
      <c r="U94" s="2702"/>
      <c r="V94" s="2702"/>
      <c r="W94" s="2702"/>
      <c r="X94" s="2702"/>
      <c r="Y94" s="2702"/>
      <c r="Z94" s="2702"/>
      <c r="AA94" s="2702"/>
      <c r="AB94" s="2702"/>
      <c r="AC94" s="2702"/>
    </row>
    <row r="95" spans="1:29" ht="15" thickTop="1">
      <c r="A95" s="548"/>
      <c r="B95" s="487" t="s">
        <v>1843</v>
      </c>
      <c r="C95" s="479"/>
      <c r="D95" s="479"/>
      <c r="E95" s="479"/>
      <c r="F95" s="479"/>
      <c r="G95" s="479"/>
      <c r="H95" s="479"/>
      <c r="I95" s="479"/>
      <c r="J95" s="479"/>
      <c r="K95" s="480"/>
      <c r="L95" s="481"/>
      <c r="M95" s="482"/>
      <c r="N95" s="2730"/>
      <c r="O95" s="2730"/>
      <c r="P95" s="2739"/>
      <c r="Q95" s="2716"/>
      <c r="R95" s="2702"/>
      <c r="S95" s="2702"/>
      <c r="T95" s="2702"/>
      <c r="U95" s="2702"/>
      <c r="V95" s="2702"/>
      <c r="W95" s="2702"/>
      <c r="X95" s="2702"/>
      <c r="Y95" s="2702"/>
      <c r="Z95" s="2702"/>
      <c r="AA95" s="2702"/>
      <c r="AB95" s="2702"/>
      <c r="AC95" s="270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31"/>
      <c r="O96" s="2731"/>
      <c r="P96" s="2739"/>
      <c r="Q96" s="2716"/>
      <c r="R96" s="2702"/>
      <c r="S96" s="2702"/>
      <c r="T96" s="2702"/>
      <c r="U96" s="2702"/>
      <c r="V96" s="2702"/>
      <c r="W96" s="2702"/>
      <c r="X96" s="2702"/>
      <c r="Y96" s="2702"/>
      <c r="Z96" s="2702"/>
      <c r="AA96" s="2702"/>
      <c r="AB96" s="2702"/>
      <c r="AC96" s="2702"/>
    </row>
    <row r="97" spans="1:29" ht="15" thickTop="1">
      <c r="A97" s="548"/>
      <c r="B97" s="584">
        <f>B34</f>
        <v>111</v>
      </c>
      <c r="C97" s="498"/>
      <c r="D97" s="498"/>
      <c r="E97" s="498"/>
      <c r="F97" s="498"/>
      <c r="G97" s="503"/>
      <c r="H97" s="504"/>
      <c r="I97" s="504"/>
      <c r="J97" s="504"/>
      <c r="K97" s="504"/>
      <c r="L97" s="505"/>
      <c r="M97" s="506"/>
      <c r="N97" s="2731"/>
      <c r="O97" s="2731"/>
      <c r="P97" s="2744"/>
      <c r="Q97" s="2745"/>
      <c r="R97" s="2702"/>
      <c r="S97" s="2702"/>
      <c r="T97" s="2702"/>
      <c r="U97" s="2702"/>
      <c r="V97" s="2702"/>
      <c r="W97" s="2702"/>
      <c r="X97" s="2702"/>
      <c r="Y97" s="2702"/>
      <c r="Z97" s="2702"/>
      <c r="AA97" s="2702"/>
      <c r="AB97" s="2702"/>
      <c r="AC97" s="2702"/>
    </row>
    <row r="98" spans="1:29" ht="15.75" thickBot="1">
      <c r="A98" s="483"/>
      <c r="B98" s="492"/>
      <c r="C98" s="509"/>
      <c r="D98" s="485"/>
      <c r="E98" s="485"/>
      <c r="F98" s="485"/>
      <c r="G98" s="509"/>
      <c r="H98" s="511"/>
      <c r="I98" s="511"/>
      <c r="J98" s="511"/>
      <c r="K98" s="511"/>
      <c r="L98" s="511"/>
      <c r="M98" s="512"/>
      <c r="N98" s="2731"/>
      <c r="O98" s="2731"/>
      <c r="P98" s="2739"/>
      <c r="Q98" s="2716"/>
      <c r="R98" s="2702"/>
      <c r="S98" s="2702"/>
      <c r="T98" s="2702"/>
      <c r="U98" s="2702"/>
      <c r="V98" s="2702"/>
      <c r="W98" s="2702"/>
      <c r="X98" s="2702"/>
      <c r="Y98" s="2702"/>
      <c r="Z98" s="2702"/>
      <c r="AA98" s="2702"/>
      <c r="AB98" s="2702"/>
      <c r="AC98" s="2702"/>
    </row>
    <row r="99" spans="1:29" s="422" customFormat="1" ht="15" thickTop="1">
      <c r="A99" s="542"/>
      <c r="B99" s="487">
        <f>B35</f>
        <v>111</v>
      </c>
      <c r="C99" s="498"/>
      <c r="D99" s="498"/>
      <c r="E99" s="498"/>
      <c r="F99" s="498"/>
      <c r="G99" s="503"/>
      <c r="H99" s="504"/>
      <c r="I99" s="504"/>
      <c r="J99" s="504"/>
      <c r="K99" s="504"/>
      <c r="L99" s="505"/>
      <c r="M99" s="506"/>
      <c r="N99" s="2732"/>
      <c r="O99" s="2732"/>
      <c r="P99" s="2740"/>
      <c r="Q99" s="2723"/>
      <c r="R99" s="2724"/>
      <c r="S99" s="2724"/>
      <c r="T99" s="2724"/>
      <c r="U99" s="2724"/>
      <c r="V99" s="2724"/>
      <c r="W99" s="2724"/>
      <c r="X99" s="2724"/>
      <c r="Y99" s="2724"/>
      <c r="Z99" s="2724"/>
      <c r="AA99" s="2724"/>
      <c r="AB99" s="2724"/>
      <c r="AC99" s="2724"/>
    </row>
    <row r="100" spans="1:29" s="422" customFormat="1" ht="15.75" thickBot="1">
      <c r="A100" s="502"/>
      <c r="B100" s="484"/>
      <c r="C100" s="509"/>
      <c r="D100" s="485"/>
      <c r="E100" s="485"/>
      <c r="F100" s="485"/>
      <c r="G100" s="509"/>
      <c r="H100" s="511"/>
      <c r="I100" s="511"/>
      <c r="J100" s="511"/>
      <c r="K100" s="511"/>
      <c r="L100" s="511"/>
      <c r="M100" s="512"/>
      <c r="N100" s="2732"/>
      <c r="O100" s="2732"/>
      <c r="P100" s="2740"/>
      <c r="Q100" s="2723"/>
      <c r="R100" s="2724"/>
      <c r="S100" s="2724"/>
      <c r="T100" s="2724"/>
      <c r="U100" s="2724"/>
      <c r="V100" s="2724"/>
      <c r="W100" s="2724"/>
      <c r="X100" s="2724"/>
      <c r="Y100" s="2724"/>
      <c r="Z100" s="2724"/>
      <c r="AA100" s="2724"/>
      <c r="AB100" s="2724"/>
      <c r="AC100" s="2724"/>
    </row>
    <row r="101" spans="1:29" ht="15" thickTop="1">
      <c r="A101" s="548"/>
      <c r="B101" s="487">
        <f>B36</f>
        <v>111</v>
      </c>
      <c r="C101" s="503"/>
      <c r="D101" s="503"/>
      <c r="E101" s="503"/>
      <c r="F101" s="503"/>
      <c r="G101" s="503"/>
      <c r="H101" s="504"/>
      <c r="I101" s="504"/>
      <c r="J101" s="504"/>
      <c r="K101" s="504"/>
      <c r="L101" s="505"/>
      <c r="M101" s="506"/>
      <c r="N101" s="2730"/>
      <c r="O101" s="2730"/>
      <c r="P101" s="2739"/>
      <c r="Q101" s="2716"/>
      <c r="R101" s="2702"/>
      <c r="S101" s="2702"/>
      <c r="T101" s="2702"/>
      <c r="U101" s="2702"/>
      <c r="V101" s="2702"/>
      <c r="W101" s="2702"/>
      <c r="X101" s="2702"/>
      <c r="Y101" s="2702"/>
      <c r="Z101" s="2702"/>
      <c r="AA101" s="2702"/>
      <c r="AB101" s="2702"/>
      <c r="AC101" s="2702"/>
    </row>
    <row r="102" spans="1:29" ht="15.75" thickBot="1">
      <c r="A102" s="483"/>
      <c r="B102" s="492"/>
      <c r="C102" s="509"/>
      <c r="D102" s="509"/>
      <c r="E102" s="509"/>
      <c r="F102" s="509"/>
      <c r="G102" s="509"/>
      <c r="H102" s="511"/>
      <c r="I102" s="511"/>
      <c r="J102" s="511"/>
      <c r="K102" s="511"/>
      <c r="L102" s="511"/>
      <c r="M102" s="512"/>
      <c r="N102" s="2731"/>
      <c r="O102" s="2731"/>
      <c r="P102" s="2739"/>
      <c r="Q102" s="2716"/>
      <c r="R102" s="2702"/>
      <c r="S102" s="2702"/>
      <c r="T102" s="2702"/>
      <c r="U102" s="2702"/>
      <c r="V102" s="2702"/>
      <c r="W102" s="2702"/>
      <c r="X102" s="2702"/>
      <c r="Y102" s="2702"/>
      <c r="Z102" s="2702"/>
      <c r="AA102" s="2702"/>
      <c r="AB102" s="2702"/>
      <c r="AC102" s="2702"/>
    </row>
    <row r="103" spans="1:29" ht="15" thickTop="1">
      <c r="N103" s="2702"/>
      <c r="O103" s="2702"/>
      <c r="P103" s="2733"/>
      <c r="Q103" s="2702"/>
      <c r="R103" s="2702"/>
      <c r="S103" s="2702"/>
      <c r="T103" s="2702"/>
      <c r="U103" s="2702"/>
      <c r="V103" s="2702"/>
      <c r="W103" s="2702"/>
      <c r="X103" s="2702"/>
      <c r="Y103" s="2702"/>
      <c r="Z103" s="2702"/>
      <c r="AA103" s="2702"/>
      <c r="AB103" s="2702"/>
      <c r="AC103" s="270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8" priority="18" stopIfTrue="1" operator="containsText" text="超过">
      <formula>NOT(ISERROR(SEARCH("超过",F42)))</formula>
    </cfRule>
  </conditionalFormatting>
  <conditionalFormatting sqref="J44">
    <cfRule type="containsText" dxfId="87" priority="17" stopIfTrue="1" operator="containsText" text="超过">
      <formula>NOT(ISERROR(SEARCH("超过",J44)))</formula>
    </cfRule>
  </conditionalFormatting>
  <conditionalFormatting sqref="H44">
    <cfRule type="containsText" dxfId="86" priority="16" stopIfTrue="1" operator="containsText" text="超过">
      <formula>NOT(ISERROR(SEARCH("超过",H44)))</formula>
    </cfRule>
  </conditionalFormatting>
  <conditionalFormatting sqref="F44">
    <cfRule type="containsText" dxfId="85" priority="15" stopIfTrue="1" operator="containsText" text="超过">
      <formula>NOT(ISERROR(SEARCH("超过",F44)))</formula>
    </cfRule>
  </conditionalFormatting>
  <conditionalFormatting sqref="F43 H43 J43">
    <cfRule type="containsText" dxfId="84" priority="14" stopIfTrue="1" operator="containsText" text="超过">
      <formula>NOT(ISERROR(SEARCH("超过",F43)))</formula>
    </cfRule>
  </conditionalFormatting>
  <conditionalFormatting sqref="E42">
    <cfRule type="expression" dxfId="83" priority="13" stopIfTrue="1">
      <formula>$F$42="超过30%"</formula>
    </cfRule>
  </conditionalFormatting>
  <conditionalFormatting sqref="G44">
    <cfRule type="expression" dxfId="82" priority="12" stopIfTrue="1">
      <formula>$H$54+$H$44="超过30%"</formula>
    </cfRule>
  </conditionalFormatting>
  <conditionalFormatting sqref="E43">
    <cfRule type="expression" dxfId="81" priority="11" stopIfTrue="1">
      <formula>$F$43="超过20%"</formula>
    </cfRule>
  </conditionalFormatting>
  <conditionalFormatting sqref="E44">
    <cfRule type="expression" dxfId="80" priority="10" stopIfTrue="1">
      <formula>$F$44="超过30%"</formula>
    </cfRule>
  </conditionalFormatting>
  <conditionalFormatting sqref="G42">
    <cfRule type="expression" dxfId="79" priority="9" stopIfTrue="1">
      <formula>$H$52+$H$42="超过30%"</formula>
    </cfRule>
  </conditionalFormatting>
  <conditionalFormatting sqref="G43">
    <cfRule type="expression" dxfId="78" priority="8" stopIfTrue="1">
      <formula>$H$43="超过20%"</formula>
    </cfRule>
  </conditionalFormatting>
  <conditionalFormatting sqref="I42">
    <cfRule type="expression" dxfId="77" priority="7" stopIfTrue="1">
      <formula>$J$52+$J$42="超过30%"</formula>
    </cfRule>
  </conditionalFormatting>
  <conditionalFormatting sqref="I43">
    <cfRule type="expression" dxfId="76" priority="6" stopIfTrue="1">
      <formula>$J$53+$J$43="超过20%"</formula>
    </cfRule>
  </conditionalFormatting>
  <conditionalFormatting sqref="I44">
    <cfRule type="expression" dxfId="75" priority="5" stopIfTrue="1">
      <formula>$J$44="超过30%"</formula>
    </cfRule>
  </conditionalFormatting>
  <conditionalFormatting sqref="F38">
    <cfRule type="expression" dxfId="74" priority="4">
      <formula>$D$38="简单平均"</formula>
    </cfRule>
  </conditionalFormatting>
  <conditionalFormatting sqref="H38">
    <cfRule type="expression" dxfId="73" priority="3">
      <formula>$D$38="简单平均"</formula>
    </cfRule>
  </conditionalFormatting>
  <conditionalFormatting sqref="J38">
    <cfRule type="expression" dxfId="72" priority="2">
      <formula>$D$38="简单平均"</formula>
    </cfRule>
  </conditionalFormatting>
  <conditionalFormatting sqref="F7:F36 H7:H36 J7:J36">
    <cfRule type="cellIs" dxfId="7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1815</v>
      </c>
      <c r="B1" s="1223" t="s">
        <v>3318</v>
      </c>
      <c r="C1" s="1224" t="s">
        <v>1646</v>
      </c>
      <c r="D1" s="1225"/>
      <c r="E1" s="3410"/>
      <c r="F1" s="1879"/>
      <c r="G1" s="1235" t="s">
        <v>1751</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1446</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1447</v>
      </c>
      <c r="F2" s="1883"/>
      <c r="G2" s="908"/>
      <c r="H2" s="908"/>
      <c r="I2" s="908"/>
      <c r="J2" s="908"/>
      <c r="K2" s="910"/>
      <c r="L2" s="2711"/>
      <c r="M2" s="2712"/>
      <c r="N2" s="2712"/>
      <c r="O2" s="2712"/>
      <c r="P2" s="699"/>
      <c r="Q2" s="699"/>
      <c r="R2" s="699"/>
      <c r="S2" s="699"/>
      <c r="T2" s="699"/>
      <c r="U2" s="699"/>
      <c r="V2" s="699"/>
      <c r="W2" s="699"/>
      <c r="X2" s="699"/>
      <c r="Y2" s="699"/>
      <c r="Z2" s="699"/>
      <c r="AA2" s="699"/>
      <c r="AB2" s="699"/>
      <c r="AC2" s="700"/>
    </row>
    <row r="3" spans="1:29" s="352" customFormat="1" ht="28.5" customHeight="1" thickBot="1">
      <c r="A3" s="203" t="s">
        <v>1448</v>
      </c>
      <c r="B3" s="558" t="e">
        <f>IF(C2="——",C37,ROUND(B2*10000/D3,0))</f>
        <v>#DIV/0!</v>
      </c>
      <c r="C3" s="354" t="s">
        <v>1752</v>
      </c>
      <c r="D3" s="353">
        <f>SUMIF('数据-汇总表'!$C19:$C33,D1,'数据-汇总表'!$E19:$E33)</f>
        <v>0</v>
      </c>
      <c r="E3" s="908"/>
      <c r="F3" s="909"/>
      <c r="G3" s="908"/>
      <c r="H3" s="908"/>
      <c r="I3" s="908"/>
      <c r="J3" s="908"/>
      <c r="K3" s="910"/>
      <c r="L3" s="2711"/>
      <c r="M3" s="2712"/>
      <c r="N3" s="2712"/>
      <c r="O3" s="2712"/>
      <c r="P3" s="699"/>
      <c r="Q3" s="699"/>
      <c r="R3" s="699"/>
      <c r="S3" s="699"/>
      <c r="T3" s="699"/>
      <c r="U3" s="699"/>
      <c r="V3" s="699"/>
      <c r="W3" s="699"/>
      <c r="X3" s="699"/>
      <c r="Y3" s="699"/>
      <c r="Z3" s="699"/>
      <c r="AA3" s="699"/>
      <c r="AB3" s="716"/>
      <c r="AC3" s="713"/>
    </row>
    <row r="4" spans="1:29" ht="15">
      <c r="A4" s="355" t="s">
        <v>1753</v>
      </c>
      <c r="B4" s="356"/>
      <c r="C4" s="3922" t="s">
        <v>1754</v>
      </c>
      <c r="D4" s="3923"/>
      <c r="E4" s="3924" t="s">
        <v>1755</v>
      </c>
      <c r="F4" s="3925"/>
      <c r="G4" s="3922" t="s">
        <v>1756</v>
      </c>
      <c r="H4" s="3923"/>
      <c r="I4" s="3922" t="s">
        <v>1757</v>
      </c>
      <c r="J4" s="3923"/>
      <c r="K4" s="559" t="s">
        <v>1758</v>
      </c>
      <c r="L4" s="2692"/>
      <c r="M4" s="2693"/>
      <c r="N4" s="2693"/>
      <c r="O4" s="2693"/>
      <c r="P4" s="3963" t="s">
        <v>1759</v>
      </c>
      <c r="Q4" s="3964"/>
      <c r="R4" s="3967" t="s">
        <v>1755</v>
      </c>
      <c r="S4" s="3968"/>
      <c r="T4" s="3967" t="s">
        <v>1756</v>
      </c>
      <c r="U4" s="3968"/>
      <c r="V4" s="3939" t="s">
        <v>1757</v>
      </c>
      <c r="W4" s="3939"/>
      <c r="X4" s="1355"/>
      <c r="Y4" s="3967" t="s">
        <v>1759</v>
      </c>
      <c r="Z4" s="3968"/>
      <c r="AA4" s="3962" t="s">
        <v>1755</v>
      </c>
      <c r="AB4" s="3953" t="s">
        <v>1756</v>
      </c>
      <c r="AC4" s="3962" t="s">
        <v>1757</v>
      </c>
    </row>
    <row r="5" spans="1:29" ht="15">
      <c r="A5" s="358"/>
      <c r="B5" s="359"/>
      <c r="C5" s="3948" t="s">
        <v>1657</v>
      </c>
      <c r="D5" s="3943"/>
      <c r="E5" s="3955" t="s">
        <v>1658</v>
      </c>
      <c r="F5" s="3956"/>
      <c r="G5" s="3948" t="s">
        <v>1659</v>
      </c>
      <c r="H5" s="3943"/>
      <c r="I5" s="3948" t="s">
        <v>1660</v>
      </c>
      <c r="J5" s="3943"/>
      <c r="K5" s="559"/>
      <c r="L5" s="2692"/>
      <c r="M5" s="2693"/>
      <c r="N5" s="2693"/>
      <c r="O5" s="2693"/>
      <c r="P5" s="3965"/>
      <c r="Q5" s="3929"/>
      <c r="R5" s="3934"/>
      <c r="S5" s="3935"/>
      <c r="T5" s="3934"/>
      <c r="U5" s="3935"/>
      <c r="V5" s="3939"/>
      <c r="W5" s="3939"/>
      <c r="X5" s="1355"/>
      <c r="Y5" s="3934"/>
      <c r="Z5" s="3935"/>
      <c r="AA5" s="3953"/>
      <c r="AB5" s="3953"/>
      <c r="AC5" s="3953"/>
    </row>
    <row r="6" spans="1:29" ht="15.75" thickBot="1">
      <c r="A6" s="360"/>
      <c r="B6" s="361"/>
      <c r="C6" s="3940" t="s">
        <v>1661</v>
      </c>
      <c r="D6" s="3941"/>
      <c r="E6" s="3950" t="s">
        <v>1661</v>
      </c>
      <c r="F6" s="3951"/>
      <c r="G6" s="3940" t="s">
        <v>1661</v>
      </c>
      <c r="H6" s="3941"/>
      <c r="I6" s="3940" t="s">
        <v>1661</v>
      </c>
      <c r="J6" s="3941"/>
      <c r="K6" s="559" t="s">
        <v>1662</v>
      </c>
      <c r="L6" s="2692"/>
      <c r="M6" s="2693"/>
      <c r="N6" s="2693"/>
      <c r="O6" s="2693"/>
      <c r="P6" s="3966"/>
      <c r="Q6" s="3931"/>
      <c r="R6" s="3934"/>
      <c r="S6" s="3935"/>
      <c r="T6" s="3936"/>
      <c r="U6" s="3937"/>
      <c r="V6" s="3939"/>
      <c r="W6" s="3939"/>
      <c r="X6" s="1355"/>
      <c r="Y6" s="3936"/>
      <c r="Z6" s="3937"/>
      <c r="AA6" s="3954"/>
      <c r="AB6" s="3954"/>
      <c r="AC6" s="3954"/>
    </row>
    <row r="7" spans="1:29" s="108" customFormat="1" ht="15.75" thickBot="1">
      <c r="A7" s="362" t="s">
        <v>1663</v>
      </c>
      <c r="B7" s="363"/>
      <c r="C7" s="364">
        <f>'数据-取费表'!B2</f>
        <v>45287</v>
      </c>
      <c r="D7" s="365">
        <v>100</v>
      </c>
      <c r="E7" s="366"/>
      <c r="F7" s="367">
        <f>SUMIF(46:46,YEAR(E7)&amp;"-"&amp;MONTH(E7),47:47)</f>
        <v>0</v>
      </c>
      <c r="G7" s="1974"/>
      <c r="H7" s="365">
        <f>SUMIF(46:46,YEAR(G7)&amp;"-"&amp;MONTH(G7),47:47)</f>
        <v>0</v>
      </c>
      <c r="I7" s="366"/>
      <c r="J7" s="365">
        <f>SUMIF(46:46,YEAR(I7)&amp;"-"&amp;MONTH(I7),47:47)</f>
        <v>0</v>
      </c>
      <c r="K7" s="560"/>
      <c r="L7" s="2694"/>
      <c r="M7" s="2695"/>
      <c r="N7" s="2695"/>
      <c r="O7" s="2695"/>
      <c r="P7" s="3946" t="s">
        <v>1664</v>
      </c>
      <c r="Q7" s="3947"/>
      <c r="R7" s="701" t="s">
        <v>14</v>
      </c>
      <c r="S7" s="702">
        <f t="shared" ref="S7:S14" si="0">F7</f>
        <v>0</v>
      </c>
      <c r="T7" s="701" t="s">
        <v>14</v>
      </c>
      <c r="U7" s="702">
        <f t="shared" ref="U7:U14" si="1">H7</f>
        <v>0</v>
      </c>
      <c r="V7" s="701" t="s">
        <v>14</v>
      </c>
      <c r="W7" s="702">
        <f t="shared" ref="W7:W14" si="2">J7</f>
        <v>0</v>
      </c>
      <c r="X7" s="703"/>
      <c r="Y7" s="3946" t="s">
        <v>1664</v>
      </c>
      <c r="Z7" s="3945"/>
      <c r="AA7" s="704" t="e">
        <f>D7/F7</f>
        <v>#DIV/0!</v>
      </c>
      <c r="AB7" s="704" t="e">
        <f>D7/H7</f>
        <v>#DIV/0!</v>
      </c>
      <c r="AC7" s="704" t="e">
        <f>D7/J7</f>
        <v>#DIV/0!</v>
      </c>
    </row>
    <row r="8" spans="1:29" s="108" customFormat="1" ht="15.75" thickBot="1">
      <c r="A8" s="362" t="s">
        <v>1665</v>
      </c>
      <c r="B8" s="363"/>
      <c r="C8" s="368"/>
      <c r="D8" s="365">
        <v>100</v>
      </c>
      <c r="E8" s="368"/>
      <c r="F8" s="367">
        <f>SUMIF(49:49,E8,50:50)-SUMIF(49:49,C8,50:50)+100</f>
        <v>100</v>
      </c>
      <c r="G8" s="368"/>
      <c r="H8" s="365">
        <f>SUMIF(49:49,G8,50:50)-SUMIF(49:49,C8,50:50)+100</f>
        <v>100</v>
      </c>
      <c r="I8" s="368"/>
      <c r="J8" s="365">
        <f>SUMIF(49:49,I8,50:50)-SUMIF(49:49,C8,50:50)+100</f>
        <v>100</v>
      </c>
      <c r="K8" s="560"/>
      <c r="L8" s="2694"/>
      <c r="M8" s="2695"/>
      <c r="N8" s="2695"/>
      <c r="O8" s="2695"/>
      <c r="P8" s="3946" t="s">
        <v>1667</v>
      </c>
      <c r="Q8" s="3945"/>
      <c r="R8" s="701" t="s">
        <v>14</v>
      </c>
      <c r="S8" s="702">
        <f t="shared" si="0"/>
        <v>100</v>
      </c>
      <c r="T8" s="701" t="s">
        <v>14</v>
      </c>
      <c r="U8" s="702">
        <f t="shared" si="1"/>
        <v>100</v>
      </c>
      <c r="V8" s="701" t="s">
        <v>14</v>
      </c>
      <c r="W8" s="702">
        <f t="shared" si="2"/>
        <v>100</v>
      </c>
      <c r="X8" s="703"/>
      <c r="Y8" s="3946" t="s">
        <v>1667</v>
      </c>
      <c r="Z8" s="3945"/>
      <c r="AA8" s="704">
        <f t="shared" ref="AA8:AA34" si="3">D8/F8</f>
        <v>1</v>
      </c>
      <c r="AB8" s="704">
        <f t="shared" ref="AB8:AB34" si="4">D8/H8</f>
        <v>1</v>
      </c>
      <c r="AC8" s="704">
        <f t="shared" ref="AC8:AC34" si="5">D8/J8</f>
        <v>1</v>
      </c>
    </row>
    <row r="9" spans="1:29" s="108" customFormat="1">
      <c r="A9" s="369" t="s">
        <v>1668</v>
      </c>
      <c r="B9" s="63" t="s">
        <v>1669</v>
      </c>
      <c r="C9" s="370"/>
      <c r="D9" s="126">
        <v>100</v>
      </c>
      <c r="E9" s="373"/>
      <c r="F9" s="372">
        <f>SUMIF(51:51,E9,52:52)-SUMIF(51:51,C9,52:52)+100</f>
        <v>100</v>
      </c>
      <c r="G9" s="373"/>
      <c r="H9" s="126">
        <f>SUMIF(51:51,G9,52:52)-SUMIF(51:51,C9,52:52)+100</f>
        <v>100</v>
      </c>
      <c r="I9" s="373"/>
      <c r="J9" s="126">
        <f>SUMIF(51:51,I9,52:52)-SUMIF(51:51,C9,52:52)+100</f>
        <v>100</v>
      </c>
      <c r="K9" s="560"/>
      <c r="L9" s="2694"/>
      <c r="M9" s="2695"/>
      <c r="N9" s="2695"/>
      <c r="O9" s="2749"/>
      <c r="P9" s="3905" t="s">
        <v>1670</v>
      </c>
      <c r="Q9" s="1343" t="str">
        <f t="shared" ref="Q9:Q14" si="6">B9</f>
        <v>用途</v>
      </c>
      <c r="R9" s="701" t="s">
        <v>14</v>
      </c>
      <c r="S9" s="702">
        <f t="shared" si="0"/>
        <v>100</v>
      </c>
      <c r="T9" s="701" t="s">
        <v>14</v>
      </c>
      <c r="U9" s="702">
        <f t="shared" si="1"/>
        <v>100</v>
      </c>
      <c r="V9" s="701" t="s">
        <v>14</v>
      </c>
      <c r="W9" s="702">
        <f t="shared" si="2"/>
        <v>100</v>
      </c>
      <c r="X9" s="703"/>
      <c r="Y9" s="3783" t="s">
        <v>1671</v>
      </c>
      <c r="Z9" s="52" t="str">
        <f t="shared" ref="Z9:Z14" si="7">Q9</f>
        <v>用途</v>
      </c>
      <c r="AA9" s="704">
        <f t="shared" si="3"/>
        <v>1</v>
      </c>
      <c r="AB9" s="704">
        <f t="shared" si="4"/>
        <v>1</v>
      </c>
      <c r="AC9" s="704">
        <f t="shared" si="5"/>
        <v>1</v>
      </c>
    </row>
    <row r="10" spans="1:29" s="378" customFormat="1" ht="27">
      <c r="A10" s="374"/>
      <c r="B10" s="375" t="s">
        <v>1672</v>
      </c>
      <c r="C10" s="3411"/>
      <c r="D10" s="127">
        <v>100</v>
      </c>
      <c r="E10" s="3411"/>
      <c r="F10" s="376">
        <f>SUMIF(53:53,E10,54:54)-SUMIF(53:53,C10,54:54)+100</f>
        <v>100</v>
      </c>
      <c r="G10" s="3411"/>
      <c r="H10" s="127">
        <f>SUMIF(53:53,G10,54:54)-SUMIF(53:53,C10,54:54)+100</f>
        <v>100</v>
      </c>
      <c r="I10" s="3411"/>
      <c r="J10" s="127">
        <f>SUMIF(53:53,I10,54:54)-SUMIF(53:53,C10,54:54)+100</f>
        <v>100</v>
      </c>
      <c r="K10" s="560"/>
      <c r="L10" s="2696"/>
      <c r="M10" s="2697"/>
      <c r="N10" s="2697"/>
      <c r="O10" s="2750"/>
      <c r="P10" s="3905"/>
      <c r="Q10" s="1343" t="str">
        <f t="shared" si="6"/>
        <v>土地使用年限（年）</v>
      </c>
      <c r="R10" s="701" t="s">
        <v>14</v>
      </c>
      <c r="S10" s="702">
        <f t="shared" si="0"/>
        <v>100</v>
      </c>
      <c r="T10" s="701" t="s">
        <v>14</v>
      </c>
      <c r="U10" s="702">
        <f t="shared" si="1"/>
        <v>100</v>
      </c>
      <c r="V10" s="701" t="s">
        <v>14</v>
      </c>
      <c r="W10" s="702">
        <f t="shared" si="2"/>
        <v>100</v>
      </c>
      <c r="X10" s="703"/>
      <c r="Y10" s="378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698"/>
      <c r="M11" s="2693"/>
      <c r="N11" s="2693"/>
      <c r="O11" s="2751"/>
      <c r="P11" s="3905"/>
      <c r="Q11" s="1343">
        <f t="shared" si="6"/>
        <v>111</v>
      </c>
      <c r="R11" s="701" t="s">
        <v>14</v>
      </c>
      <c r="S11" s="702">
        <f t="shared" si="0"/>
        <v>100</v>
      </c>
      <c r="T11" s="701" t="s">
        <v>14</v>
      </c>
      <c r="U11" s="702">
        <f t="shared" si="1"/>
        <v>100</v>
      </c>
      <c r="V11" s="701" t="s">
        <v>14</v>
      </c>
      <c r="W11" s="702">
        <f t="shared" si="2"/>
        <v>100</v>
      </c>
      <c r="X11" s="703"/>
      <c r="Y11" s="378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694"/>
      <c r="M12" s="2695"/>
      <c r="N12" s="2695"/>
      <c r="O12" s="2749"/>
      <c r="P12" s="3905"/>
      <c r="Q12" s="1343">
        <f t="shared" si="6"/>
        <v>111</v>
      </c>
      <c r="R12" s="701" t="s">
        <v>14</v>
      </c>
      <c r="S12" s="702">
        <f t="shared" si="0"/>
        <v>100</v>
      </c>
      <c r="T12" s="701" t="s">
        <v>14</v>
      </c>
      <c r="U12" s="702">
        <f t="shared" si="1"/>
        <v>100</v>
      </c>
      <c r="V12" s="701" t="s">
        <v>14</v>
      </c>
      <c r="W12" s="702">
        <f t="shared" si="2"/>
        <v>100</v>
      </c>
      <c r="X12" s="703"/>
      <c r="Y12" s="378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699"/>
      <c r="M13" s="2693"/>
      <c r="N13" s="2693"/>
      <c r="O13" s="2751"/>
      <c r="P13" s="3905"/>
      <c r="Q13" s="1343">
        <f t="shared" si="6"/>
        <v>111</v>
      </c>
      <c r="R13" s="701" t="s">
        <v>14</v>
      </c>
      <c r="S13" s="702">
        <f t="shared" si="0"/>
        <v>100</v>
      </c>
      <c r="T13" s="701" t="s">
        <v>14</v>
      </c>
      <c r="U13" s="702">
        <f t="shared" si="1"/>
        <v>100</v>
      </c>
      <c r="V13" s="701" t="s">
        <v>14</v>
      </c>
      <c r="W13" s="702">
        <f t="shared" si="2"/>
        <v>100</v>
      </c>
      <c r="X13" s="703"/>
      <c r="Y13" s="3783"/>
      <c r="Z13" s="52">
        <f t="shared" si="7"/>
        <v>111</v>
      </c>
      <c r="AA13" s="704">
        <f t="shared" si="3"/>
        <v>1</v>
      </c>
      <c r="AB13" s="704">
        <f t="shared" si="4"/>
        <v>1</v>
      </c>
      <c r="AC13" s="704">
        <f t="shared" si="5"/>
        <v>1</v>
      </c>
    </row>
    <row r="14" spans="1:29" ht="15">
      <c r="A14" s="391" t="s">
        <v>1674</v>
      </c>
      <c r="B14" s="61" t="s">
        <v>1817</v>
      </c>
      <c r="C14" s="1971"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699"/>
      <c r="M14" s="2693"/>
      <c r="N14" s="2693"/>
      <c r="O14" s="2751"/>
      <c r="P14" s="3912" t="s">
        <v>1675</v>
      </c>
      <c r="Q14" s="1352" t="str">
        <f t="shared" si="6"/>
        <v>交通便捷度</v>
      </c>
      <c r="R14" s="705" t="s">
        <v>14</v>
      </c>
      <c r="S14" s="706">
        <f t="shared" si="0"/>
        <v>100</v>
      </c>
      <c r="T14" s="705" t="s">
        <v>14</v>
      </c>
      <c r="U14" s="706">
        <f t="shared" si="1"/>
        <v>100</v>
      </c>
      <c r="V14" s="705" t="s">
        <v>14</v>
      </c>
      <c r="W14" s="706">
        <f t="shared" si="2"/>
        <v>100</v>
      </c>
      <c r="X14" s="1355"/>
      <c r="Y14" s="3912" t="s">
        <v>1675</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699"/>
      <c r="M15" s="2693"/>
      <c r="N15" s="2693"/>
      <c r="O15" s="2751"/>
      <c r="P15" s="3913"/>
      <c r="Q15" s="1352"/>
      <c r="R15" s="705"/>
      <c r="S15" s="706"/>
      <c r="T15" s="705"/>
      <c r="U15" s="706"/>
      <c r="V15" s="705"/>
      <c r="W15" s="706"/>
      <c r="X15" s="1355"/>
      <c r="Y15" s="3913"/>
      <c r="Z15" s="1356"/>
      <c r="AA15" s="1353">
        <v>1</v>
      </c>
      <c r="AB15" s="1353">
        <v>1</v>
      </c>
      <c r="AC15" s="1353">
        <v>1</v>
      </c>
    </row>
    <row r="16" spans="1:29" ht="15">
      <c r="A16" s="379"/>
      <c r="B16" s="402" t="s">
        <v>1796</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699"/>
      <c r="M16" s="2693"/>
      <c r="N16" s="2693"/>
      <c r="O16" s="2751"/>
      <c r="P16" s="3913"/>
      <c r="Q16" s="1352" t="str">
        <f>B16</f>
        <v>公共配套设施</v>
      </c>
      <c r="R16" s="705" t="s">
        <v>14</v>
      </c>
      <c r="S16" s="706">
        <f>F16</f>
        <v>100</v>
      </c>
      <c r="T16" s="705" t="s">
        <v>14</v>
      </c>
      <c r="U16" s="706">
        <f>H16</f>
        <v>100</v>
      </c>
      <c r="V16" s="705" t="s">
        <v>14</v>
      </c>
      <c r="W16" s="706">
        <f>J16</f>
        <v>100</v>
      </c>
      <c r="X16" s="1355"/>
      <c r="Y16" s="391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699"/>
      <c r="M17" s="2693"/>
      <c r="N17" s="2693"/>
      <c r="O17" s="2751"/>
      <c r="P17" s="3913"/>
      <c r="Q17" s="1352"/>
      <c r="R17" s="705"/>
      <c r="S17" s="706"/>
      <c r="T17" s="705"/>
      <c r="U17" s="706"/>
      <c r="V17" s="705"/>
      <c r="W17" s="706"/>
      <c r="X17" s="1355"/>
      <c r="Y17" s="3913"/>
      <c r="Z17" s="1356"/>
      <c r="AA17" s="1353">
        <v>1</v>
      </c>
      <c r="AB17" s="1353">
        <v>1</v>
      </c>
      <c r="AC17" s="1353">
        <v>1</v>
      </c>
    </row>
    <row r="18" spans="1:29" ht="15">
      <c r="A18" s="379"/>
      <c r="B18" s="1131" t="s">
        <v>1797</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699"/>
      <c r="M18" s="2693"/>
      <c r="N18" s="2693"/>
      <c r="O18" s="2751"/>
      <c r="P18" s="3913"/>
      <c r="Q18" s="1352" t="str">
        <f>B18</f>
        <v>基础设施水平</v>
      </c>
      <c r="R18" s="705" t="s">
        <v>14</v>
      </c>
      <c r="S18" s="706">
        <f>F18</f>
        <v>100</v>
      </c>
      <c r="T18" s="705" t="s">
        <v>14</v>
      </c>
      <c r="U18" s="706">
        <f>H18</f>
        <v>100</v>
      </c>
      <c r="V18" s="705" t="s">
        <v>14</v>
      </c>
      <c r="W18" s="706">
        <f>J18</f>
        <v>100</v>
      </c>
      <c r="X18" s="1355"/>
      <c r="Y18" s="391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699"/>
      <c r="M19" s="2693"/>
      <c r="N19" s="2693"/>
      <c r="O19" s="2751"/>
      <c r="P19" s="3913"/>
      <c r="Q19" s="1352"/>
      <c r="R19" s="705"/>
      <c r="S19" s="706"/>
      <c r="T19" s="705"/>
      <c r="U19" s="706"/>
      <c r="V19" s="705"/>
      <c r="W19" s="706"/>
      <c r="X19" s="1355"/>
      <c r="Y19" s="3913"/>
      <c r="Z19" s="1356"/>
      <c r="AA19" s="1353">
        <v>1</v>
      </c>
      <c r="AB19" s="1353">
        <v>1</v>
      </c>
      <c r="AC19" s="1353">
        <v>1</v>
      </c>
    </row>
    <row r="20" spans="1:29" ht="15">
      <c r="A20" s="379"/>
      <c r="B20" s="402" t="s">
        <v>1818</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699"/>
      <c r="M20" s="2693"/>
      <c r="N20" s="2693"/>
      <c r="O20" s="2751"/>
      <c r="P20" s="3913"/>
      <c r="Q20" s="1352" t="str">
        <f>B20</f>
        <v>自然及人文环境</v>
      </c>
      <c r="R20" s="705" t="s">
        <v>14</v>
      </c>
      <c r="S20" s="706">
        <f>F20</f>
        <v>100</v>
      </c>
      <c r="T20" s="705" t="s">
        <v>14</v>
      </c>
      <c r="U20" s="706">
        <f>H20</f>
        <v>100</v>
      </c>
      <c r="V20" s="705" t="s">
        <v>14</v>
      </c>
      <c r="W20" s="706">
        <f>J20</f>
        <v>100</v>
      </c>
      <c r="X20" s="1355"/>
      <c r="Y20" s="391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699"/>
      <c r="M21" s="2693"/>
      <c r="N21" s="2693"/>
      <c r="O21" s="2751"/>
      <c r="P21" s="3913"/>
      <c r="Q21" s="1352"/>
      <c r="R21" s="705"/>
      <c r="S21" s="706"/>
      <c r="T21" s="705"/>
      <c r="U21" s="706"/>
      <c r="V21" s="705"/>
      <c r="W21" s="706"/>
      <c r="X21" s="1355"/>
      <c r="Y21" s="3913"/>
      <c r="Z21" s="1356"/>
      <c r="AA21" s="1353">
        <v>1</v>
      </c>
      <c r="AB21" s="1353">
        <v>1</v>
      </c>
      <c r="AC21" s="1353">
        <v>1</v>
      </c>
    </row>
    <row r="22" spans="1:29" ht="15">
      <c r="A22" s="379"/>
      <c r="B22" s="402" t="s">
        <v>1819</v>
      </c>
      <c r="C22" s="565"/>
      <c r="D22" s="401">
        <v>100</v>
      </c>
      <c r="E22" s="565"/>
      <c r="F22" s="412">
        <f>SUMIF(69:69,E22,70:70)-SUMIF(69:69,C22,70:70)+100</f>
        <v>100</v>
      </c>
      <c r="G22" s="565"/>
      <c r="H22" s="386">
        <f>SUMIF(69:69,G22,70:70)-SUMIF(69:69,C22,70:70)+100</f>
        <v>100</v>
      </c>
      <c r="I22" s="565"/>
      <c r="J22" s="386">
        <f>SUMIF(69:69,I22,70:70)-SUMIF(69:69,C22,70:70)+100</f>
        <v>100</v>
      </c>
      <c r="K22" s="561"/>
      <c r="L22" s="2699"/>
      <c r="M22" s="2693"/>
      <c r="N22" s="2693"/>
      <c r="O22" s="2751"/>
      <c r="P22" s="3913"/>
      <c r="Q22" s="1352" t="str">
        <f>B22</f>
        <v>楼层</v>
      </c>
      <c r="R22" s="705" t="s">
        <v>14</v>
      </c>
      <c r="S22" s="706">
        <f>F22</f>
        <v>100</v>
      </c>
      <c r="T22" s="705" t="s">
        <v>14</v>
      </c>
      <c r="U22" s="706">
        <f>H22</f>
        <v>100</v>
      </c>
      <c r="V22" s="705" t="s">
        <v>14</v>
      </c>
      <c r="W22" s="706">
        <f>J22</f>
        <v>100</v>
      </c>
      <c r="X22" s="1355"/>
      <c r="Y22" s="391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699"/>
      <c r="M23" s="2693"/>
      <c r="N23" s="2693"/>
      <c r="O23" s="2751"/>
      <c r="P23" s="3913"/>
      <c r="Q23" s="1352">
        <f>B23</f>
        <v>111</v>
      </c>
      <c r="R23" s="705" t="s">
        <v>14</v>
      </c>
      <c r="S23" s="706">
        <f>F23</f>
        <v>100</v>
      </c>
      <c r="T23" s="705" t="s">
        <v>14</v>
      </c>
      <c r="U23" s="706">
        <f>H23</f>
        <v>100</v>
      </c>
      <c r="V23" s="705" t="s">
        <v>14</v>
      </c>
      <c r="W23" s="706">
        <f>J23</f>
        <v>100</v>
      </c>
      <c r="X23" s="1355"/>
      <c r="Y23" s="391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699"/>
      <c r="M24" s="2693"/>
      <c r="N24" s="2693"/>
      <c r="O24" s="2751"/>
      <c r="P24" s="3913"/>
      <c r="Q24" s="1352">
        <f t="shared" ref="Q24:Q34" si="11">B24</f>
        <v>111</v>
      </c>
      <c r="R24" s="705" t="s">
        <v>14</v>
      </c>
      <c r="S24" s="706">
        <f>F24</f>
        <v>100</v>
      </c>
      <c r="T24" s="705" t="s">
        <v>14</v>
      </c>
      <c r="U24" s="706">
        <f>H24</f>
        <v>100</v>
      </c>
      <c r="V24" s="705" t="s">
        <v>14</v>
      </c>
      <c r="W24" s="706">
        <f>J24</f>
        <v>100</v>
      </c>
      <c r="X24" s="1355"/>
      <c r="Y24" s="3913"/>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694"/>
      <c r="M25" s="2695"/>
      <c r="N25" s="2695"/>
      <c r="O25" s="2749"/>
      <c r="P25" s="3913"/>
      <c r="Q25" s="1343">
        <f t="shared" si="11"/>
        <v>111</v>
      </c>
      <c r="R25" s="701" t="s">
        <v>14</v>
      </c>
      <c r="S25" s="702">
        <f>F25</f>
        <v>100</v>
      </c>
      <c r="T25" s="701" t="s">
        <v>14</v>
      </c>
      <c r="U25" s="702">
        <f>H25</f>
        <v>100</v>
      </c>
      <c r="V25" s="701" t="s">
        <v>14</v>
      </c>
      <c r="W25" s="702">
        <f>J25</f>
        <v>100</v>
      </c>
      <c r="X25" s="703"/>
      <c r="Y25" s="3913"/>
      <c r="Z25" s="52">
        <f>Q25</f>
        <v>111</v>
      </c>
      <c r="AA25" s="1353">
        <f>D25/F25</f>
        <v>1</v>
      </c>
      <c r="AB25" s="1353">
        <f>D25/H25</f>
        <v>1</v>
      </c>
      <c r="AC25" s="1353">
        <f>D25/J25</f>
        <v>1</v>
      </c>
    </row>
    <row r="26" spans="1:29" ht="28.5">
      <c r="A26" s="417" t="s">
        <v>1678</v>
      </c>
      <c r="B26" s="63" t="s">
        <v>1822</v>
      </c>
      <c r="C26" s="1967"/>
      <c r="D26" s="418">
        <v>100</v>
      </c>
      <c r="E26" s="1967"/>
      <c r="F26" s="615">
        <f>SUMIF(77:77,E26,78:78)-SUMIF(77:77,C26,78:78)+100</f>
        <v>100</v>
      </c>
      <c r="G26" s="1967"/>
      <c r="H26" s="418">
        <f>SUMIF(77:77,G26,78:78)-SUMIF(77:77,C26,78:78)+100</f>
        <v>100</v>
      </c>
      <c r="I26" s="1967"/>
      <c r="J26" s="418">
        <f>SUMIF(77:77,I26,78:78)-SUMIF(77:77,C26,78:78)+100</f>
        <v>100</v>
      </c>
      <c r="K26" s="561"/>
      <c r="L26" s="2699"/>
      <c r="M26" s="2693"/>
      <c r="N26" s="2693"/>
      <c r="O26" s="2751"/>
      <c r="P26" s="3969" t="s">
        <v>1680</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917" t="s">
        <v>1680</v>
      </c>
      <c r="Z26" s="1356" t="str">
        <f t="shared" ref="Z26:Z34" si="15">Q26</f>
        <v>公共部分装修</v>
      </c>
      <c r="AA26" s="1353">
        <f t="shared" si="3"/>
        <v>1</v>
      </c>
      <c r="AB26" s="1353">
        <f t="shared" si="4"/>
        <v>1</v>
      </c>
      <c r="AC26" s="1353">
        <f t="shared" si="5"/>
        <v>1</v>
      </c>
    </row>
    <row r="27" spans="1:29" s="422" customFormat="1" ht="15">
      <c r="A27" s="419"/>
      <c r="B27" s="375" t="s">
        <v>1823</v>
      </c>
      <c r="C27" s="425"/>
      <c r="D27" s="127">
        <v>100</v>
      </c>
      <c r="E27" s="426"/>
      <c r="F27" s="412" t="e">
        <f>LOOKUP(E27,80:80,81:81)-LOOKUP(C27,80:80,81:81)+100</f>
        <v>#N/A</v>
      </c>
      <c r="G27" s="427"/>
      <c r="H27" s="386" t="e">
        <f>LOOKUP(G27,80:80,81:81)-LOOKUP(C27,80:80,81:81)+100</f>
        <v>#N/A</v>
      </c>
      <c r="I27" s="427"/>
      <c r="J27" s="386" t="e">
        <f>LOOKUP(I27,80:80,81:81)-LOOKUP(C27,80:80,81:81)+100</f>
        <v>#N/A</v>
      </c>
      <c r="K27" s="561"/>
      <c r="L27" s="2698"/>
      <c r="M27" s="2700"/>
      <c r="N27" s="2700"/>
      <c r="O27" s="2752"/>
      <c r="P27" s="3917"/>
      <c r="Q27" s="707" t="str">
        <f t="shared" si="11"/>
        <v>成新率</v>
      </c>
      <c r="R27" s="708" t="s">
        <v>14</v>
      </c>
      <c r="S27" s="709" t="e">
        <f t="shared" si="12"/>
        <v>#N/A</v>
      </c>
      <c r="T27" s="708" t="s">
        <v>14</v>
      </c>
      <c r="U27" s="709" t="e">
        <f t="shared" si="13"/>
        <v>#N/A</v>
      </c>
      <c r="V27" s="708" t="s">
        <v>14</v>
      </c>
      <c r="W27" s="709" t="e">
        <f t="shared" si="14"/>
        <v>#N/A</v>
      </c>
      <c r="X27" s="710"/>
      <c r="Y27" s="3917"/>
      <c r="Z27" s="711" t="str">
        <f t="shared" si="15"/>
        <v>成新率</v>
      </c>
      <c r="AA27" s="1353" t="e">
        <f t="shared" si="3"/>
        <v>#N/A</v>
      </c>
      <c r="AB27" s="1353" t="e">
        <f t="shared" si="4"/>
        <v>#N/A</v>
      </c>
      <c r="AC27" s="1353" t="e">
        <f t="shared" si="5"/>
        <v>#N/A</v>
      </c>
    </row>
    <row r="28" spans="1:29" ht="15">
      <c r="A28" s="423"/>
      <c r="B28" s="375" t="s">
        <v>1824</v>
      </c>
      <c r="C28" s="411"/>
      <c r="D28" s="386">
        <v>100</v>
      </c>
      <c r="E28" s="411"/>
      <c r="F28" s="412">
        <f>SUMIF(82:82,E28,83:83)-SUMIF(82:82,C28,83:83)+100</f>
        <v>100</v>
      </c>
      <c r="G28" s="411"/>
      <c r="H28" s="386">
        <f>SUMIF(82:82,G28,83:83)-SUMIF(82:82,C28,83:83)+100</f>
        <v>100</v>
      </c>
      <c r="I28" s="411"/>
      <c r="J28" s="386">
        <f>SUMIF(82:82,I28,83:83)-SUMIF(82:82,C28,83:83)+100</f>
        <v>100</v>
      </c>
      <c r="K28" s="561"/>
      <c r="L28" s="2699"/>
      <c r="M28" s="2693"/>
      <c r="N28" s="2693"/>
      <c r="O28" s="2751"/>
      <c r="P28" s="3917"/>
      <c r="Q28" s="1352" t="str">
        <f t="shared" si="11"/>
        <v>物业等级</v>
      </c>
      <c r="R28" s="705" t="s">
        <v>14</v>
      </c>
      <c r="S28" s="706">
        <f t="shared" si="12"/>
        <v>100</v>
      </c>
      <c r="T28" s="705" t="s">
        <v>14</v>
      </c>
      <c r="U28" s="706">
        <f t="shared" si="13"/>
        <v>100</v>
      </c>
      <c r="V28" s="705" t="s">
        <v>14</v>
      </c>
      <c r="W28" s="706">
        <f t="shared" si="14"/>
        <v>100</v>
      </c>
      <c r="X28" s="1355"/>
      <c r="Y28" s="3917"/>
      <c r="Z28" s="1356" t="str">
        <f t="shared" si="15"/>
        <v>物业等级</v>
      </c>
      <c r="AA28" s="1353">
        <f t="shared" si="3"/>
        <v>1</v>
      </c>
      <c r="AB28" s="1353">
        <f t="shared" si="4"/>
        <v>1</v>
      </c>
      <c r="AC28" s="1353">
        <f t="shared" si="5"/>
        <v>1</v>
      </c>
    </row>
    <row r="29" spans="1:29" ht="15">
      <c r="A29" s="423"/>
      <c r="B29" s="375" t="s">
        <v>1844</v>
      </c>
      <c r="C29" s="605"/>
      <c r="D29" s="386">
        <v>100</v>
      </c>
      <c r="E29" s="605"/>
      <c r="F29" s="412">
        <f>SUMIF(84:84,E29,85:85)-SUMIF(84:84,C29,85:85)+100</f>
        <v>100</v>
      </c>
      <c r="G29" s="605"/>
      <c r="H29" s="386">
        <f>SUMIF(84:84,G29,85:85)-SUMIF(84:84,C29,85:85)+100</f>
        <v>100</v>
      </c>
      <c r="I29" s="605"/>
      <c r="J29" s="386">
        <f>SUMIF(84:84,I29,85:85)-SUMIF(84:84,C29,85:85)+100</f>
        <v>100</v>
      </c>
      <c r="K29" s="561"/>
      <c r="L29" s="2699"/>
      <c r="M29" s="2693"/>
      <c r="N29" s="2693"/>
      <c r="O29" s="2751"/>
      <c r="P29" s="3917"/>
      <c r="Q29" s="1352" t="str">
        <f t="shared" si="11"/>
        <v>有无电梯</v>
      </c>
      <c r="R29" s="705" t="s">
        <v>14</v>
      </c>
      <c r="S29" s="706">
        <f t="shared" si="12"/>
        <v>100</v>
      </c>
      <c r="T29" s="705" t="s">
        <v>14</v>
      </c>
      <c r="U29" s="706">
        <f t="shared" si="13"/>
        <v>100</v>
      </c>
      <c r="V29" s="705" t="s">
        <v>14</v>
      </c>
      <c r="W29" s="706">
        <f t="shared" si="14"/>
        <v>100</v>
      </c>
      <c r="X29" s="1355"/>
      <c r="Y29" s="3917"/>
      <c r="Z29" s="1356" t="str">
        <f t="shared" si="15"/>
        <v>有无电梯</v>
      </c>
      <c r="AA29" s="1353">
        <f t="shared" si="3"/>
        <v>1</v>
      </c>
      <c r="AB29" s="1353">
        <f t="shared" si="4"/>
        <v>1</v>
      </c>
      <c r="AC29" s="1353">
        <f t="shared" si="5"/>
        <v>1</v>
      </c>
    </row>
    <row r="30" spans="1:29" ht="15">
      <c r="A30" s="423"/>
      <c r="B30" s="375" t="s">
        <v>1845</v>
      </c>
      <c r="C30" s="420"/>
      <c r="D30" s="386">
        <v>100</v>
      </c>
      <c r="E30" s="420"/>
      <c r="F30" s="412" t="e">
        <f>LOOKUP(E30,87:87,88:88)-LOOKUP(C30,87:87,88:88)+100</f>
        <v>#N/A</v>
      </c>
      <c r="G30" s="420"/>
      <c r="H30" s="386" t="e">
        <f>LOOKUP(G30,87:87,88:88)-LOOKUP(C30,87:87,88:88)+100</f>
        <v>#N/A</v>
      </c>
      <c r="I30" s="420"/>
      <c r="J30" s="386" t="e">
        <f>LOOKUP(I30,87:87,88:88)-LOOKUP(C30,87:87,88:88)+100</f>
        <v>#N/A</v>
      </c>
      <c r="K30" s="562"/>
      <c r="L30" s="2699"/>
      <c r="M30" s="2693"/>
      <c r="N30" s="2693"/>
      <c r="O30" s="2751"/>
      <c r="P30" s="3917"/>
      <c r="Q30" s="1352" t="str">
        <f t="shared" si="11"/>
        <v>建筑面积</v>
      </c>
      <c r="R30" s="705" t="s">
        <v>14</v>
      </c>
      <c r="S30" s="706" t="e">
        <f t="shared" si="12"/>
        <v>#N/A</v>
      </c>
      <c r="T30" s="705" t="s">
        <v>14</v>
      </c>
      <c r="U30" s="706" t="e">
        <f t="shared" si="13"/>
        <v>#N/A</v>
      </c>
      <c r="V30" s="705" t="s">
        <v>14</v>
      </c>
      <c r="W30" s="706" t="e">
        <f t="shared" si="14"/>
        <v>#N/A</v>
      </c>
      <c r="X30" s="1355"/>
      <c r="Y30" s="3917"/>
      <c r="Z30" s="1356" t="str">
        <f t="shared" si="15"/>
        <v>建筑面积</v>
      </c>
      <c r="AA30" s="1353" t="e">
        <f t="shared" si="3"/>
        <v>#N/A</v>
      </c>
      <c r="AB30" s="1353" t="e">
        <f t="shared" si="4"/>
        <v>#N/A</v>
      </c>
      <c r="AC30" s="1353" t="e">
        <f t="shared" si="5"/>
        <v>#N/A</v>
      </c>
    </row>
    <row r="31" spans="1:29" s="108" customFormat="1" ht="15">
      <c r="A31" s="424"/>
      <c r="B31" s="375" t="s">
        <v>1846</v>
      </c>
      <c r="C31" s="605"/>
      <c r="D31" s="127">
        <v>100</v>
      </c>
      <c r="E31" s="605"/>
      <c r="F31" s="412">
        <f>SUMIF(89:89,E31,90:90)-SUMIF(89:89,C31,90:90)+100</f>
        <v>100</v>
      </c>
      <c r="G31" s="605"/>
      <c r="H31" s="386">
        <f>SUMIF(89:89,G31,90:90)-SUMIF(89:89,C31,90:90)+100</f>
        <v>100</v>
      </c>
      <c r="I31" s="605"/>
      <c r="J31" s="386">
        <f>SUMIF(89:89,I31,90:90)-SUMIF(89:89,C31,90:90)+100</f>
        <v>100</v>
      </c>
      <c r="K31" s="561"/>
      <c r="L31" s="2694"/>
      <c r="M31" s="2695"/>
      <c r="N31" s="2695"/>
      <c r="O31" s="2749"/>
      <c r="P31" s="3917"/>
      <c r="Q31" s="1343" t="str">
        <f t="shared" si="11"/>
        <v>是否封闭</v>
      </c>
      <c r="R31" s="701" t="s">
        <v>14</v>
      </c>
      <c r="S31" s="702">
        <f t="shared" si="12"/>
        <v>100</v>
      </c>
      <c r="T31" s="701" t="s">
        <v>14</v>
      </c>
      <c r="U31" s="702">
        <f t="shared" si="13"/>
        <v>100</v>
      </c>
      <c r="V31" s="701" t="s">
        <v>14</v>
      </c>
      <c r="W31" s="702">
        <f t="shared" si="14"/>
        <v>100</v>
      </c>
      <c r="X31" s="703"/>
      <c r="Y31" s="391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699"/>
      <c r="M32" s="2693"/>
      <c r="N32" s="2693"/>
      <c r="O32" s="2751"/>
      <c r="P32" s="3917" t="s">
        <v>1680</v>
      </c>
      <c r="Q32" s="1352">
        <f t="shared" si="11"/>
        <v>111</v>
      </c>
      <c r="R32" s="705" t="s">
        <v>14</v>
      </c>
      <c r="S32" s="706">
        <f t="shared" si="12"/>
        <v>100</v>
      </c>
      <c r="T32" s="705" t="s">
        <v>14</v>
      </c>
      <c r="U32" s="706">
        <f t="shared" si="13"/>
        <v>100</v>
      </c>
      <c r="V32" s="705" t="s">
        <v>14</v>
      </c>
      <c r="W32" s="706">
        <f t="shared" si="14"/>
        <v>100</v>
      </c>
      <c r="X32" s="1355"/>
      <c r="Y32" s="3917" t="s">
        <v>1680</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699"/>
      <c r="M33" s="2693"/>
      <c r="N33" s="2693"/>
      <c r="O33" s="2751"/>
      <c r="P33" s="3917"/>
      <c r="Q33" s="1352">
        <f t="shared" si="11"/>
        <v>111</v>
      </c>
      <c r="R33" s="705" t="s">
        <v>14</v>
      </c>
      <c r="S33" s="706">
        <f t="shared" si="12"/>
        <v>100</v>
      </c>
      <c r="T33" s="705" t="s">
        <v>14</v>
      </c>
      <c r="U33" s="706">
        <f t="shared" si="13"/>
        <v>100</v>
      </c>
      <c r="V33" s="705" t="s">
        <v>14</v>
      </c>
      <c r="W33" s="706">
        <f t="shared" si="14"/>
        <v>100</v>
      </c>
      <c r="X33" s="1355"/>
      <c r="Y33" s="3917"/>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699"/>
      <c r="M34" s="2693"/>
      <c r="N34" s="2693"/>
      <c r="O34" s="2751"/>
      <c r="P34" s="3917"/>
      <c r="Q34" s="1352">
        <f t="shared" si="11"/>
        <v>111</v>
      </c>
      <c r="R34" s="705" t="s">
        <v>14</v>
      </c>
      <c r="S34" s="706">
        <f t="shared" si="12"/>
        <v>100</v>
      </c>
      <c r="T34" s="705" t="s">
        <v>14</v>
      </c>
      <c r="U34" s="706">
        <f t="shared" si="13"/>
        <v>100</v>
      </c>
      <c r="V34" s="705" t="s">
        <v>14</v>
      </c>
      <c r="W34" s="706">
        <f t="shared" si="14"/>
        <v>100</v>
      </c>
      <c r="X34" s="1355"/>
      <c r="Y34" s="3917"/>
      <c r="Z34" s="1356">
        <f t="shared" si="15"/>
        <v>111</v>
      </c>
      <c r="AA34" s="1353">
        <f t="shared" si="3"/>
        <v>1</v>
      </c>
      <c r="AB34" s="1353">
        <f t="shared" si="4"/>
        <v>1</v>
      </c>
      <c r="AC34" s="1353">
        <f t="shared" si="5"/>
        <v>1</v>
      </c>
    </row>
    <row r="35" spans="1:30" ht="15">
      <c r="A35" s="430" t="s">
        <v>1692</v>
      </c>
      <c r="B35" s="431"/>
      <c r="C35" s="1154" t="s">
        <v>0</v>
      </c>
      <c r="D35" s="1155"/>
      <c r="E35" s="1156"/>
      <c r="F35" s="1157"/>
      <c r="G35" s="1158"/>
      <c r="H35" s="1159"/>
      <c r="I35" s="1156"/>
      <c r="J35" s="1159"/>
      <c r="K35" s="714"/>
      <c r="L35" s="2701"/>
      <c r="M35" s="2702"/>
      <c r="N35" s="2693"/>
      <c r="O35" s="2702"/>
      <c r="P35" s="3905" t="str">
        <f>A35</f>
        <v>成交单价（元/平方米）</v>
      </c>
      <c r="Q35" s="3905"/>
      <c r="R35" s="3906">
        <f>E35</f>
        <v>0</v>
      </c>
      <c r="S35" s="3906"/>
      <c r="T35" s="3906">
        <f>G35</f>
        <v>0</v>
      </c>
      <c r="U35" s="3906"/>
      <c r="V35" s="3906">
        <f>I35</f>
        <v>0</v>
      </c>
      <c r="W35" s="3906"/>
      <c r="X35" s="690"/>
      <c r="Y35" s="712"/>
      <c r="Z35" s="690"/>
      <c r="AA35" s="690"/>
      <c r="AB35" s="690"/>
      <c r="AC35" s="690"/>
    </row>
    <row r="36" spans="1:30" ht="15.75" thickBot="1">
      <c r="A36" s="437" t="s">
        <v>1777</v>
      </c>
      <c r="B36" s="438"/>
      <c r="C36" s="1160" t="e">
        <f>R37</f>
        <v>#DIV/0!</v>
      </c>
      <c r="D36" s="2317" t="s">
        <v>2122</v>
      </c>
      <c r="E36" s="1161" t="e">
        <f>R36</f>
        <v>#DIV/0!</v>
      </c>
      <c r="F36" s="2318"/>
      <c r="G36" s="1160" t="e">
        <f>T36</f>
        <v>#DIV/0!</v>
      </c>
      <c r="H36" s="2318"/>
      <c r="I36" s="1161" t="e">
        <f>V36</f>
        <v>#DIV/0!</v>
      </c>
      <c r="J36" s="2318"/>
      <c r="K36" s="2320">
        <f>F36+H36+J36</f>
        <v>0</v>
      </c>
      <c r="L36" s="2701"/>
      <c r="M36" s="2702"/>
      <c r="N36" s="2693"/>
      <c r="O36" s="2702"/>
      <c r="P36" s="3905" t="str">
        <f>A36</f>
        <v>比较价值（元/平方米）</v>
      </c>
      <c r="Q36" s="3905"/>
      <c r="R36" s="3906" t="e">
        <f>IF(F1="售价",ROUND(PRODUCT(R35,AA7:AA34),0),ROUND(PRODUCT(R35,AA7:AA34),1))</f>
        <v>#DIV/0!</v>
      </c>
      <c r="S36" s="3906"/>
      <c r="T36" s="3906" t="e">
        <f>IF(F1="售价",ROUND(PRODUCT(T35,AB7:AB34),0),ROUND(PRODUCT(T35,AB7:AB34),1))</f>
        <v>#DIV/0!</v>
      </c>
      <c r="U36" s="3906"/>
      <c r="V36" s="3906" t="e">
        <f>IF(F1="售价",ROUND(PRODUCT(V35,AC7:AC34),0),ROUND(PRODUCT(V35,AC7:AC34),1))</f>
        <v>#DIV/0!</v>
      </c>
      <c r="W36" s="3906"/>
      <c r="X36" s="690"/>
      <c r="Y36" s="690"/>
      <c r="Z36" s="690"/>
      <c r="AA36" s="690"/>
      <c r="AB36" s="690"/>
      <c r="AC36" s="690"/>
    </row>
    <row r="37" spans="1:30" ht="15.75" thickBot="1">
      <c r="A37" s="441" t="s">
        <v>1778</v>
      </c>
      <c r="B37" s="442"/>
      <c r="C37" s="1163" t="e">
        <f>R37</f>
        <v>#DIV/0!</v>
      </c>
      <c r="D37" s="1163"/>
      <c r="E37" s="1163"/>
      <c r="F37" s="1163"/>
      <c r="G37" s="1163"/>
      <c r="H37" s="1163"/>
      <c r="I37" s="1163"/>
      <c r="J37" s="1163"/>
      <c r="K37" s="715"/>
      <c r="L37" s="2701"/>
      <c r="M37" s="2702"/>
      <c r="N37" s="2702"/>
      <c r="O37" s="2702"/>
      <c r="P37" s="3959" t="str">
        <f>A37</f>
        <v>估价对象XX用房的比较价值（楼面单价，元/平方米）</v>
      </c>
      <c r="Q37" s="3960"/>
      <c r="R37" s="3970" t="e">
        <f>IF(F1="售价",ROUND(IF(D36="简单平均",AVERAGE(R36:W36),R36*F36+T36*H36+V36*J36),0),ROUND(IF(D36="简单平均",AVERAGE(R36:V36),R36*F36+T36*H36+V36*J36),1))</f>
        <v>#DIV/0!</v>
      </c>
      <c r="S37" s="3970"/>
      <c r="T37" s="3970"/>
      <c r="U37" s="3970"/>
      <c r="V37" s="3970"/>
      <c r="W37" s="3970"/>
      <c r="X37" s="690"/>
      <c r="Y37" s="690"/>
      <c r="Z37" s="690"/>
      <c r="AA37" s="690"/>
      <c r="AB37" s="690"/>
      <c r="AC37" s="690"/>
    </row>
    <row r="38" spans="1:30">
      <c r="A38" s="2702"/>
      <c r="B38" s="2702"/>
      <c r="C38" s="2702"/>
      <c r="D38" s="2702"/>
      <c r="E38" s="2702"/>
      <c r="F38" s="2702"/>
      <c r="G38" s="2706"/>
      <c r="H38" s="2702"/>
      <c r="I38" s="2702"/>
      <c r="J38" s="2702"/>
      <c r="K38" s="2707"/>
      <c r="L38" s="2703"/>
      <c r="M38" s="2702"/>
      <c r="N38" s="2702"/>
      <c r="O38" s="2702"/>
      <c r="P38" s="2702"/>
      <c r="Q38" s="2702"/>
      <c r="R38" s="2702"/>
      <c r="S38" s="2702"/>
      <c r="T38" s="2702"/>
      <c r="U38" s="2702"/>
      <c r="V38" s="2702"/>
      <c r="W38" s="2702"/>
      <c r="X38" s="2702"/>
      <c r="Y38" s="2702"/>
      <c r="Z38" s="2702"/>
      <c r="AA38" s="2702"/>
      <c r="AB38" s="2702"/>
      <c r="AC38" s="2702"/>
      <c r="AD38" s="2702"/>
    </row>
    <row r="39" spans="1:30">
      <c r="A39" s="2702"/>
      <c r="B39" s="2702"/>
      <c r="C39" s="2702"/>
      <c r="D39" s="2702"/>
      <c r="E39" s="2702"/>
      <c r="F39" s="2702"/>
      <c r="G39" s="2702"/>
      <c r="H39" s="2702"/>
      <c r="I39" s="2702"/>
      <c r="J39" s="2702"/>
      <c r="K39" s="2707"/>
      <c r="L39" s="2703"/>
      <c r="M39" s="2702"/>
      <c r="N39" s="2702"/>
      <c r="O39" s="2702"/>
      <c r="P39" s="2702"/>
      <c r="Q39" s="2702"/>
      <c r="R39" s="2702"/>
      <c r="S39" s="2702"/>
      <c r="T39" s="2702"/>
      <c r="U39" s="2702"/>
      <c r="V39" s="2702"/>
      <c r="W39" s="2702"/>
      <c r="X39" s="2702"/>
      <c r="Y39" s="2702"/>
      <c r="Z39" s="2702"/>
      <c r="AA39" s="2702"/>
      <c r="AB39" s="2702"/>
      <c r="AC39" s="2702"/>
      <c r="AD39" s="2702"/>
    </row>
    <row r="40" spans="1:30" ht="13.5" customHeight="1">
      <c r="A40" s="2702"/>
      <c r="B40" s="2702"/>
      <c r="C40" s="446" t="s">
        <v>1779</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07"/>
      <c r="L40" s="2703"/>
      <c r="M40" s="2702"/>
      <c r="N40" s="2702"/>
      <c r="O40" s="2702"/>
      <c r="P40" s="2702"/>
      <c r="Q40" s="2702"/>
      <c r="R40" s="2702"/>
      <c r="S40" s="2702"/>
      <c r="T40" s="2702"/>
      <c r="U40" s="2702"/>
      <c r="V40" s="2702"/>
      <c r="W40" s="2702"/>
      <c r="X40" s="2702"/>
      <c r="Y40" s="2702"/>
      <c r="Z40" s="2702"/>
      <c r="AA40" s="2702"/>
      <c r="AB40" s="2702"/>
      <c r="AC40" s="2702"/>
      <c r="AD40" s="2702"/>
    </row>
    <row r="41" spans="1:30" ht="13.5" customHeight="1">
      <c r="A41" s="2702"/>
      <c r="B41" s="2702"/>
      <c r="C41" s="446" t="s">
        <v>1780</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07"/>
      <c r="L41" s="2703"/>
      <c r="M41" s="2702"/>
      <c r="N41" s="2702"/>
      <c r="O41" s="2702"/>
      <c r="P41" s="2702"/>
      <c r="Q41" s="2702"/>
      <c r="R41" s="2702"/>
      <c r="S41" s="2702"/>
      <c r="T41" s="2702"/>
      <c r="U41" s="2702"/>
      <c r="V41" s="2702"/>
      <c r="W41" s="2702"/>
      <c r="X41" s="2702"/>
      <c r="Y41" s="2702"/>
      <c r="Z41" s="2702"/>
      <c r="AA41" s="2702"/>
      <c r="AB41" s="2702"/>
      <c r="AC41" s="2702"/>
      <c r="AD41" s="2702"/>
    </row>
    <row r="42" spans="1:30" s="451" customFormat="1" ht="13.5" customHeight="1">
      <c r="A42" s="2705"/>
      <c r="B42" s="2705"/>
      <c r="C42" s="446" t="s">
        <v>1781</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10"/>
      <c r="L42" s="2704"/>
      <c r="M42" s="2705"/>
      <c r="N42" s="2705"/>
      <c r="O42" s="2705"/>
      <c r="P42" s="2705"/>
      <c r="Q42" s="2705"/>
      <c r="R42" s="2705"/>
      <c r="S42" s="2705"/>
      <c r="T42" s="2705"/>
      <c r="U42" s="2705"/>
      <c r="V42" s="2705"/>
      <c r="W42" s="2705"/>
      <c r="X42" s="2705"/>
      <c r="Y42" s="2705"/>
      <c r="Z42" s="2705"/>
      <c r="AA42" s="2705"/>
      <c r="AB42" s="2705"/>
      <c r="AC42" s="2705"/>
      <c r="AD42" s="2705"/>
    </row>
    <row r="43" spans="1:30" s="451" customFormat="1">
      <c r="A43" s="2705"/>
      <c r="B43" s="2708"/>
      <c r="C43" s="2709"/>
      <c r="D43" s="2705"/>
      <c r="E43" s="2705"/>
      <c r="F43" s="2705"/>
      <c r="G43" s="2705"/>
      <c r="H43" s="2705"/>
      <c r="I43" s="2705"/>
      <c r="J43" s="2705"/>
      <c r="K43" s="2710"/>
      <c r="L43" s="2704"/>
      <c r="M43" s="2705"/>
      <c r="N43" s="2705"/>
      <c r="O43" s="2705"/>
      <c r="P43" s="2705"/>
      <c r="Q43" s="2705"/>
      <c r="R43" s="2705"/>
      <c r="S43" s="2705"/>
      <c r="T43" s="2705"/>
      <c r="U43" s="2705"/>
      <c r="V43" s="2705"/>
      <c r="W43" s="2705"/>
      <c r="X43" s="2705"/>
      <c r="Y43" s="2705"/>
      <c r="Z43" s="2705"/>
      <c r="AA43" s="2705"/>
      <c r="AB43" s="2705"/>
      <c r="AC43" s="2705"/>
      <c r="AD43" s="2705"/>
    </row>
    <row r="44" spans="1:30">
      <c r="A44" s="2702"/>
      <c r="B44" s="2708"/>
      <c r="C44" s="2709"/>
      <c r="D44" s="2702"/>
      <c r="E44" s="2702"/>
      <c r="F44" s="2702"/>
      <c r="G44" s="2702"/>
      <c r="H44" s="2702"/>
      <c r="I44" s="2702"/>
      <c r="J44" s="2702"/>
      <c r="K44" s="2707"/>
      <c r="L44" s="2703"/>
      <c r="M44" s="2702"/>
      <c r="N44" s="2702"/>
      <c r="O44" s="2702"/>
      <c r="P44" s="2702"/>
      <c r="Q44" s="2702"/>
      <c r="R44" s="2702"/>
      <c r="S44" s="2702"/>
      <c r="T44" s="2702"/>
      <c r="U44" s="2702"/>
      <c r="V44" s="2702"/>
      <c r="W44" s="2702"/>
      <c r="X44" s="2702"/>
      <c r="Y44" s="2702"/>
      <c r="Z44" s="2702"/>
      <c r="AA44" s="2702"/>
      <c r="AB44" s="2702"/>
      <c r="AC44" s="2702"/>
      <c r="AD44" s="2702"/>
    </row>
    <row r="45" spans="1:30" ht="21.75" thickBot="1">
      <c r="A45" s="694" t="s">
        <v>1782</v>
      </c>
      <c r="B45" s="690"/>
      <c r="C45" s="695"/>
      <c r="D45" s="695"/>
      <c r="E45" s="695"/>
      <c r="F45" s="696"/>
      <c r="G45" s="696"/>
      <c r="H45" s="695"/>
      <c r="I45" s="695"/>
      <c r="J45" s="695"/>
      <c r="K45" s="697"/>
      <c r="L45" s="698"/>
      <c r="M45" s="695"/>
      <c r="N45" s="2746"/>
      <c r="O45" s="2746"/>
      <c r="P45" s="2746"/>
      <c r="Q45" s="2716"/>
      <c r="R45" s="2702"/>
      <c r="S45" s="2702"/>
      <c r="T45" s="2702"/>
      <c r="U45" s="2702"/>
      <c r="V45" s="2702"/>
      <c r="W45" s="2702"/>
      <c r="X45" s="2702"/>
      <c r="Y45" s="2702"/>
      <c r="Z45" s="2702"/>
      <c r="AA45" s="2702"/>
      <c r="AB45" s="2702"/>
      <c r="AC45" s="2702"/>
      <c r="AD45" s="2702"/>
    </row>
    <row r="46" spans="1:30" s="457" customFormat="1" ht="15">
      <c r="A46" s="454" t="s">
        <v>1663</v>
      </c>
      <c r="B46" s="455"/>
      <c r="C46" s="1184" t="str">
        <f>YEAR(C7)&amp;"-"&amp;MONTH(C7)</f>
        <v>2023-12</v>
      </c>
      <c r="D46" s="1185">
        <f>EDATE(C46,-1)</f>
        <v>45231</v>
      </c>
      <c r="E46" s="1185">
        <f t="shared" ref="E46:O46" si="16">EDATE(D46,-1)</f>
        <v>45200</v>
      </c>
      <c r="F46" s="1185">
        <f t="shared" si="16"/>
        <v>45170</v>
      </c>
      <c r="G46" s="1185">
        <f t="shared" si="16"/>
        <v>45139</v>
      </c>
      <c r="H46" s="1185">
        <f t="shared" si="16"/>
        <v>45108</v>
      </c>
      <c r="I46" s="1185">
        <f t="shared" si="16"/>
        <v>45078</v>
      </c>
      <c r="J46" s="1185">
        <f t="shared" si="16"/>
        <v>45047</v>
      </c>
      <c r="K46" s="1185">
        <f t="shared" si="16"/>
        <v>45017</v>
      </c>
      <c r="L46" s="1185">
        <f t="shared" si="16"/>
        <v>44986</v>
      </c>
      <c r="M46" s="1185">
        <f t="shared" si="16"/>
        <v>44958</v>
      </c>
      <c r="N46" s="1185">
        <f t="shared" si="16"/>
        <v>44927</v>
      </c>
      <c r="O46" s="1185">
        <f t="shared" si="16"/>
        <v>44896</v>
      </c>
      <c r="P46" s="2753"/>
      <c r="Q46" s="2718"/>
      <c r="R46" s="2718"/>
      <c r="S46" s="2718"/>
      <c r="T46" s="2718"/>
      <c r="U46" s="2718"/>
      <c r="V46" s="2718"/>
      <c r="W46" s="2718"/>
      <c r="X46" s="2718"/>
      <c r="Y46" s="2718"/>
      <c r="Z46" s="2718"/>
      <c r="AA46" s="2718"/>
      <c r="AB46" s="2718"/>
      <c r="AC46" s="2718"/>
      <c r="AD46" s="2718"/>
    </row>
    <row r="47" spans="1:30" s="108" customFormat="1" ht="15">
      <c r="A47" s="458"/>
      <c r="B47" s="459"/>
      <c r="C47" s="1183">
        <v>100</v>
      </c>
      <c r="D47" s="461"/>
      <c r="E47" s="461"/>
      <c r="F47" s="461"/>
      <c r="G47" s="461"/>
      <c r="H47" s="461"/>
      <c r="I47" s="461"/>
      <c r="J47" s="461"/>
      <c r="K47" s="461"/>
      <c r="L47" s="461"/>
      <c r="M47" s="462"/>
      <c r="N47" s="461"/>
      <c r="O47" s="463"/>
      <c r="P47" s="2716"/>
      <c r="Q47" s="2638"/>
      <c r="R47" s="2638"/>
      <c r="S47" s="2638"/>
      <c r="T47" s="2638"/>
      <c r="U47" s="2638"/>
      <c r="V47" s="2638"/>
      <c r="W47" s="2638"/>
      <c r="X47" s="2638"/>
      <c r="Y47" s="2638"/>
      <c r="Z47" s="2638"/>
      <c r="AA47" s="2638"/>
      <c r="AB47" s="2638"/>
      <c r="AC47" s="2638"/>
      <c r="AD47" s="2638"/>
    </row>
    <row r="48" spans="1:30" s="108" customFormat="1" ht="15.75" thickBot="1">
      <c r="A48" s="464" t="s">
        <v>1700</v>
      </c>
      <c r="B48" s="465"/>
      <c r="C48" s="466"/>
      <c r="D48" s="467"/>
      <c r="E48" s="467"/>
      <c r="F48" s="467"/>
      <c r="G48" s="467"/>
      <c r="H48" s="467"/>
      <c r="I48" s="467"/>
      <c r="J48" s="467"/>
      <c r="K48" s="467"/>
      <c r="L48" s="467"/>
      <c r="M48" s="468"/>
      <c r="N48" s="467"/>
      <c r="O48" s="469"/>
      <c r="P48" s="2716"/>
      <c r="Q48" s="2716"/>
      <c r="R48" s="2638"/>
      <c r="S48" s="2638"/>
      <c r="T48" s="2638"/>
      <c r="U48" s="2638"/>
      <c r="V48" s="2638"/>
      <c r="W48" s="2638"/>
      <c r="X48" s="2638"/>
      <c r="Y48" s="2638"/>
      <c r="Z48" s="2638"/>
      <c r="AA48" s="2638"/>
      <c r="AB48" s="2638"/>
      <c r="AC48" s="2638"/>
      <c r="AD48" s="2638"/>
    </row>
    <row r="49" spans="1:30" s="108" customFormat="1" ht="15">
      <c r="A49" s="470" t="s">
        <v>1665</v>
      </c>
      <c r="B49" s="459"/>
      <c r="C49" s="471" t="s">
        <v>1760</v>
      </c>
      <c r="D49" s="472"/>
      <c r="E49" s="472"/>
      <c r="F49" s="472"/>
      <c r="G49" s="472"/>
      <c r="H49" s="472"/>
      <c r="I49" s="472"/>
      <c r="J49" s="472"/>
      <c r="K49" s="472"/>
      <c r="L49" s="473"/>
      <c r="M49" s="474"/>
      <c r="N49" s="2729"/>
      <c r="O49" s="2729"/>
      <c r="P49" s="2754"/>
      <c r="Q49" s="2716"/>
      <c r="R49" s="2638"/>
      <c r="S49" s="2638"/>
      <c r="T49" s="2638"/>
      <c r="U49" s="2638"/>
      <c r="V49" s="2638"/>
      <c r="W49" s="2638"/>
      <c r="X49" s="2638"/>
      <c r="Y49" s="2638"/>
      <c r="Z49" s="2638"/>
      <c r="AA49" s="2638"/>
      <c r="AB49" s="2638"/>
      <c r="AC49" s="2638"/>
      <c r="AD49" s="2638"/>
    </row>
    <row r="50" spans="1:30" s="108" customFormat="1" ht="15.75" thickBot="1">
      <c r="A50" s="470"/>
      <c r="B50" s="459"/>
      <c r="C50" s="587">
        <v>100</v>
      </c>
      <c r="D50" s="461"/>
      <c r="E50" s="461"/>
      <c r="F50" s="461"/>
      <c r="G50" s="461"/>
      <c r="H50" s="461"/>
      <c r="I50" s="461"/>
      <c r="J50" s="461"/>
      <c r="K50" s="461"/>
      <c r="L50" s="461"/>
      <c r="M50" s="463"/>
      <c r="N50" s="2729"/>
      <c r="O50" s="2729"/>
      <c r="P50" s="2716"/>
      <c r="Q50" s="2716"/>
      <c r="R50" s="2638"/>
      <c r="S50" s="2638"/>
      <c r="T50" s="2638"/>
      <c r="U50" s="2638"/>
      <c r="V50" s="2638"/>
      <c r="W50" s="2638"/>
      <c r="X50" s="2638"/>
      <c r="Y50" s="2638"/>
      <c r="Z50" s="2638"/>
      <c r="AA50" s="2638"/>
      <c r="AB50" s="2638"/>
      <c r="AC50" s="2638"/>
      <c r="AD50" s="2638"/>
    </row>
    <row r="51" spans="1:30">
      <c r="A51" s="476" t="s">
        <v>1703</v>
      </c>
      <c r="B51" s="477" t="s">
        <v>1669</v>
      </c>
      <c r="C51" s="478">
        <f>C9</f>
        <v>0</v>
      </c>
      <c r="D51" s="479"/>
      <c r="E51" s="479"/>
      <c r="F51" s="479"/>
      <c r="G51" s="479"/>
      <c r="H51" s="479"/>
      <c r="I51" s="479"/>
      <c r="J51" s="479"/>
      <c r="K51" s="480"/>
      <c r="L51" s="481"/>
      <c r="M51" s="482"/>
      <c r="N51" s="2730"/>
      <c r="O51" s="2730"/>
      <c r="P51" s="2755"/>
      <c r="Q51" s="2716"/>
      <c r="R51" s="2702"/>
      <c r="S51" s="2702"/>
      <c r="T51" s="2702"/>
      <c r="U51" s="2702"/>
      <c r="V51" s="2702"/>
      <c r="W51" s="2702"/>
      <c r="X51" s="2702"/>
      <c r="Y51" s="2702"/>
      <c r="Z51" s="2702"/>
      <c r="AA51" s="2702"/>
      <c r="AB51" s="2702"/>
      <c r="AC51" s="2702"/>
      <c r="AD51" s="2702"/>
    </row>
    <row r="52" spans="1:30" ht="15.75" thickBot="1">
      <c r="A52" s="483"/>
      <c r="B52" s="484"/>
      <c r="C52" s="485">
        <v>100</v>
      </c>
      <c r="D52" s="485"/>
      <c r="E52" s="485"/>
      <c r="F52" s="485"/>
      <c r="G52" s="485"/>
      <c r="H52" s="485"/>
      <c r="I52" s="485"/>
      <c r="J52" s="485"/>
      <c r="K52" s="485"/>
      <c r="L52" s="485"/>
      <c r="M52" s="486"/>
      <c r="N52" s="2731"/>
      <c r="O52" s="2731"/>
      <c r="P52" s="2755"/>
      <c r="Q52" s="2716"/>
      <c r="R52" s="2702"/>
      <c r="S52" s="2702"/>
      <c r="T52" s="2702"/>
      <c r="U52" s="2702"/>
      <c r="V52" s="2702"/>
      <c r="W52" s="2702"/>
      <c r="X52" s="2702"/>
      <c r="Y52" s="2702"/>
      <c r="Z52" s="2702"/>
      <c r="AA52" s="2702"/>
      <c r="AB52" s="2702"/>
      <c r="AC52" s="2702"/>
      <c r="AD52" s="2702"/>
    </row>
    <row r="53" spans="1:30" ht="27.75" thickTop="1">
      <c r="A53" s="483"/>
      <c r="B53" s="487" t="s">
        <v>1672</v>
      </c>
      <c r="C53" s="532"/>
      <c r="D53" s="532"/>
      <c r="E53" s="532"/>
      <c r="F53" s="532"/>
      <c r="G53" s="532"/>
      <c r="H53" s="532"/>
      <c r="I53" s="532"/>
      <c r="J53" s="532"/>
      <c r="K53" s="533"/>
      <c r="L53" s="534"/>
      <c r="M53" s="535"/>
      <c r="N53" s="2730"/>
      <c r="O53" s="2730"/>
      <c r="P53" s="2755"/>
      <c r="Q53" s="2716"/>
      <c r="R53" s="2702"/>
      <c r="S53" s="2702"/>
      <c r="T53" s="2702"/>
      <c r="U53" s="2702"/>
      <c r="V53" s="2702"/>
      <c r="W53" s="2702"/>
      <c r="X53" s="2702"/>
      <c r="Y53" s="2702"/>
      <c r="Z53" s="2702"/>
      <c r="AA53" s="2702"/>
      <c r="AB53" s="2702"/>
      <c r="AC53" s="2702"/>
      <c r="AD53" s="2702"/>
    </row>
    <row r="54" spans="1:30" ht="15.75" thickBot="1">
      <c r="A54" s="483"/>
      <c r="B54" s="492"/>
      <c r="C54" s="485"/>
      <c r="D54" s="485"/>
      <c r="E54" s="485"/>
      <c r="F54" s="485"/>
      <c r="G54" s="485"/>
      <c r="H54" s="485"/>
      <c r="I54" s="485"/>
      <c r="J54" s="485"/>
      <c r="K54" s="485"/>
      <c r="L54" s="485"/>
      <c r="M54" s="486"/>
      <c r="N54" s="2731"/>
      <c r="O54" s="2731"/>
      <c r="P54" s="2755"/>
      <c r="Q54" s="2716"/>
      <c r="R54" s="2702"/>
      <c r="S54" s="2702"/>
      <c r="T54" s="2702"/>
      <c r="U54" s="2702"/>
      <c r="V54" s="2702"/>
      <c r="W54" s="2702"/>
      <c r="X54" s="2702"/>
      <c r="Y54" s="2702"/>
      <c r="Z54" s="2702"/>
      <c r="AA54" s="2702"/>
      <c r="AB54" s="2702"/>
      <c r="AC54" s="2702"/>
      <c r="AD54" s="2702"/>
    </row>
    <row r="55" spans="1:30" ht="15.75" thickTop="1">
      <c r="A55" s="483"/>
      <c r="B55" s="608">
        <f>B11</f>
        <v>111</v>
      </c>
      <c r="C55" s="498"/>
      <c r="D55" s="498"/>
      <c r="E55" s="498"/>
      <c r="F55" s="498"/>
      <c r="G55" s="498"/>
      <c r="H55" s="498"/>
      <c r="I55" s="498"/>
      <c r="J55" s="498"/>
      <c r="K55" s="499"/>
      <c r="L55" s="500"/>
      <c r="M55" s="501"/>
      <c r="N55" s="2730"/>
      <c r="O55" s="2730"/>
      <c r="P55" s="2755"/>
      <c r="Q55" s="2716"/>
      <c r="R55" s="2702"/>
      <c r="S55" s="2702"/>
      <c r="T55" s="2702"/>
      <c r="U55" s="2702"/>
      <c r="V55" s="2702"/>
      <c r="W55" s="2702"/>
      <c r="X55" s="2702"/>
      <c r="Y55" s="2702"/>
      <c r="Z55" s="2702"/>
      <c r="AA55" s="2702"/>
      <c r="AB55" s="2702"/>
      <c r="AC55" s="2702"/>
      <c r="AD55" s="2702"/>
    </row>
    <row r="56" spans="1:30" ht="15.75" thickBot="1">
      <c r="A56" s="483"/>
      <c r="B56" s="484"/>
      <c r="C56" s="509"/>
      <c r="D56" s="485"/>
      <c r="E56" s="485"/>
      <c r="F56" s="485"/>
      <c r="G56" s="485"/>
      <c r="H56" s="485"/>
      <c r="I56" s="485"/>
      <c r="J56" s="485"/>
      <c r="K56" s="485"/>
      <c r="L56" s="485"/>
      <c r="M56" s="486"/>
      <c r="N56" s="2731"/>
      <c r="O56" s="2731"/>
      <c r="P56" s="2755"/>
      <c r="Q56" s="2716"/>
      <c r="R56" s="2702"/>
      <c r="S56" s="2702"/>
      <c r="T56" s="2702"/>
      <c r="U56" s="2702"/>
      <c r="V56" s="2702"/>
      <c r="W56" s="2702"/>
      <c r="X56" s="2702"/>
      <c r="Y56" s="2702"/>
      <c r="Z56" s="2702"/>
      <c r="AA56" s="2702"/>
      <c r="AB56" s="2702"/>
      <c r="AC56" s="2702"/>
      <c r="AD56" s="2702"/>
    </row>
    <row r="57" spans="1:30" s="422" customFormat="1" ht="15.75" thickTop="1">
      <c r="A57" s="502"/>
      <c r="B57" s="487">
        <f>B12</f>
        <v>111</v>
      </c>
      <c r="C57" s="498"/>
      <c r="D57" s="498"/>
      <c r="E57" s="498"/>
      <c r="F57" s="498"/>
      <c r="G57" s="503"/>
      <c r="H57" s="504"/>
      <c r="I57" s="504"/>
      <c r="J57" s="504"/>
      <c r="K57" s="504"/>
      <c r="L57" s="505"/>
      <c r="M57" s="506"/>
      <c r="N57" s="2732"/>
      <c r="O57" s="2732"/>
      <c r="P57" s="2756"/>
      <c r="Q57" s="2723"/>
      <c r="R57" s="2724"/>
      <c r="S57" s="2724"/>
      <c r="T57" s="2724"/>
      <c r="U57" s="2724"/>
      <c r="V57" s="2724"/>
      <c r="W57" s="2724"/>
      <c r="X57" s="2724"/>
      <c r="Y57" s="2724"/>
      <c r="Z57" s="2724"/>
      <c r="AA57" s="2724"/>
      <c r="AB57" s="2724"/>
      <c r="AC57" s="2724"/>
      <c r="AD57" s="2724"/>
    </row>
    <row r="58" spans="1:30" s="422" customFormat="1" ht="15.75" thickBot="1">
      <c r="A58" s="502"/>
      <c r="B58" s="492"/>
      <c r="C58" s="509"/>
      <c r="D58" s="485"/>
      <c r="E58" s="485"/>
      <c r="F58" s="485"/>
      <c r="G58" s="485"/>
      <c r="H58" s="485"/>
      <c r="I58" s="485"/>
      <c r="J58" s="485"/>
      <c r="K58" s="485"/>
      <c r="L58" s="485"/>
      <c r="M58" s="486"/>
      <c r="N58" s="2731"/>
      <c r="O58" s="2731"/>
      <c r="P58" s="2756"/>
      <c r="Q58" s="2723"/>
      <c r="R58" s="2724"/>
      <c r="S58" s="2724"/>
      <c r="T58" s="2724"/>
      <c r="U58" s="2724"/>
      <c r="V58" s="2724"/>
      <c r="W58" s="2724"/>
      <c r="X58" s="2724"/>
      <c r="Y58" s="2724"/>
      <c r="Z58" s="2724"/>
      <c r="AA58" s="2724"/>
      <c r="AB58" s="2724"/>
      <c r="AC58" s="2724"/>
      <c r="AD58" s="2724"/>
    </row>
    <row r="59" spans="1:30" s="422" customFormat="1" ht="15.75" thickTop="1">
      <c r="A59" s="502"/>
      <c r="B59" s="487">
        <f>B13</f>
        <v>111</v>
      </c>
      <c r="C59" s="498"/>
      <c r="D59" s="498"/>
      <c r="E59" s="498"/>
      <c r="F59" s="498"/>
      <c r="G59" s="503"/>
      <c r="H59" s="504"/>
      <c r="I59" s="504"/>
      <c r="J59" s="504"/>
      <c r="K59" s="504"/>
      <c r="L59" s="505"/>
      <c r="M59" s="506"/>
      <c r="N59" s="2732"/>
      <c r="O59" s="2732"/>
      <c r="P59" s="2700"/>
      <c r="Q59" s="2726"/>
      <c r="R59" s="2724"/>
      <c r="S59" s="2724"/>
      <c r="T59" s="2724"/>
      <c r="U59" s="2724"/>
      <c r="V59" s="2724"/>
      <c r="W59" s="2724"/>
      <c r="X59" s="2724"/>
      <c r="Y59" s="2724"/>
      <c r="Z59" s="2724"/>
      <c r="AA59" s="2724"/>
      <c r="AB59" s="2724"/>
      <c r="AC59" s="2724"/>
      <c r="AD59" s="2724"/>
    </row>
    <row r="60" spans="1:30" s="422" customFormat="1" ht="15.75" thickBot="1">
      <c r="A60" s="502"/>
      <c r="B60" s="492"/>
      <c r="C60" s="509"/>
      <c r="D60" s="509"/>
      <c r="E60" s="509"/>
      <c r="F60" s="509"/>
      <c r="G60" s="509"/>
      <c r="H60" s="511"/>
      <c r="I60" s="511"/>
      <c r="J60" s="511"/>
      <c r="K60" s="511"/>
      <c r="L60" s="511"/>
      <c r="M60" s="512"/>
      <c r="N60" s="2732"/>
      <c r="O60" s="2732"/>
      <c r="P60" s="2756"/>
      <c r="Q60" s="2723"/>
      <c r="R60" s="2724"/>
      <c r="S60" s="2724"/>
      <c r="T60" s="2724"/>
      <c r="U60" s="2724"/>
      <c r="V60" s="2724"/>
      <c r="W60" s="2724"/>
      <c r="X60" s="2724"/>
      <c r="Y60" s="2724"/>
      <c r="Z60" s="2724"/>
      <c r="AA60" s="2724"/>
      <c r="AB60" s="2724"/>
      <c r="AC60" s="2724"/>
      <c r="AD60" s="2724"/>
    </row>
    <row r="61" spans="1:30" ht="15" thickTop="1">
      <c r="A61" s="476" t="s">
        <v>1674</v>
      </c>
      <c r="B61" s="477" t="s">
        <v>1710</v>
      </c>
      <c r="C61" s="522" t="s">
        <v>1705</v>
      </c>
      <c r="D61" s="522" t="s">
        <v>1706</v>
      </c>
      <c r="E61" s="522" t="s">
        <v>1707</v>
      </c>
      <c r="F61" s="522" t="s">
        <v>1708</v>
      </c>
      <c r="G61" s="522" t="s">
        <v>1709</v>
      </c>
      <c r="H61" s="478"/>
      <c r="I61" s="478"/>
      <c r="J61" s="478"/>
      <c r="K61" s="523"/>
      <c r="L61" s="524"/>
      <c r="M61" s="525"/>
      <c r="N61" s="2730"/>
      <c r="O61" s="2730"/>
      <c r="P61" s="2757"/>
      <c r="Q61" s="2716"/>
      <c r="R61" s="2702"/>
      <c r="S61" s="2702"/>
      <c r="T61" s="2702"/>
      <c r="U61" s="2702"/>
      <c r="V61" s="2702"/>
      <c r="W61" s="2702"/>
      <c r="X61" s="2702"/>
      <c r="Y61" s="2702"/>
      <c r="Z61" s="2702"/>
      <c r="AA61" s="2702"/>
      <c r="AB61" s="2702"/>
      <c r="AC61" s="2702"/>
      <c r="AD61" s="270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31"/>
      <c r="O62" s="2731"/>
      <c r="P62" s="2755"/>
      <c r="Q62" s="2716"/>
      <c r="R62" s="2702"/>
      <c r="S62" s="2702"/>
      <c r="T62" s="2702"/>
      <c r="U62" s="2702"/>
      <c r="V62" s="2702"/>
      <c r="W62" s="2702"/>
      <c r="X62" s="2702"/>
      <c r="Y62" s="2702"/>
      <c r="Z62" s="2702"/>
      <c r="AA62" s="2702"/>
      <c r="AB62" s="2702"/>
      <c r="AC62" s="2702"/>
      <c r="AD62" s="2702"/>
    </row>
    <row r="63" spans="1:30" ht="27.75" thickTop="1">
      <c r="A63" s="483"/>
      <c r="B63" s="487" t="s">
        <v>1847</v>
      </c>
      <c r="C63" s="527" t="s">
        <v>1705</v>
      </c>
      <c r="D63" s="527" t="s">
        <v>1706</v>
      </c>
      <c r="E63" s="527" t="s">
        <v>1707</v>
      </c>
      <c r="F63" s="527" t="s">
        <v>1708</v>
      </c>
      <c r="G63" s="527" t="s">
        <v>1709</v>
      </c>
      <c r="H63" s="488"/>
      <c r="I63" s="488"/>
      <c r="J63" s="488"/>
      <c r="K63" s="489"/>
      <c r="L63" s="490"/>
      <c r="M63" s="491"/>
      <c r="N63" s="2730"/>
      <c r="O63" s="2730"/>
      <c r="P63" s="2755"/>
      <c r="Q63" s="2716"/>
      <c r="R63" s="2702"/>
      <c r="S63" s="2702"/>
      <c r="T63" s="2702"/>
      <c r="U63" s="2702"/>
      <c r="V63" s="2702"/>
      <c r="W63" s="2702"/>
      <c r="X63" s="2702"/>
      <c r="Y63" s="2702"/>
      <c r="Z63" s="2702"/>
      <c r="AA63" s="2702"/>
      <c r="AB63" s="2702"/>
      <c r="AC63" s="2702"/>
      <c r="AD63" s="270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31"/>
      <c r="O64" s="2731"/>
      <c r="P64" s="2755"/>
      <c r="Q64" s="2716"/>
      <c r="R64" s="2702"/>
      <c r="S64" s="2702"/>
      <c r="T64" s="2702"/>
      <c r="U64" s="2702"/>
      <c r="V64" s="2702"/>
      <c r="W64" s="2702"/>
      <c r="X64" s="2702"/>
      <c r="Y64" s="2702"/>
      <c r="Z64" s="2702"/>
      <c r="AA64" s="2702"/>
      <c r="AB64" s="2702"/>
      <c r="AC64" s="2702"/>
      <c r="AD64" s="2702"/>
    </row>
    <row r="65" spans="1:30" ht="15.75" thickTop="1">
      <c r="A65" s="483"/>
      <c r="B65" s="495" t="s">
        <v>1797</v>
      </c>
      <c r="C65" s="608" t="s">
        <v>1783</v>
      </c>
      <c r="D65" s="608" t="s">
        <v>1784</v>
      </c>
      <c r="E65" s="608" t="s">
        <v>1785</v>
      </c>
      <c r="F65" s="608" t="s">
        <v>1786</v>
      </c>
      <c r="G65" s="608" t="s">
        <v>1787</v>
      </c>
      <c r="H65" s="488"/>
      <c r="I65" s="488"/>
      <c r="J65" s="488"/>
      <c r="K65" s="488"/>
      <c r="L65" s="488"/>
      <c r="M65" s="1129"/>
      <c r="N65" s="2731"/>
      <c r="O65" s="2731"/>
      <c r="P65" s="2755"/>
      <c r="Q65" s="2716"/>
      <c r="R65" s="2702"/>
      <c r="S65" s="2702"/>
      <c r="T65" s="2702"/>
      <c r="U65" s="2702"/>
      <c r="V65" s="2702"/>
      <c r="W65" s="2702"/>
      <c r="X65" s="2702"/>
      <c r="Y65" s="2702"/>
      <c r="Z65" s="2702"/>
      <c r="AA65" s="2702"/>
      <c r="AB65" s="2702"/>
      <c r="AC65" s="2702"/>
      <c r="AD65" s="270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31"/>
      <c r="O66" s="2731"/>
      <c r="P66" s="2755"/>
      <c r="Q66" s="2716"/>
      <c r="R66" s="2702"/>
      <c r="S66" s="2702"/>
      <c r="T66" s="2702"/>
      <c r="U66" s="2702"/>
      <c r="V66" s="2702"/>
      <c r="W66" s="2702"/>
      <c r="X66" s="2702"/>
      <c r="Y66" s="2702"/>
      <c r="Z66" s="2702"/>
      <c r="AA66" s="2702"/>
      <c r="AB66" s="2702"/>
      <c r="AC66" s="2702"/>
      <c r="AD66" s="2702"/>
    </row>
    <row r="67" spans="1:30" ht="15.75" thickTop="1">
      <c r="A67" s="483"/>
      <c r="B67" s="487" t="s">
        <v>1717</v>
      </c>
      <c r="C67" s="527" t="s">
        <v>1705</v>
      </c>
      <c r="D67" s="527" t="s">
        <v>1706</v>
      </c>
      <c r="E67" s="527" t="s">
        <v>1707</v>
      </c>
      <c r="F67" s="527" t="s">
        <v>1708</v>
      </c>
      <c r="G67" s="527" t="s">
        <v>1709</v>
      </c>
      <c r="H67" s="488"/>
      <c r="I67" s="488"/>
      <c r="J67" s="488"/>
      <c r="K67" s="489"/>
      <c r="L67" s="490"/>
      <c r="M67" s="491"/>
      <c r="N67" s="2730"/>
      <c r="O67" s="2730"/>
      <c r="P67" s="2755"/>
      <c r="Q67" s="2716"/>
      <c r="R67" s="2702"/>
      <c r="S67" s="2702"/>
      <c r="T67" s="2702"/>
      <c r="U67" s="2702"/>
      <c r="V67" s="2702"/>
      <c r="W67" s="2702"/>
      <c r="X67" s="2702"/>
      <c r="Y67" s="2702"/>
      <c r="Z67" s="2702"/>
      <c r="AA67" s="2702"/>
      <c r="AB67" s="2702"/>
      <c r="AC67" s="2702"/>
      <c r="AD67" s="270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31"/>
      <c r="O68" s="2731"/>
      <c r="P68" s="2755"/>
      <c r="Q68" s="2716"/>
      <c r="R68" s="2702"/>
      <c r="S68" s="2702"/>
      <c r="T68" s="2702"/>
      <c r="U68" s="2702"/>
      <c r="V68" s="2702"/>
      <c r="W68" s="2702"/>
      <c r="X68" s="2702"/>
      <c r="Y68" s="2702"/>
      <c r="Z68" s="2702"/>
      <c r="AA68" s="2702"/>
      <c r="AB68" s="2702"/>
      <c r="AC68" s="2702"/>
      <c r="AD68" s="2702"/>
    </row>
    <row r="69" spans="1:30" ht="15.75" thickTop="1">
      <c r="A69" s="483"/>
      <c r="B69" s="487" t="s">
        <v>1836</v>
      </c>
      <c r="C69" s="503"/>
      <c r="D69" s="503"/>
      <c r="E69" s="503"/>
      <c r="F69" s="503"/>
      <c r="G69" s="503"/>
      <c r="H69" s="532"/>
      <c r="I69" s="532"/>
      <c r="J69" s="532"/>
      <c r="K69" s="533"/>
      <c r="L69" s="534"/>
      <c r="M69" s="535"/>
      <c r="N69" s="2730"/>
      <c r="O69" s="2730"/>
      <c r="P69" s="2755"/>
      <c r="Q69" s="2716"/>
      <c r="R69" s="2702"/>
      <c r="S69" s="2702"/>
      <c r="T69" s="2702"/>
      <c r="U69" s="2702"/>
      <c r="V69" s="2702"/>
      <c r="W69" s="2702"/>
      <c r="X69" s="2702"/>
      <c r="Y69" s="2702"/>
      <c r="Z69" s="2702"/>
      <c r="AA69" s="2702"/>
      <c r="AB69" s="2702"/>
      <c r="AC69" s="2702"/>
      <c r="AD69" s="2702"/>
    </row>
    <row r="70" spans="1:30" ht="15.75" thickBot="1">
      <c r="A70" s="483"/>
      <c r="B70" s="492"/>
      <c r="C70" s="493">
        <v>100</v>
      </c>
      <c r="D70" s="493">
        <f>C70-$K22</f>
        <v>100</v>
      </c>
      <c r="E70" s="493"/>
      <c r="F70" s="493"/>
      <c r="G70" s="493"/>
      <c r="H70" s="493"/>
      <c r="I70" s="493"/>
      <c r="J70" s="493"/>
      <c r="K70" s="493"/>
      <c r="L70" s="493"/>
      <c r="M70" s="494"/>
      <c r="N70" s="2731"/>
      <c r="O70" s="2731"/>
      <c r="P70" s="2755"/>
      <c r="Q70" s="2716"/>
      <c r="R70" s="2702"/>
      <c r="S70" s="2702"/>
      <c r="T70" s="2702"/>
      <c r="U70" s="2702"/>
      <c r="V70" s="2702"/>
      <c r="W70" s="2702"/>
      <c r="X70" s="2702"/>
      <c r="Y70" s="2702"/>
      <c r="Z70" s="2702"/>
      <c r="AA70" s="2702"/>
      <c r="AB70" s="2702"/>
      <c r="AC70" s="2702"/>
      <c r="AD70" s="2702"/>
    </row>
    <row r="71" spans="1:30" s="108" customFormat="1" ht="15.75" thickTop="1">
      <c r="A71" s="528"/>
      <c r="B71" s="487">
        <f>B23</f>
        <v>111</v>
      </c>
      <c r="C71" s="498"/>
      <c r="D71" s="498"/>
      <c r="E71" s="498"/>
      <c r="F71" s="498"/>
      <c r="G71" s="503"/>
      <c r="H71" s="503"/>
      <c r="I71" s="503"/>
      <c r="J71" s="503"/>
      <c r="K71" s="503"/>
      <c r="L71" s="529"/>
      <c r="M71" s="530"/>
      <c r="N71" s="2729"/>
      <c r="O71" s="2729"/>
      <c r="P71" s="2755"/>
      <c r="Q71" s="2716"/>
      <c r="R71" s="2638"/>
      <c r="S71" s="2638"/>
      <c r="T71" s="2638"/>
      <c r="U71" s="2638"/>
      <c r="V71" s="2638"/>
      <c r="W71" s="2638"/>
      <c r="X71" s="2638"/>
      <c r="Y71" s="2638"/>
      <c r="Z71" s="2638"/>
      <c r="AA71" s="2638"/>
      <c r="AB71" s="2638"/>
      <c r="AC71" s="2638"/>
      <c r="AD71" s="2638"/>
    </row>
    <row r="72" spans="1:30" s="108" customFormat="1" ht="15.75" thickBot="1">
      <c r="A72" s="528"/>
      <c r="B72" s="492"/>
      <c r="C72" s="509"/>
      <c r="D72" s="485"/>
      <c r="E72" s="485"/>
      <c r="F72" s="485"/>
      <c r="G72" s="485"/>
      <c r="H72" s="485"/>
      <c r="I72" s="485"/>
      <c r="J72" s="485"/>
      <c r="K72" s="485"/>
      <c r="L72" s="485"/>
      <c r="M72" s="486"/>
      <c r="N72" s="2731"/>
      <c r="O72" s="2731"/>
      <c r="P72" s="2755"/>
      <c r="Q72" s="2716"/>
      <c r="R72" s="2638"/>
      <c r="S72" s="2638"/>
      <c r="T72" s="2638"/>
      <c r="U72" s="2638"/>
      <c r="V72" s="2638"/>
      <c r="W72" s="2638"/>
      <c r="X72" s="2638"/>
      <c r="Y72" s="2638"/>
      <c r="Z72" s="2638"/>
      <c r="AA72" s="2638"/>
      <c r="AB72" s="2638"/>
      <c r="AC72" s="2638"/>
      <c r="AD72" s="2638"/>
    </row>
    <row r="73" spans="1:30" s="108" customFormat="1" ht="15.75" thickTop="1">
      <c r="A73" s="528"/>
      <c r="B73" s="487">
        <f>B24</f>
        <v>111</v>
      </c>
      <c r="C73" s="498"/>
      <c r="D73" s="498"/>
      <c r="E73" s="498"/>
      <c r="F73" s="498"/>
      <c r="G73" s="503"/>
      <c r="H73" s="503"/>
      <c r="I73" s="503"/>
      <c r="J73" s="503"/>
      <c r="K73" s="503"/>
      <c r="L73" s="503"/>
      <c r="M73" s="530"/>
      <c r="N73" s="2729"/>
      <c r="O73" s="2729"/>
      <c r="P73" s="2755"/>
      <c r="Q73" s="2716"/>
      <c r="R73" s="2638"/>
      <c r="S73" s="2638"/>
      <c r="T73" s="2638"/>
      <c r="U73" s="2638"/>
      <c r="V73" s="2638"/>
      <c r="W73" s="2638"/>
      <c r="X73" s="2638"/>
      <c r="Y73" s="2638"/>
      <c r="Z73" s="2638"/>
      <c r="AA73" s="2638"/>
      <c r="AB73" s="2638"/>
      <c r="AC73" s="2638"/>
      <c r="AD73" s="2638"/>
    </row>
    <row r="74" spans="1:30" s="108" customFormat="1" ht="15.75" thickBot="1">
      <c r="A74" s="528"/>
      <c r="B74" s="492"/>
      <c r="C74" s="509"/>
      <c r="D74" s="485"/>
      <c r="E74" s="485"/>
      <c r="F74" s="485"/>
      <c r="G74" s="485"/>
      <c r="H74" s="485"/>
      <c r="I74" s="485"/>
      <c r="J74" s="485"/>
      <c r="K74" s="485"/>
      <c r="L74" s="485"/>
      <c r="M74" s="486"/>
      <c r="N74" s="2731"/>
      <c r="O74" s="2731"/>
      <c r="P74" s="2755"/>
      <c r="Q74" s="2716"/>
      <c r="R74" s="2638"/>
      <c r="S74" s="2638"/>
      <c r="T74" s="2638"/>
      <c r="U74" s="2638"/>
      <c r="V74" s="2638"/>
      <c r="W74" s="2638"/>
      <c r="X74" s="2638"/>
      <c r="Y74" s="2638"/>
      <c r="Z74" s="2638"/>
      <c r="AA74" s="2638"/>
      <c r="AB74" s="2638"/>
      <c r="AC74" s="2638"/>
      <c r="AD74" s="2638"/>
    </row>
    <row r="75" spans="1:30" s="422" customFormat="1" ht="15.75" thickTop="1">
      <c r="A75" s="502"/>
      <c r="B75" s="487">
        <f>B25</f>
        <v>111</v>
      </c>
      <c r="C75" s="498"/>
      <c r="D75" s="498"/>
      <c r="E75" s="498"/>
      <c r="F75" s="498"/>
      <c r="G75" s="503"/>
      <c r="H75" s="504"/>
      <c r="I75" s="504"/>
      <c r="J75" s="504"/>
      <c r="K75" s="504"/>
      <c r="L75" s="505"/>
      <c r="M75" s="506"/>
      <c r="N75" s="2732"/>
      <c r="O75" s="2732"/>
      <c r="P75" s="2756"/>
      <c r="Q75" s="2723"/>
      <c r="R75" s="2724"/>
      <c r="S75" s="2724"/>
      <c r="T75" s="2724"/>
      <c r="U75" s="2724"/>
      <c r="V75" s="2724"/>
      <c r="W75" s="2724"/>
      <c r="X75" s="2724"/>
      <c r="Y75" s="2724"/>
      <c r="Z75" s="2724"/>
      <c r="AA75" s="2724"/>
      <c r="AB75" s="2724"/>
      <c r="AC75" s="2724"/>
      <c r="AD75" s="2724"/>
    </row>
    <row r="76" spans="1:30" s="422" customFormat="1" ht="15.75" thickBot="1">
      <c r="A76" s="502"/>
      <c r="B76" s="492"/>
      <c r="C76" s="509"/>
      <c r="D76" s="509"/>
      <c r="E76" s="509"/>
      <c r="F76" s="509"/>
      <c r="G76" s="485"/>
      <c r="H76" s="485"/>
      <c r="I76" s="485"/>
      <c r="J76" s="485"/>
      <c r="K76" s="485"/>
      <c r="L76" s="485"/>
      <c r="M76" s="486"/>
      <c r="N76" s="2732"/>
      <c r="O76" s="2732"/>
      <c r="P76" s="2756"/>
      <c r="Q76" s="2723"/>
      <c r="R76" s="2724"/>
      <c r="S76" s="2724"/>
      <c r="T76" s="2724"/>
      <c r="U76" s="2724"/>
      <c r="V76" s="2724"/>
      <c r="W76" s="2724"/>
      <c r="X76" s="2724"/>
      <c r="Y76" s="2724"/>
      <c r="Z76" s="2724"/>
      <c r="AA76" s="2724"/>
      <c r="AB76" s="2724"/>
      <c r="AC76" s="2724"/>
      <c r="AD76" s="2724"/>
    </row>
    <row r="77" spans="1:30" ht="15" thickTop="1">
      <c r="A77" s="476" t="s">
        <v>1678</v>
      </c>
      <c r="B77" s="477" t="s">
        <v>1724</v>
      </c>
      <c r="C77" s="503"/>
      <c r="D77" s="503"/>
      <c r="E77" s="479"/>
      <c r="F77" s="479"/>
      <c r="G77" s="479"/>
      <c r="H77" s="479"/>
      <c r="I77" s="479"/>
      <c r="J77" s="479"/>
      <c r="K77" s="480"/>
      <c r="L77" s="481"/>
      <c r="M77" s="482"/>
      <c r="N77" s="2730"/>
      <c r="O77" s="2730"/>
      <c r="P77" s="2755"/>
      <c r="Q77" s="2716"/>
      <c r="R77" s="2702"/>
      <c r="S77" s="2702"/>
      <c r="T77" s="2702"/>
      <c r="U77" s="2702"/>
      <c r="V77" s="2702"/>
      <c r="W77" s="2702"/>
      <c r="X77" s="2702"/>
      <c r="Y77" s="2702"/>
      <c r="Z77" s="2702"/>
      <c r="AA77" s="2702"/>
      <c r="AB77" s="2702"/>
      <c r="AC77" s="2702"/>
      <c r="AD77" s="270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31"/>
      <c r="O78" s="2731"/>
      <c r="P78" s="2755"/>
      <c r="Q78" s="2716"/>
      <c r="R78" s="2702"/>
      <c r="S78" s="2702"/>
      <c r="T78" s="2702"/>
      <c r="U78" s="2702"/>
      <c r="V78" s="2702"/>
      <c r="W78" s="2702"/>
      <c r="X78" s="2702"/>
      <c r="Y78" s="2702"/>
      <c r="Z78" s="2702"/>
      <c r="AA78" s="2702"/>
      <c r="AB78" s="2702"/>
      <c r="AC78" s="2702"/>
      <c r="AD78" s="2702"/>
    </row>
    <row r="79" spans="1:30" ht="15.75" thickTop="1">
      <c r="A79" s="483"/>
      <c r="B79" s="487" t="s">
        <v>1839</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29"/>
      <c r="O79" s="2729"/>
      <c r="P79" s="2755"/>
      <c r="Q79" s="2716"/>
      <c r="R79" s="2702"/>
      <c r="S79" s="2702"/>
      <c r="T79" s="2702"/>
      <c r="U79" s="2702"/>
      <c r="V79" s="2702"/>
      <c r="W79" s="2702"/>
      <c r="X79" s="2702"/>
      <c r="Y79" s="2702"/>
      <c r="Z79" s="2702"/>
      <c r="AA79" s="2702"/>
      <c r="AB79" s="2702"/>
      <c r="AC79" s="2702"/>
      <c r="AD79" s="2702"/>
    </row>
    <row r="80" spans="1:30" ht="15">
      <c r="A80" s="483"/>
      <c r="B80" s="495"/>
      <c r="C80" s="552">
        <v>0.5</v>
      </c>
      <c r="D80" s="552">
        <v>0.6</v>
      </c>
      <c r="E80" s="552">
        <v>0.7</v>
      </c>
      <c r="F80" s="552">
        <v>0.8</v>
      </c>
      <c r="G80" s="552">
        <v>0.9</v>
      </c>
      <c r="H80" s="552">
        <v>1.0001</v>
      </c>
      <c r="I80" s="608"/>
      <c r="J80" s="608"/>
      <c r="K80" s="616"/>
      <c r="L80" s="617"/>
      <c r="M80" s="618"/>
      <c r="N80" s="2729"/>
      <c r="O80" s="2729"/>
      <c r="P80" s="2755"/>
      <c r="Q80" s="2716"/>
      <c r="R80" s="2702"/>
      <c r="S80" s="2702"/>
      <c r="T80" s="2702"/>
      <c r="U80" s="2702"/>
      <c r="V80" s="2702"/>
      <c r="W80" s="2702"/>
      <c r="X80" s="2702"/>
      <c r="Y80" s="2702"/>
      <c r="Z80" s="2702"/>
      <c r="AA80" s="2702"/>
      <c r="AB80" s="2702"/>
      <c r="AC80" s="2702"/>
      <c r="AD80" s="270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31"/>
      <c r="O81" s="2731"/>
      <c r="P81" s="2756"/>
      <c r="Q81" s="2723"/>
      <c r="R81" s="2724"/>
      <c r="S81" s="2724"/>
      <c r="T81" s="2724"/>
      <c r="U81" s="2724"/>
      <c r="V81" s="2724"/>
      <c r="W81" s="2724"/>
      <c r="X81" s="2724"/>
      <c r="Y81" s="2724"/>
      <c r="Z81" s="2724"/>
      <c r="AA81" s="2724"/>
      <c r="AB81" s="2724"/>
      <c r="AC81" s="2724"/>
      <c r="AD81" s="2724"/>
    </row>
    <row r="82" spans="1:30" ht="15" thickTop="1">
      <c r="A82" s="548"/>
      <c r="B82" s="495" t="s">
        <v>1840</v>
      </c>
      <c r="C82" s="503"/>
      <c r="D82" s="503"/>
      <c r="E82" s="532"/>
      <c r="F82" s="532"/>
      <c r="G82" s="532"/>
      <c r="H82" s="532"/>
      <c r="I82" s="532"/>
      <c r="J82" s="532"/>
      <c r="K82" s="533"/>
      <c r="L82" s="534"/>
      <c r="M82" s="535"/>
      <c r="N82" s="2730"/>
      <c r="O82" s="2730"/>
      <c r="P82" s="2755"/>
      <c r="Q82" s="2716"/>
      <c r="R82" s="2702"/>
      <c r="S82" s="2702"/>
      <c r="T82" s="2702"/>
      <c r="U82" s="2702"/>
      <c r="V82" s="2702"/>
      <c r="W82" s="2702"/>
      <c r="X82" s="2702"/>
      <c r="Y82" s="2702"/>
      <c r="Z82" s="2702"/>
      <c r="AA82" s="2702"/>
      <c r="AB82" s="2702"/>
      <c r="AC82" s="2702"/>
      <c r="AD82" s="270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31"/>
      <c r="O83" s="2731"/>
      <c r="P83" s="2755"/>
      <c r="Q83" s="2716"/>
      <c r="R83" s="2702"/>
      <c r="S83" s="2702"/>
      <c r="T83" s="2702"/>
      <c r="U83" s="2702"/>
      <c r="V83" s="2702"/>
      <c r="W83" s="2702"/>
      <c r="X83" s="2702"/>
      <c r="Y83" s="2702"/>
      <c r="Z83" s="2702"/>
      <c r="AA83" s="2702"/>
      <c r="AB83" s="2702"/>
      <c r="AC83" s="2702"/>
      <c r="AD83" s="2702"/>
    </row>
    <row r="84" spans="1:30" ht="15" thickTop="1">
      <c r="A84" s="548"/>
      <c r="B84" s="487" t="s">
        <v>1848</v>
      </c>
      <c r="C84" s="503"/>
      <c r="D84" s="503"/>
      <c r="E84" s="503"/>
      <c r="F84" s="503"/>
      <c r="G84" s="503"/>
      <c r="H84" s="503"/>
      <c r="I84" s="532"/>
      <c r="J84" s="532"/>
      <c r="K84" s="533"/>
      <c r="L84" s="534"/>
      <c r="M84" s="535"/>
      <c r="N84" s="2730"/>
      <c r="O84" s="2730"/>
      <c r="P84" s="2755"/>
      <c r="Q84" s="2716"/>
      <c r="R84" s="2702"/>
      <c r="S84" s="2702"/>
      <c r="T84" s="2702"/>
      <c r="U84" s="2702"/>
      <c r="V84" s="2702"/>
      <c r="W84" s="2702"/>
      <c r="X84" s="2702"/>
      <c r="Y84" s="2702"/>
      <c r="Z84" s="2702"/>
      <c r="AA84" s="2702"/>
      <c r="AB84" s="2702"/>
      <c r="AC84" s="2702"/>
      <c r="AD84" s="270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31"/>
      <c r="O85" s="2731"/>
      <c r="P85" s="2755"/>
      <c r="Q85" s="2716"/>
      <c r="R85" s="2702"/>
      <c r="S85" s="2702"/>
      <c r="T85" s="2702"/>
      <c r="U85" s="2702"/>
      <c r="V85" s="2702"/>
      <c r="W85" s="2702"/>
      <c r="X85" s="2702"/>
      <c r="Y85" s="2702"/>
      <c r="Z85" s="2702"/>
      <c r="AA85" s="2702"/>
      <c r="AB85" s="2702"/>
      <c r="AC85" s="2702"/>
      <c r="AD85" s="2702"/>
    </row>
    <row r="86" spans="1:30" ht="15" thickTop="1">
      <c r="A86" s="548"/>
      <c r="B86" s="495" t="s">
        <v>1849</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30"/>
      <c r="O86" s="2730"/>
      <c r="P86" s="2755"/>
      <c r="Q86" s="2716"/>
      <c r="R86" s="2702"/>
      <c r="S86" s="2702"/>
      <c r="T86" s="2702"/>
      <c r="U86" s="2702"/>
      <c r="V86" s="2702"/>
      <c r="W86" s="2702"/>
      <c r="X86" s="2702"/>
      <c r="Y86" s="2702"/>
      <c r="Z86" s="2702"/>
      <c r="AA86" s="2702"/>
      <c r="AB86" s="2702"/>
      <c r="AC86" s="2702"/>
      <c r="AD86" s="2702"/>
    </row>
    <row r="87" spans="1:30">
      <c r="A87" s="548"/>
      <c r="B87" s="495"/>
      <c r="C87" s="544"/>
      <c r="D87" s="544"/>
      <c r="E87" s="544"/>
      <c r="F87" s="544"/>
      <c r="G87" s="544"/>
      <c r="H87" s="544"/>
      <c r="I87" s="544"/>
      <c r="J87" s="545"/>
      <c r="K87" s="545"/>
      <c r="L87" s="546"/>
      <c r="M87" s="547"/>
      <c r="N87" s="2730"/>
      <c r="O87" s="2730"/>
      <c r="P87" s="2755"/>
      <c r="Q87" s="2716"/>
      <c r="R87" s="2702"/>
      <c r="S87" s="2702"/>
      <c r="T87" s="2702"/>
      <c r="U87" s="2702"/>
      <c r="V87" s="2702"/>
      <c r="W87" s="2702"/>
      <c r="X87" s="2702"/>
      <c r="Y87" s="2702"/>
      <c r="Z87" s="2702"/>
      <c r="AA87" s="2702"/>
      <c r="AB87" s="2702"/>
      <c r="AC87" s="2702"/>
      <c r="AD87" s="2702"/>
    </row>
    <row r="88" spans="1:30" ht="15.75" thickBot="1">
      <c r="A88" s="483"/>
      <c r="B88" s="492"/>
      <c r="C88" s="509"/>
      <c r="D88" s="485"/>
      <c r="E88" s="485"/>
      <c r="F88" s="485"/>
      <c r="G88" s="485"/>
      <c r="H88" s="485"/>
      <c r="I88" s="485"/>
      <c r="J88" s="485"/>
      <c r="K88" s="485"/>
      <c r="L88" s="485"/>
      <c r="M88" s="485"/>
      <c r="N88" s="2731"/>
      <c r="O88" s="2731"/>
      <c r="P88" s="2755"/>
      <c r="Q88" s="2716"/>
      <c r="R88" s="2702"/>
      <c r="S88" s="2702"/>
      <c r="T88" s="2702"/>
      <c r="U88" s="2702"/>
      <c r="V88" s="2702"/>
      <c r="W88" s="2702"/>
      <c r="X88" s="2702"/>
      <c r="Y88" s="2702"/>
      <c r="Z88" s="2702"/>
      <c r="AA88" s="2702"/>
      <c r="AB88" s="2702"/>
      <c r="AC88" s="2702"/>
      <c r="AD88" s="2702"/>
    </row>
    <row r="89" spans="1:30" s="422" customFormat="1" ht="15" thickTop="1">
      <c r="A89" s="542"/>
      <c r="B89" s="487" t="s">
        <v>1850</v>
      </c>
      <c r="C89" s="503"/>
      <c r="D89" s="503"/>
      <c r="E89" s="503"/>
      <c r="F89" s="503"/>
      <c r="G89" s="503"/>
      <c r="H89" s="503"/>
      <c r="I89" s="503"/>
      <c r="J89" s="503"/>
      <c r="K89" s="503"/>
      <c r="L89" s="503"/>
      <c r="M89" s="530"/>
      <c r="N89" s="2732"/>
      <c r="O89" s="2732"/>
      <c r="P89" s="2756"/>
      <c r="Q89" s="2723"/>
      <c r="R89" s="2724"/>
      <c r="S89" s="2724"/>
      <c r="T89" s="2724"/>
      <c r="U89" s="2724"/>
      <c r="V89" s="2724"/>
      <c r="W89" s="2724"/>
      <c r="X89" s="2724"/>
      <c r="Y89" s="2724"/>
      <c r="Z89" s="2724"/>
      <c r="AA89" s="2724"/>
      <c r="AB89" s="2724"/>
      <c r="AC89" s="2724"/>
      <c r="AD89" s="2724"/>
    </row>
    <row r="90" spans="1:30" s="422" customFormat="1" ht="15.75" thickBot="1">
      <c r="A90" s="502"/>
      <c r="B90" s="492"/>
      <c r="C90" s="509"/>
      <c r="D90" s="485"/>
      <c r="E90" s="485"/>
      <c r="F90" s="485"/>
      <c r="G90" s="485"/>
      <c r="H90" s="485"/>
      <c r="I90" s="485"/>
      <c r="J90" s="485"/>
      <c r="K90" s="485"/>
      <c r="L90" s="485"/>
      <c r="M90" s="486"/>
      <c r="N90" s="2732"/>
      <c r="O90" s="2732"/>
      <c r="P90" s="2756"/>
      <c r="Q90" s="2723"/>
      <c r="R90" s="2724"/>
      <c r="S90" s="2724"/>
      <c r="T90" s="2724"/>
      <c r="U90" s="2724"/>
      <c r="V90" s="2724"/>
      <c r="W90" s="2724"/>
      <c r="X90" s="2724"/>
      <c r="Y90" s="2724"/>
      <c r="Z90" s="2724"/>
      <c r="AA90" s="2724"/>
      <c r="AB90" s="2724"/>
      <c r="AC90" s="2724"/>
      <c r="AD90" s="2724"/>
    </row>
    <row r="91" spans="1:30" ht="15" thickTop="1">
      <c r="A91" s="548"/>
      <c r="B91" s="487">
        <f>B32</f>
        <v>111</v>
      </c>
      <c r="C91" s="498"/>
      <c r="D91" s="498"/>
      <c r="E91" s="498"/>
      <c r="F91" s="498"/>
      <c r="G91" s="503"/>
      <c r="H91" s="504"/>
      <c r="I91" s="504"/>
      <c r="J91" s="504"/>
      <c r="K91" s="504"/>
      <c r="L91" s="505"/>
      <c r="M91" s="506"/>
      <c r="N91" s="2730"/>
      <c r="O91" s="2730"/>
      <c r="P91" s="2755"/>
      <c r="Q91" s="2716"/>
      <c r="R91" s="2702"/>
      <c r="S91" s="2702"/>
      <c r="T91" s="2702"/>
      <c r="U91" s="2702"/>
      <c r="V91" s="2702"/>
      <c r="W91" s="2702"/>
      <c r="X91" s="2702"/>
      <c r="Y91" s="2702"/>
      <c r="Z91" s="2702"/>
      <c r="AA91" s="2702"/>
      <c r="AB91" s="2702"/>
      <c r="AC91" s="2702"/>
      <c r="AD91" s="2702"/>
    </row>
    <row r="92" spans="1:30" ht="15.75" thickBot="1">
      <c r="A92" s="483"/>
      <c r="B92" s="492"/>
      <c r="C92" s="509"/>
      <c r="D92" s="485"/>
      <c r="E92" s="485"/>
      <c r="F92" s="485"/>
      <c r="G92" s="509"/>
      <c r="H92" s="511"/>
      <c r="I92" s="511"/>
      <c r="J92" s="511"/>
      <c r="K92" s="511"/>
      <c r="L92" s="511"/>
      <c r="M92" s="512"/>
      <c r="N92" s="2731"/>
      <c r="O92" s="2731"/>
      <c r="P92" s="2755"/>
      <c r="Q92" s="2716"/>
      <c r="R92" s="2702"/>
      <c r="S92" s="2702"/>
      <c r="T92" s="2702"/>
      <c r="U92" s="2702"/>
      <c r="V92" s="2702"/>
      <c r="W92" s="2702"/>
      <c r="X92" s="2702"/>
      <c r="Y92" s="2702"/>
      <c r="Z92" s="2702"/>
      <c r="AA92" s="2702"/>
      <c r="AB92" s="2702"/>
      <c r="AC92" s="2702"/>
      <c r="AD92" s="2702"/>
    </row>
    <row r="93" spans="1:30" ht="15" thickTop="1">
      <c r="A93" s="548"/>
      <c r="B93" s="487">
        <f>B33</f>
        <v>111</v>
      </c>
      <c r="C93" s="498"/>
      <c r="D93" s="498"/>
      <c r="E93" s="498"/>
      <c r="F93" s="498"/>
      <c r="G93" s="503"/>
      <c r="H93" s="504"/>
      <c r="I93" s="504"/>
      <c r="J93" s="504"/>
      <c r="K93" s="504"/>
      <c r="L93" s="505"/>
      <c r="M93" s="506"/>
      <c r="N93" s="2730"/>
      <c r="O93" s="2730"/>
      <c r="P93" s="2755"/>
      <c r="Q93" s="2716"/>
      <c r="R93" s="2702"/>
      <c r="S93" s="2702"/>
      <c r="T93" s="2702"/>
      <c r="U93" s="2702"/>
      <c r="V93" s="2702"/>
      <c r="W93" s="2702"/>
      <c r="X93" s="2702"/>
      <c r="Y93" s="2702"/>
      <c r="Z93" s="2702"/>
      <c r="AA93" s="2702"/>
      <c r="AB93" s="2702"/>
      <c r="AC93" s="2702"/>
      <c r="AD93" s="2702"/>
    </row>
    <row r="94" spans="1:30" ht="15.75" thickBot="1">
      <c r="A94" s="483"/>
      <c r="B94" s="492"/>
      <c r="C94" s="509"/>
      <c r="D94" s="485"/>
      <c r="E94" s="485"/>
      <c r="F94" s="485"/>
      <c r="G94" s="509"/>
      <c r="H94" s="511"/>
      <c r="I94" s="511"/>
      <c r="J94" s="511"/>
      <c r="K94" s="511"/>
      <c r="L94" s="511"/>
      <c r="M94" s="512"/>
      <c r="N94" s="2731"/>
      <c r="O94" s="2731"/>
      <c r="P94" s="2755"/>
      <c r="Q94" s="2716"/>
      <c r="R94" s="2702"/>
      <c r="S94" s="2702"/>
      <c r="T94" s="2702"/>
      <c r="U94" s="2702"/>
      <c r="V94" s="2702"/>
      <c r="W94" s="2702"/>
      <c r="X94" s="2702"/>
      <c r="Y94" s="2702"/>
      <c r="Z94" s="2702"/>
      <c r="AA94" s="2702"/>
      <c r="AB94" s="2702"/>
      <c r="AC94" s="2702"/>
      <c r="AD94" s="2702"/>
    </row>
    <row r="95" spans="1:30" ht="15" thickTop="1">
      <c r="A95" s="548"/>
      <c r="B95" s="584">
        <f>B34</f>
        <v>111</v>
      </c>
      <c r="C95" s="498"/>
      <c r="D95" s="498"/>
      <c r="E95" s="498"/>
      <c r="F95" s="498"/>
      <c r="G95" s="503"/>
      <c r="H95" s="504"/>
      <c r="I95" s="504"/>
      <c r="J95" s="504"/>
      <c r="K95" s="504"/>
      <c r="L95" s="505"/>
      <c r="M95" s="506"/>
      <c r="N95" s="2731"/>
      <c r="O95" s="2731"/>
      <c r="P95" s="2758"/>
      <c r="Q95" s="2745"/>
      <c r="R95" s="2702"/>
      <c r="S95" s="2702"/>
      <c r="T95" s="2702"/>
      <c r="U95" s="2702"/>
      <c r="V95" s="2702"/>
      <c r="W95" s="2702"/>
      <c r="X95" s="2702"/>
      <c r="Y95" s="2702"/>
      <c r="Z95" s="2702"/>
      <c r="AA95" s="2702"/>
      <c r="AB95" s="2702"/>
      <c r="AC95" s="2702"/>
      <c r="AD95" s="2702"/>
    </row>
    <row r="96" spans="1:30" ht="15.75" thickBot="1">
      <c r="A96" s="483"/>
      <c r="B96" s="492"/>
      <c r="C96" s="509"/>
      <c r="D96" s="509"/>
      <c r="E96" s="509"/>
      <c r="F96" s="509"/>
      <c r="G96" s="509"/>
      <c r="H96" s="511"/>
      <c r="I96" s="511"/>
      <c r="J96" s="511"/>
      <c r="K96" s="511"/>
      <c r="L96" s="511"/>
      <c r="M96" s="512"/>
      <c r="N96" s="2731"/>
      <c r="O96" s="2731"/>
      <c r="P96" s="2755"/>
      <c r="Q96" s="2716"/>
      <c r="R96" s="2702"/>
      <c r="S96" s="2702"/>
      <c r="T96" s="2702"/>
      <c r="U96" s="2702"/>
      <c r="V96" s="2702"/>
      <c r="W96" s="2702"/>
      <c r="X96" s="2702"/>
      <c r="Y96" s="2702"/>
      <c r="Z96" s="2702"/>
      <c r="AA96" s="2702"/>
      <c r="AB96" s="2702"/>
      <c r="AC96" s="2702"/>
      <c r="AD96" s="2702"/>
    </row>
    <row r="97" spans="1:30" ht="15" thickTop="1">
      <c r="N97" s="2702"/>
      <c r="O97" s="2702"/>
      <c r="P97" s="2702"/>
      <c r="Q97" s="2702"/>
      <c r="R97" s="2702"/>
      <c r="S97" s="2702"/>
      <c r="T97" s="2702"/>
      <c r="U97" s="2702"/>
      <c r="V97" s="2702"/>
      <c r="W97" s="2702"/>
      <c r="X97" s="2702"/>
      <c r="Y97" s="2702"/>
      <c r="Z97" s="2702"/>
      <c r="AA97" s="2702"/>
      <c r="AB97" s="2702"/>
      <c r="AC97" s="2702"/>
      <c r="AD97" s="2702"/>
    </row>
    <row r="98" spans="1:30">
      <c r="A98" s="936"/>
      <c r="B98" s="936"/>
      <c r="C98" s="936"/>
      <c r="D98" s="936"/>
      <c r="E98" s="936"/>
      <c r="F98" s="936"/>
      <c r="G98" s="936"/>
      <c r="H98" s="936"/>
      <c r="I98" s="936"/>
      <c r="J98" s="936"/>
      <c r="K98" s="937"/>
      <c r="L98" s="938"/>
      <c r="M98" s="936"/>
      <c r="N98" s="2702"/>
      <c r="O98" s="2702"/>
      <c r="P98" s="2702"/>
      <c r="Q98" s="2702"/>
      <c r="R98" s="2702"/>
      <c r="S98" s="2702"/>
      <c r="T98" s="2702"/>
      <c r="U98" s="2702"/>
      <c r="V98" s="2702"/>
      <c r="W98" s="2702"/>
      <c r="X98" s="2702"/>
      <c r="Y98" s="2702"/>
      <c r="Z98" s="2702"/>
      <c r="AA98" s="2702"/>
      <c r="AB98" s="2702"/>
      <c r="AC98" s="2702"/>
      <c r="AD98" s="2702"/>
    </row>
    <row r="99" spans="1:30">
      <c r="A99" s="936"/>
      <c r="B99" s="936"/>
      <c r="C99" s="936"/>
      <c r="D99" s="936"/>
      <c r="E99" s="936"/>
      <c r="F99" s="936"/>
      <c r="G99" s="936"/>
      <c r="H99" s="936"/>
      <c r="I99" s="936"/>
      <c r="J99" s="936"/>
      <c r="K99" s="937"/>
      <c r="L99" s="938"/>
      <c r="M99" s="936"/>
      <c r="N99" s="2702"/>
      <c r="O99" s="2702"/>
      <c r="P99" s="2702"/>
      <c r="Q99" s="2702"/>
      <c r="R99" s="2702"/>
      <c r="S99" s="2702"/>
      <c r="T99" s="2702"/>
      <c r="U99" s="2702"/>
      <c r="V99" s="2702"/>
      <c r="W99" s="2702"/>
      <c r="X99" s="2702"/>
      <c r="Y99" s="2702"/>
      <c r="Z99" s="2702"/>
      <c r="AA99" s="2702"/>
      <c r="AB99" s="2702"/>
      <c r="AC99" s="2702"/>
      <c r="AD99" s="2702"/>
    </row>
    <row r="100" spans="1:30">
      <c r="A100" s="936"/>
      <c r="B100" s="936"/>
      <c r="C100" s="936"/>
      <c r="D100" s="936"/>
      <c r="E100" s="936"/>
      <c r="F100" s="936"/>
      <c r="G100" s="936"/>
      <c r="H100" s="936"/>
      <c r="I100" s="936"/>
      <c r="J100" s="936"/>
      <c r="K100" s="937"/>
      <c r="L100" s="938"/>
      <c r="M100" s="936"/>
      <c r="N100" s="2702"/>
      <c r="O100" s="2702"/>
      <c r="P100" s="2702"/>
      <c r="Q100" s="2702"/>
      <c r="R100" s="2702"/>
      <c r="S100" s="2702"/>
      <c r="T100" s="2702"/>
      <c r="U100" s="2702"/>
      <c r="V100" s="2702"/>
      <c r="W100" s="2702"/>
      <c r="X100" s="2702"/>
      <c r="Y100" s="2702"/>
      <c r="Z100" s="2702"/>
      <c r="AA100" s="2702"/>
      <c r="AB100" s="2702"/>
      <c r="AC100" s="2702"/>
      <c r="AD100" s="2702"/>
    </row>
    <row r="101" spans="1:30">
      <c r="A101" s="936"/>
      <c r="B101" s="936"/>
      <c r="C101" s="936"/>
      <c r="D101" s="936"/>
      <c r="E101" s="936"/>
      <c r="F101" s="936"/>
      <c r="G101" s="936"/>
      <c r="H101" s="936"/>
      <c r="I101" s="936"/>
      <c r="J101" s="936"/>
      <c r="K101" s="937"/>
      <c r="L101" s="938"/>
      <c r="M101" s="936"/>
      <c r="N101" s="2702"/>
      <c r="O101" s="2702"/>
      <c r="P101" s="2702"/>
      <c r="Q101" s="2702"/>
      <c r="R101" s="2702"/>
      <c r="S101" s="2702"/>
      <c r="T101" s="2702"/>
      <c r="U101" s="2702"/>
      <c r="V101" s="2702"/>
      <c r="W101" s="2702"/>
      <c r="X101" s="2702"/>
      <c r="Y101" s="2702"/>
      <c r="Z101" s="2702"/>
      <c r="AA101" s="2702"/>
      <c r="AB101" s="2702"/>
      <c r="AC101" s="2702"/>
      <c r="AD101" s="2702"/>
    </row>
    <row r="102" spans="1:30">
      <c r="A102" s="936"/>
      <c r="B102" s="936"/>
      <c r="C102" s="936"/>
      <c r="D102" s="936"/>
      <c r="E102" s="936"/>
      <c r="F102" s="936"/>
      <c r="G102" s="936"/>
      <c r="H102" s="936"/>
      <c r="I102" s="936"/>
      <c r="J102" s="936"/>
      <c r="K102" s="937"/>
      <c r="L102" s="938"/>
      <c r="M102" s="936"/>
      <c r="N102" s="2702"/>
      <c r="O102" s="2702"/>
      <c r="P102" s="2702"/>
      <c r="Q102" s="2702"/>
      <c r="R102" s="2702"/>
      <c r="S102" s="2702"/>
      <c r="T102" s="2702"/>
      <c r="U102" s="2702"/>
      <c r="V102" s="2702"/>
      <c r="W102" s="2702"/>
      <c r="X102" s="2702"/>
      <c r="Y102" s="2702"/>
      <c r="Z102" s="2702"/>
      <c r="AA102" s="2702"/>
      <c r="AB102" s="2702"/>
      <c r="AC102" s="2702"/>
      <c r="AD102" s="2702"/>
    </row>
    <row r="103" spans="1:30">
      <c r="A103" s="936"/>
      <c r="B103" s="936"/>
      <c r="C103" s="936"/>
      <c r="D103" s="936"/>
      <c r="E103" s="936"/>
      <c r="F103" s="936"/>
      <c r="G103" s="936"/>
      <c r="H103" s="936"/>
      <c r="I103" s="936"/>
      <c r="J103" s="936"/>
      <c r="K103" s="937"/>
      <c r="L103" s="938"/>
      <c r="M103" s="936"/>
      <c r="N103" s="936"/>
      <c r="O103" s="936"/>
      <c r="P103" s="2702"/>
      <c r="Q103" s="2702"/>
      <c r="R103" s="2702"/>
      <c r="S103" s="2702"/>
      <c r="T103" s="2702"/>
      <c r="U103" s="2702"/>
      <c r="V103" s="2702"/>
      <c r="W103" s="2702"/>
      <c r="X103" s="2702"/>
      <c r="Y103" s="2702"/>
      <c r="Z103" s="2702"/>
      <c r="AA103" s="2702"/>
      <c r="AB103" s="2702"/>
      <c r="AC103" s="2702"/>
      <c r="AD103" s="270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70" priority="18" stopIfTrue="1" operator="containsText" text="超过">
      <formula>NOT(ISERROR(SEARCH("超过",F40)))</formula>
    </cfRule>
  </conditionalFormatting>
  <conditionalFormatting sqref="J42">
    <cfRule type="containsText" dxfId="69" priority="17" stopIfTrue="1" operator="containsText" text="超过">
      <formula>NOT(ISERROR(SEARCH("超过",J42)))</formula>
    </cfRule>
  </conditionalFormatting>
  <conditionalFormatting sqref="H42">
    <cfRule type="containsText" dxfId="68" priority="16" stopIfTrue="1" operator="containsText" text="超过">
      <formula>NOT(ISERROR(SEARCH("超过",H42)))</formula>
    </cfRule>
  </conditionalFormatting>
  <conditionalFormatting sqref="F42">
    <cfRule type="containsText" dxfId="67" priority="15" stopIfTrue="1" operator="containsText" text="超过">
      <formula>NOT(ISERROR(SEARCH("超过",F42)))</formula>
    </cfRule>
  </conditionalFormatting>
  <conditionalFormatting sqref="F41 H41 J41">
    <cfRule type="containsText" dxfId="66" priority="14" stopIfTrue="1" operator="containsText" text="超过">
      <formula>NOT(ISERROR(SEARCH("超过",F41)))</formula>
    </cfRule>
  </conditionalFormatting>
  <conditionalFormatting sqref="E40">
    <cfRule type="expression" dxfId="65" priority="13" stopIfTrue="1">
      <formula>$F$40="超过30%"</formula>
    </cfRule>
  </conditionalFormatting>
  <conditionalFormatting sqref="G42">
    <cfRule type="expression" dxfId="64" priority="12" stopIfTrue="1">
      <formula>$H$54+$H$42="超过30%"</formula>
    </cfRule>
  </conditionalFormatting>
  <conditionalFormatting sqref="E41">
    <cfRule type="expression" dxfId="63" priority="11" stopIfTrue="1">
      <formula>$F$41="超过20%"</formula>
    </cfRule>
  </conditionalFormatting>
  <conditionalFormatting sqref="E42">
    <cfRule type="expression" dxfId="62" priority="10" stopIfTrue="1">
      <formula>$F$42="超过30%"</formula>
    </cfRule>
  </conditionalFormatting>
  <conditionalFormatting sqref="G40">
    <cfRule type="expression" dxfId="61" priority="9" stopIfTrue="1">
      <formula>$H$52+$H$40="超过30%"</formula>
    </cfRule>
  </conditionalFormatting>
  <conditionalFormatting sqref="G41">
    <cfRule type="expression" dxfId="60" priority="8" stopIfTrue="1">
      <formula>$H$53+$H$41="超过20%"</formula>
    </cfRule>
  </conditionalFormatting>
  <conditionalFormatting sqref="I40">
    <cfRule type="expression" dxfId="59" priority="7" stopIfTrue="1">
      <formula>$J$40="超过30%"</formula>
    </cfRule>
  </conditionalFormatting>
  <conditionalFormatting sqref="I41">
    <cfRule type="expression" dxfId="58" priority="6" stopIfTrue="1">
      <formula>$J$41="超过20%"</formula>
    </cfRule>
  </conditionalFormatting>
  <conditionalFormatting sqref="I42">
    <cfRule type="expression" dxfId="57" priority="5" stopIfTrue="1">
      <formula>$J$42="超过30%"</formula>
    </cfRule>
  </conditionalFormatting>
  <conditionalFormatting sqref="F36">
    <cfRule type="expression" dxfId="56" priority="4">
      <formula>$D$36="简单平均"</formula>
    </cfRule>
  </conditionalFormatting>
  <conditionalFormatting sqref="H36">
    <cfRule type="expression" dxfId="55" priority="3">
      <formula>$D$36="简单平均"</formula>
    </cfRule>
  </conditionalFormatting>
  <conditionalFormatting sqref="J36">
    <cfRule type="expression" dxfId="54" priority="2">
      <formula>$D$36="简单平均"</formula>
    </cfRule>
  </conditionalFormatting>
  <conditionalFormatting sqref="F7:F34 H7:H34 J7:J34">
    <cfRule type="cellIs" dxfId="5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1851</v>
      </c>
      <c r="B1" s="349"/>
      <c r="C1" s="350" t="s">
        <v>1902</v>
      </c>
      <c r="D1" s="686"/>
      <c r="E1" s="686"/>
      <c r="F1" s="685" t="s">
        <v>1751</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1446</v>
      </c>
      <c r="B2" s="619" t="e">
        <f>F61</f>
        <v>#DIV/0!</v>
      </c>
      <c r="C2" s="908"/>
      <c r="D2" s="908"/>
      <c r="E2" s="908"/>
      <c r="F2" s="909"/>
      <c r="G2" s="908"/>
      <c r="H2" s="908"/>
      <c r="I2" s="908"/>
      <c r="J2" s="908"/>
      <c r="K2" s="910"/>
      <c r="L2" s="2711"/>
      <c r="M2" s="2712"/>
      <c r="N2" s="2712"/>
      <c r="O2" s="2712"/>
      <c r="P2" s="699"/>
      <c r="Q2" s="699"/>
      <c r="R2" s="699"/>
      <c r="S2" s="699"/>
      <c r="T2" s="699"/>
      <c r="U2" s="699"/>
      <c r="V2" s="699"/>
      <c r="W2" s="699"/>
      <c r="X2" s="699"/>
      <c r="Y2" s="699"/>
      <c r="Z2" s="699"/>
      <c r="AA2" s="699"/>
      <c r="AB2" s="699"/>
      <c r="AC2" s="700"/>
    </row>
    <row r="3" spans="1:29" s="352" customFormat="1" ht="28.5" customHeight="1" thickBot="1">
      <c r="A3" s="203" t="s">
        <v>1448</v>
      </c>
      <c r="B3" s="558" t="e">
        <f>ROUND(IF(D3="",B2*10000/'数据-汇总表'!E3,B2*10000/D3),0)</f>
        <v>#DIV/0!</v>
      </c>
      <c r="C3" s="203" t="s">
        <v>1853</v>
      </c>
      <c r="D3" s="1193"/>
      <c r="E3" s="908"/>
      <c r="F3" s="909"/>
      <c r="G3" s="908"/>
      <c r="H3" s="908"/>
      <c r="I3" s="908"/>
      <c r="J3" s="908"/>
      <c r="K3" s="910"/>
      <c r="L3" s="2711"/>
      <c r="M3" s="2712"/>
      <c r="N3" s="2712"/>
      <c r="O3" s="2712"/>
      <c r="P3" s="699"/>
      <c r="Q3" s="699"/>
      <c r="R3" s="699"/>
      <c r="S3" s="699"/>
      <c r="T3" s="699"/>
      <c r="U3" s="699"/>
      <c r="V3" s="699"/>
      <c r="W3" s="699"/>
      <c r="X3" s="699"/>
      <c r="Y3" s="699"/>
      <c r="Z3" s="699"/>
      <c r="AA3" s="699"/>
      <c r="AB3" s="716"/>
      <c r="AC3" s="713"/>
    </row>
    <row r="4" spans="1:29" ht="15">
      <c r="A4" s="355" t="s">
        <v>1753</v>
      </c>
      <c r="B4" s="356"/>
      <c r="C4" s="3922" t="s">
        <v>1754</v>
      </c>
      <c r="D4" s="3923"/>
      <c r="E4" s="3924" t="s">
        <v>1755</v>
      </c>
      <c r="F4" s="3925"/>
      <c r="G4" s="3922" t="s">
        <v>1756</v>
      </c>
      <c r="H4" s="3923"/>
      <c r="I4" s="3922" t="s">
        <v>1757</v>
      </c>
      <c r="J4" s="3923"/>
      <c r="K4" s="559" t="s">
        <v>1758</v>
      </c>
      <c r="L4" s="2692"/>
      <c r="M4" s="2693"/>
      <c r="N4" s="2693"/>
      <c r="O4" s="2693"/>
      <c r="P4" s="3963" t="s">
        <v>1759</v>
      </c>
      <c r="Q4" s="3964"/>
      <c r="R4" s="3967" t="s">
        <v>1755</v>
      </c>
      <c r="S4" s="3968"/>
      <c r="T4" s="3967" t="s">
        <v>1756</v>
      </c>
      <c r="U4" s="3968"/>
      <c r="V4" s="3939" t="s">
        <v>1757</v>
      </c>
      <c r="W4" s="3939"/>
      <c r="X4" s="1355"/>
      <c r="Y4" s="3967" t="s">
        <v>1759</v>
      </c>
      <c r="Z4" s="3968"/>
      <c r="AA4" s="3962" t="s">
        <v>1755</v>
      </c>
      <c r="AB4" s="3953" t="s">
        <v>1756</v>
      </c>
      <c r="AC4" s="3962" t="s">
        <v>1757</v>
      </c>
    </row>
    <row r="5" spans="1:29" ht="15">
      <c r="A5" s="358"/>
      <c r="B5" s="359"/>
      <c r="C5" s="3948" t="s">
        <v>1657</v>
      </c>
      <c r="D5" s="3943"/>
      <c r="E5" s="3955" t="s">
        <v>1658</v>
      </c>
      <c r="F5" s="3956"/>
      <c r="G5" s="3948" t="s">
        <v>1659</v>
      </c>
      <c r="H5" s="3943"/>
      <c r="I5" s="3948" t="s">
        <v>1660</v>
      </c>
      <c r="J5" s="3943"/>
      <c r="K5" s="559"/>
      <c r="L5" s="2692"/>
      <c r="M5" s="2693"/>
      <c r="N5" s="2693"/>
      <c r="O5" s="2693"/>
      <c r="P5" s="3965"/>
      <c r="Q5" s="3929"/>
      <c r="R5" s="3934"/>
      <c r="S5" s="3935"/>
      <c r="T5" s="3934"/>
      <c r="U5" s="3935"/>
      <c r="V5" s="3939"/>
      <c r="W5" s="3939"/>
      <c r="X5" s="1355"/>
      <c r="Y5" s="3934"/>
      <c r="Z5" s="3935"/>
      <c r="AA5" s="3953"/>
      <c r="AB5" s="3953"/>
      <c r="AC5" s="3953"/>
    </row>
    <row r="6" spans="1:29" ht="15.75" thickBot="1">
      <c r="A6" s="360"/>
      <c r="B6" s="361"/>
      <c r="C6" s="3972" t="s">
        <v>1903</v>
      </c>
      <c r="D6" s="3973"/>
      <c r="E6" s="3974" t="s">
        <v>1903</v>
      </c>
      <c r="F6" s="3975"/>
      <c r="G6" s="3972" t="s">
        <v>1903</v>
      </c>
      <c r="H6" s="3973"/>
      <c r="I6" s="3972" t="s">
        <v>1903</v>
      </c>
      <c r="J6" s="3973"/>
      <c r="K6" s="559" t="s">
        <v>1662</v>
      </c>
      <c r="L6" s="2692"/>
      <c r="M6" s="2693"/>
      <c r="N6" s="2693"/>
      <c r="O6" s="2693"/>
      <c r="P6" s="3966"/>
      <c r="Q6" s="3931"/>
      <c r="R6" s="3934"/>
      <c r="S6" s="3935"/>
      <c r="T6" s="3936"/>
      <c r="U6" s="3937"/>
      <c r="V6" s="3939"/>
      <c r="W6" s="3939"/>
      <c r="X6" s="1355"/>
      <c r="Y6" s="3936"/>
      <c r="Z6" s="3937"/>
      <c r="AA6" s="3954"/>
      <c r="AB6" s="3954"/>
      <c r="AC6" s="3954"/>
    </row>
    <row r="7" spans="1:29" s="108" customFormat="1" ht="15.75" thickBot="1">
      <c r="A7" s="362" t="s">
        <v>1663</v>
      </c>
      <c r="B7" s="363"/>
      <c r="C7" s="364">
        <f>'数据-取费表'!B2</f>
        <v>45287</v>
      </c>
      <c r="D7" s="365">
        <v>100</v>
      </c>
      <c r="E7" s="366"/>
      <c r="F7" s="367">
        <f>SUMIF(65:65,YEAR(E7)&amp;"-"&amp;INT((MONTH(E7)+2)/3),66:66)</f>
        <v>0</v>
      </c>
      <c r="G7" s="1974"/>
      <c r="H7" s="365">
        <f>SUMIF(65:65,YEAR(G7)&amp;"-"&amp;INT((MONTH(G7)+2)/3),66:66)</f>
        <v>0</v>
      </c>
      <c r="I7" s="1974"/>
      <c r="J7" s="365">
        <f>SUMIF(65:65,YEAR(I7)&amp;"-"&amp;INT((MONTH(I7)+2)/3),66:66)</f>
        <v>0</v>
      </c>
      <c r="K7" s="560"/>
      <c r="L7" s="2694"/>
      <c r="M7" s="2695"/>
      <c r="N7" s="2695"/>
      <c r="O7" s="2695"/>
      <c r="P7" s="3946" t="s">
        <v>1664</v>
      </c>
      <c r="Q7" s="3947"/>
      <c r="R7" s="701" t="s">
        <v>14</v>
      </c>
      <c r="S7" s="702">
        <f t="shared" ref="S7:S15" si="0">F7</f>
        <v>0</v>
      </c>
      <c r="T7" s="701" t="s">
        <v>14</v>
      </c>
      <c r="U7" s="702">
        <f t="shared" ref="U7:U15" si="1">H7</f>
        <v>0</v>
      </c>
      <c r="V7" s="701" t="s">
        <v>14</v>
      </c>
      <c r="W7" s="702">
        <f t="shared" ref="W7:W15" si="2">J7</f>
        <v>0</v>
      </c>
      <c r="X7" s="703"/>
      <c r="Y7" s="3946" t="s">
        <v>1664</v>
      </c>
      <c r="Z7" s="3945"/>
      <c r="AA7" s="704" t="e">
        <f>D7/F7</f>
        <v>#DIV/0!</v>
      </c>
      <c r="AB7" s="704" t="e">
        <f>D7/H7</f>
        <v>#DIV/0!</v>
      </c>
      <c r="AC7" s="704" t="e">
        <f>D7/J7</f>
        <v>#DIV/0!</v>
      </c>
    </row>
    <row r="8" spans="1:29" s="108" customFormat="1" ht="15.75" thickBot="1">
      <c r="A8" s="362" t="s">
        <v>1665</v>
      </c>
      <c r="B8" s="363"/>
      <c r="C8" s="368" t="s">
        <v>1666</v>
      </c>
      <c r="D8" s="365">
        <v>100</v>
      </c>
      <c r="E8" s="368"/>
      <c r="F8" s="367">
        <f>SUMIF(68:68,E8,69:69)-SUMIF(68:68,C8,69:69)+100</f>
        <v>0</v>
      </c>
      <c r="G8" s="368"/>
      <c r="H8" s="365">
        <f>SUMIF(68:68,G8,69:69)-SUMIF(68:68,C8,69:69)+100</f>
        <v>0</v>
      </c>
      <c r="I8" s="368"/>
      <c r="J8" s="365">
        <f>SUMIF(68:68,I8,69:69)-SUMIF(68:68,C8,69:69)+100</f>
        <v>0</v>
      </c>
      <c r="K8" s="560"/>
      <c r="L8" s="2694"/>
      <c r="M8" s="2695"/>
      <c r="N8" s="2695"/>
      <c r="O8" s="2695"/>
      <c r="P8" s="3946" t="s">
        <v>1667</v>
      </c>
      <c r="Q8" s="3945"/>
      <c r="R8" s="701" t="s">
        <v>14</v>
      </c>
      <c r="S8" s="702">
        <f t="shared" si="0"/>
        <v>0</v>
      </c>
      <c r="T8" s="701" t="s">
        <v>14</v>
      </c>
      <c r="U8" s="702">
        <f t="shared" si="1"/>
        <v>0</v>
      </c>
      <c r="V8" s="701" t="s">
        <v>14</v>
      </c>
      <c r="W8" s="702">
        <f t="shared" si="2"/>
        <v>0</v>
      </c>
      <c r="X8" s="703"/>
      <c r="Y8" s="3946" t="s">
        <v>1667</v>
      </c>
      <c r="Z8" s="3945"/>
      <c r="AA8" s="704" t="e">
        <f t="shared" ref="AA8:AA40" si="3">D8/F8</f>
        <v>#DIV/0!</v>
      </c>
      <c r="AB8" s="704" t="e">
        <f t="shared" ref="AB8:AB40" si="4">D8/H8</f>
        <v>#DIV/0!</v>
      </c>
      <c r="AC8" s="704" t="e">
        <f t="shared" ref="AC8:AC40" si="5">D8/J8</f>
        <v>#DIV/0!</v>
      </c>
    </row>
    <row r="9" spans="1:29" s="108" customFormat="1">
      <c r="A9" s="369" t="s">
        <v>1668</v>
      </c>
      <c r="B9" s="63" t="s">
        <v>1669</v>
      </c>
      <c r="C9" s="1977"/>
      <c r="D9" s="126">
        <v>100</v>
      </c>
      <c r="E9" s="1977"/>
      <c r="F9" s="126">
        <f>SUMIF(70:70,E9,71:71)-SUMIF(70:70,C9,71:71)+100</f>
        <v>100</v>
      </c>
      <c r="G9" s="1977"/>
      <c r="H9" s="126">
        <f>SUMIF(70:70,G9,71:71)-SUMIF(70:70,C9,71:71)+100</f>
        <v>100</v>
      </c>
      <c r="I9" s="1977"/>
      <c r="J9" s="126">
        <f>SUMIF(70:70,I9,71:71)-SUMIF(70:70,C9,71:71)+100</f>
        <v>100</v>
      </c>
      <c r="K9" s="560"/>
      <c r="L9" s="2694"/>
      <c r="M9" s="2695"/>
      <c r="N9" s="2695"/>
      <c r="O9" s="2749"/>
      <c r="P9" s="3905" t="s">
        <v>1670</v>
      </c>
      <c r="Q9" s="1343" t="str">
        <f t="shared" ref="Q9:Q15" si="6">B9</f>
        <v>用途</v>
      </c>
      <c r="R9" s="701" t="s">
        <v>14</v>
      </c>
      <c r="S9" s="702">
        <f t="shared" si="0"/>
        <v>100</v>
      </c>
      <c r="T9" s="701" t="s">
        <v>14</v>
      </c>
      <c r="U9" s="702">
        <f t="shared" si="1"/>
        <v>100</v>
      </c>
      <c r="V9" s="701" t="s">
        <v>14</v>
      </c>
      <c r="W9" s="702">
        <f t="shared" si="2"/>
        <v>100</v>
      </c>
      <c r="X9" s="703"/>
      <c r="Y9" s="3783" t="s">
        <v>1671</v>
      </c>
      <c r="Z9" s="52" t="str">
        <f t="shared" ref="Z9:Z15" si="7">Q9</f>
        <v>用途</v>
      </c>
      <c r="AA9" s="704">
        <f t="shared" si="3"/>
        <v>1</v>
      </c>
      <c r="AB9" s="704">
        <f t="shared" si="4"/>
        <v>1</v>
      </c>
      <c r="AC9" s="704">
        <f t="shared" si="5"/>
        <v>1</v>
      </c>
    </row>
    <row r="10" spans="1:29" s="378" customFormat="1" ht="27">
      <c r="A10" s="374"/>
      <c r="B10" s="375" t="s">
        <v>1672</v>
      </c>
      <c r="C10" s="383"/>
      <c r="D10" s="127">
        <v>100</v>
      </c>
      <c r="E10" s="383"/>
      <c r="F10" s="127">
        <f>ROUND(100/'数据-取费表'!G16,0)</f>
        <v>140</v>
      </c>
      <c r="G10" s="383"/>
      <c r="H10" s="127">
        <f>ROUND(100/'数据-取费表'!G16,0)</f>
        <v>140</v>
      </c>
      <c r="I10" s="383"/>
      <c r="J10" s="127">
        <f>ROUND(100/'数据-取费表'!G16,0)</f>
        <v>140</v>
      </c>
      <c r="K10" s="620"/>
      <c r="L10" s="2696"/>
      <c r="M10" s="2697"/>
      <c r="N10" s="2697"/>
      <c r="O10" s="2750"/>
      <c r="P10" s="3905"/>
      <c r="Q10" s="1343" t="str">
        <f t="shared" si="6"/>
        <v>土地使用年限（年）</v>
      </c>
      <c r="R10" s="701" t="s">
        <v>14</v>
      </c>
      <c r="S10" s="702">
        <f t="shared" si="0"/>
        <v>140</v>
      </c>
      <c r="T10" s="701" t="s">
        <v>14</v>
      </c>
      <c r="U10" s="702">
        <f t="shared" si="1"/>
        <v>140</v>
      </c>
      <c r="V10" s="701" t="s">
        <v>14</v>
      </c>
      <c r="W10" s="702">
        <f t="shared" si="2"/>
        <v>140</v>
      </c>
      <c r="X10" s="703"/>
      <c r="Y10" s="3783"/>
      <c r="Z10" s="52" t="str">
        <f t="shared" si="7"/>
        <v>土地使用年限（年）</v>
      </c>
      <c r="AA10" s="704">
        <f t="shared" si="3"/>
        <v>0.7142857142857143</v>
      </c>
      <c r="AB10" s="704">
        <f t="shared" si="4"/>
        <v>0.7142857142857143</v>
      </c>
      <c r="AC10" s="704">
        <f t="shared" si="5"/>
        <v>0.7142857142857143</v>
      </c>
    </row>
    <row r="11" spans="1:29" ht="15">
      <c r="A11" s="379"/>
      <c r="B11" s="375" t="s">
        <v>1673</v>
      </c>
      <c r="C11" s="380"/>
      <c r="D11" s="127">
        <v>100</v>
      </c>
      <c r="E11" s="380"/>
      <c r="F11" s="127" t="e">
        <f>LOOKUP(E11,75:75,76:76)-LOOKUP(C11,75:75,76:76)+100</f>
        <v>#N/A</v>
      </c>
      <c r="G11" s="381"/>
      <c r="H11" s="127" t="e">
        <f>LOOKUP(G11,75:75,76:76)-LOOKUP(C11,75:75,76:76)+100</f>
        <v>#N/A</v>
      </c>
      <c r="I11" s="380"/>
      <c r="J11" s="127" t="e">
        <f>LOOKUP(I11,75:75,76:76)-LOOKUP(C11,75:75,76:76)+100</f>
        <v>#N/A</v>
      </c>
      <c r="K11" s="621"/>
      <c r="L11" s="2698"/>
      <c r="M11" s="2693"/>
      <c r="N11" s="2693"/>
      <c r="O11" s="2751"/>
      <c r="P11" s="3905"/>
      <c r="Q11" s="1343" t="str">
        <f t="shared" si="6"/>
        <v>容积率</v>
      </c>
      <c r="R11" s="701" t="s">
        <v>14</v>
      </c>
      <c r="S11" s="702" t="e">
        <f t="shared" si="0"/>
        <v>#N/A</v>
      </c>
      <c r="T11" s="701" t="s">
        <v>14</v>
      </c>
      <c r="U11" s="702" t="e">
        <f t="shared" si="1"/>
        <v>#N/A</v>
      </c>
      <c r="V11" s="701" t="s">
        <v>14</v>
      </c>
      <c r="W11" s="702" t="e">
        <f t="shared" si="2"/>
        <v>#N/A</v>
      </c>
      <c r="X11" s="703"/>
      <c r="Y11" s="378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694"/>
      <c r="M12" s="2695"/>
      <c r="N12" s="2695"/>
      <c r="O12" s="2749"/>
      <c r="P12" s="3905"/>
      <c r="Q12" s="1343">
        <f t="shared" si="6"/>
        <v>111</v>
      </c>
      <c r="R12" s="701" t="s">
        <v>14</v>
      </c>
      <c r="S12" s="702">
        <f t="shared" si="0"/>
        <v>100</v>
      </c>
      <c r="T12" s="701" t="s">
        <v>14</v>
      </c>
      <c r="U12" s="702">
        <f t="shared" si="1"/>
        <v>100</v>
      </c>
      <c r="V12" s="701" t="s">
        <v>14</v>
      </c>
      <c r="W12" s="702">
        <f t="shared" si="2"/>
        <v>100</v>
      </c>
      <c r="X12" s="703"/>
      <c r="Y12" s="378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699"/>
      <c r="M13" s="2693"/>
      <c r="N13" s="2693"/>
      <c r="O13" s="2751"/>
      <c r="P13" s="3905"/>
      <c r="Q13" s="1343">
        <f t="shared" si="6"/>
        <v>111</v>
      </c>
      <c r="R13" s="701" t="s">
        <v>14</v>
      </c>
      <c r="S13" s="702">
        <f t="shared" si="0"/>
        <v>100</v>
      </c>
      <c r="T13" s="701" t="s">
        <v>14</v>
      </c>
      <c r="U13" s="702">
        <f t="shared" si="1"/>
        <v>100</v>
      </c>
      <c r="V13" s="701" t="s">
        <v>14</v>
      </c>
      <c r="W13" s="702">
        <f t="shared" si="2"/>
        <v>100</v>
      </c>
      <c r="X13" s="703"/>
      <c r="Y13" s="378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699"/>
      <c r="M14" s="2693"/>
      <c r="N14" s="2693"/>
      <c r="O14" s="2751"/>
      <c r="P14" s="3905"/>
      <c r="Q14" s="1343">
        <f t="shared" si="6"/>
        <v>111</v>
      </c>
      <c r="R14" s="701" t="s">
        <v>14</v>
      </c>
      <c r="S14" s="702">
        <f t="shared" si="0"/>
        <v>100</v>
      </c>
      <c r="T14" s="701" t="s">
        <v>14</v>
      </c>
      <c r="U14" s="702">
        <f t="shared" si="1"/>
        <v>100</v>
      </c>
      <c r="V14" s="701" t="s">
        <v>14</v>
      </c>
      <c r="W14" s="702">
        <f t="shared" si="2"/>
        <v>100</v>
      </c>
      <c r="X14" s="703"/>
      <c r="Y14" s="3783"/>
      <c r="Z14" s="52">
        <f t="shared" si="7"/>
        <v>111</v>
      </c>
      <c r="AA14" s="704">
        <f t="shared" si="3"/>
        <v>1</v>
      </c>
      <c r="AB14" s="704">
        <f t="shared" si="4"/>
        <v>1</v>
      </c>
      <c r="AC14" s="704">
        <f t="shared" si="5"/>
        <v>1</v>
      </c>
    </row>
    <row r="15" spans="1:29" ht="57">
      <c r="A15" s="391" t="s">
        <v>1674</v>
      </c>
      <c r="B15" s="577" t="s">
        <v>1904</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699"/>
      <c r="M15" s="2693"/>
      <c r="N15" s="2693"/>
      <c r="O15" s="2751"/>
      <c r="P15" s="3912" t="s">
        <v>1675</v>
      </c>
      <c r="Q15" s="1352" t="str">
        <f t="shared" si="6"/>
        <v>产业集聚程度</v>
      </c>
      <c r="R15" s="705" t="s">
        <v>14</v>
      </c>
      <c r="S15" s="706">
        <f t="shared" si="0"/>
        <v>100</v>
      </c>
      <c r="T15" s="705" t="s">
        <v>14</v>
      </c>
      <c r="U15" s="706">
        <f t="shared" si="1"/>
        <v>100</v>
      </c>
      <c r="V15" s="705" t="s">
        <v>14</v>
      </c>
      <c r="W15" s="706">
        <f t="shared" si="2"/>
        <v>100</v>
      </c>
      <c r="X15" s="1355"/>
      <c r="Y15" s="3912" t="s">
        <v>1675</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699"/>
      <c r="M16" s="2693"/>
      <c r="N16" s="2693"/>
      <c r="O16" s="2751"/>
      <c r="P16" s="3913"/>
      <c r="Q16" s="1352"/>
      <c r="R16" s="705"/>
      <c r="S16" s="706"/>
      <c r="T16" s="705"/>
      <c r="U16" s="706"/>
      <c r="V16" s="705"/>
      <c r="W16" s="706"/>
      <c r="X16" s="1355"/>
      <c r="Y16" s="3913"/>
      <c r="Z16" s="1356"/>
      <c r="AA16" s="1353">
        <v>1</v>
      </c>
      <c r="AB16" s="1353">
        <v>1</v>
      </c>
      <c r="AC16" s="1353">
        <v>1</v>
      </c>
    </row>
    <row r="17" spans="1:29" ht="85.5">
      <c r="A17" s="379"/>
      <c r="B17" s="579" t="s">
        <v>1817</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699"/>
      <c r="M17" s="2693"/>
      <c r="N17" s="2693"/>
      <c r="O17" s="2751"/>
      <c r="P17" s="3913"/>
      <c r="Q17" s="1352" t="str">
        <f>B17</f>
        <v>交通便捷度</v>
      </c>
      <c r="R17" s="705" t="s">
        <v>14</v>
      </c>
      <c r="S17" s="706">
        <f>F17</f>
        <v>100</v>
      </c>
      <c r="T17" s="705" t="s">
        <v>14</v>
      </c>
      <c r="U17" s="706">
        <f>H17</f>
        <v>100</v>
      </c>
      <c r="V17" s="705" t="s">
        <v>14</v>
      </c>
      <c r="W17" s="706">
        <f>J17</f>
        <v>100</v>
      </c>
      <c r="X17" s="1355"/>
      <c r="Y17" s="391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699"/>
      <c r="M18" s="2693"/>
      <c r="N18" s="2693"/>
      <c r="O18" s="2751"/>
      <c r="P18" s="3913"/>
      <c r="Q18" s="1352"/>
      <c r="R18" s="705"/>
      <c r="S18" s="706"/>
      <c r="T18" s="705"/>
      <c r="U18" s="706"/>
      <c r="V18" s="705"/>
      <c r="W18" s="706"/>
      <c r="X18" s="1355"/>
      <c r="Y18" s="3913"/>
      <c r="Z18" s="1356"/>
      <c r="AA18" s="1353">
        <v>1</v>
      </c>
      <c r="AB18" s="1353">
        <v>1</v>
      </c>
      <c r="AC18" s="1353">
        <v>1</v>
      </c>
    </row>
    <row r="19" spans="1:29" ht="15">
      <c r="A19" s="379"/>
      <c r="B19" s="579" t="s">
        <v>1855</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699"/>
      <c r="M19" s="2693"/>
      <c r="N19" s="2693"/>
      <c r="O19" s="2751"/>
      <c r="P19" s="3913"/>
      <c r="Q19" s="1352" t="str">
        <f t="shared" ref="Q19:Q33" si="8">B19</f>
        <v>区域土地利用方向</v>
      </c>
      <c r="R19" s="705" t="s">
        <v>14</v>
      </c>
      <c r="S19" s="706">
        <f>F19</f>
        <v>100</v>
      </c>
      <c r="T19" s="705" t="s">
        <v>14</v>
      </c>
      <c r="U19" s="706">
        <f>H19</f>
        <v>100</v>
      </c>
      <c r="V19" s="705" t="s">
        <v>14</v>
      </c>
      <c r="W19" s="706">
        <f>J19</f>
        <v>100</v>
      </c>
      <c r="X19" s="1355"/>
      <c r="Y19" s="391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699"/>
      <c r="M20" s="2693"/>
      <c r="N20" s="2693"/>
      <c r="O20" s="2751"/>
      <c r="P20" s="3913"/>
      <c r="Q20" s="1352"/>
      <c r="R20" s="705"/>
      <c r="S20" s="706"/>
      <c r="T20" s="705"/>
      <c r="U20" s="706"/>
      <c r="V20" s="705"/>
      <c r="W20" s="706"/>
      <c r="X20" s="1355"/>
      <c r="Y20" s="3913"/>
      <c r="Z20" s="1356"/>
      <c r="AA20" s="1353"/>
      <c r="AB20" s="1353"/>
      <c r="AC20" s="1353"/>
    </row>
    <row r="21" spans="1:29" ht="71.25">
      <c r="A21" s="358"/>
      <c r="B21" s="579" t="s">
        <v>1905</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699"/>
      <c r="M21" s="2693"/>
      <c r="N21" s="2693"/>
      <c r="O21" s="2751"/>
      <c r="P21" s="3913"/>
      <c r="Q21" s="1352" t="str">
        <f t="shared" si="8"/>
        <v>环境状况</v>
      </c>
      <c r="R21" s="705" t="s">
        <v>14</v>
      </c>
      <c r="S21" s="706">
        <f>F21</f>
        <v>100</v>
      </c>
      <c r="T21" s="705" t="s">
        <v>14</v>
      </c>
      <c r="U21" s="706">
        <f>H21</f>
        <v>100</v>
      </c>
      <c r="V21" s="705" t="s">
        <v>14</v>
      </c>
      <c r="W21" s="706">
        <f>J21</f>
        <v>100</v>
      </c>
      <c r="X21" s="1355"/>
      <c r="Y21" s="391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699"/>
      <c r="M22" s="2693"/>
      <c r="N22" s="2693"/>
      <c r="O22" s="2751"/>
      <c r="P22" s="3913"/>
      <c r="Q22" s="1352"/>
      <c r="R22" s="705"/>
      <c r="S22" s="706"/>
      <c r="T22" s="705"/>
      <c r="U22" s="706"/>
      <c r="V22" s="705"/>
      <c r="W22" s="706"/>
      <c r="X22" s="1355"/>
      <c r="Y22" s="3913"/>
      <c r="Z22" s="1356"/>
      <c r="AA22" s="1353">
        <v>1</v>
      </c>
      <c r="AB22" s="1353">
        <v>1</v>
      </c>
      <c r="AC22" s="1353">
        <v>1</v>
      </c>
    </row>
    <row r="23" spans="1:29" s="108" customFormat="1" ht="42.75">
      <c r="A23" s="597"/>
      <c r="B23" s="581" t="s">
        <v>1762</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694"/>
      <c r="M23" s="2695"/>
      <c r="N23" s="2695"/>
      <c r="O23" s="2749"/>
      <c r="P23" s="3913"/>
      <c r="Q23" s="1343" t="str">
        <f t="shared" si="8"/>
        <v>公共配套设施</v>
      </c>
      <c r="R23" s="701" t="s">
        <v>14</v>
      </c>
      <c r="S23" s="702">
        <f>F23</f>
        <v>100</v>
      </c>
      <c r="T23" s="701" t="s">
        <v>14</v>
      </c>
      <c r="U23" s="702">
        <f>H23</f>
        <v>100</v>
      </c>
      <c r="V23" s="701" t="s">
        <v>14</v>
      </c>
      <c r="W23" s="702">
        <f>J23</f>
        <v>100</v>
      </c>
      <c r="X23" s="703"/>
      <c r="Y23" s="391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694"/>
      <c r="M24" s="2695"/>
      <c r="N24" s="2695"/>
      <c r="O24" s="2749"/>
      <c r="P24" s="3913"/>
      <c r="Q24" s="1343"/>
      <c r="R24" s="701"/>
      <c r="S24" s="702"/>
      <c r="T24" s="701"/>
      <c r="U24" s="702"/>
      <c r="V24" s="701"/>
      <c r="W24" s="702"/>
      <c r="X24" s="703"/>
      <c r="Y24" s="3913"/>
      <c r="Z24" s="52"/>
      <c r="AA24" s="704">
        <v>1</v>
      </c>
      <c r="AB24" s="704">
        <v>1</v>
      </c>
      <c r="AC24" s="704">
        <v>1</v>
      </c>
    </row>
    <row r="25" spans="1:29" s="108" customFormat="1" ht="28.5">
      <c r="A25" s="597"/>
      <c r="B25" s="581" t="s">
        <v>1763</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694"/>
      <c r="M25" s="2695"/>
      <c r="N25" s="2695"/>
      <c r="O25" s="2749"/>
      <c r="P25" s="3913"/>
      <c r="Q25" s="1343" t="str">
        <f t="shared" ref="Q25" si="9">B25</f>
        <v>基础设施水平</v>
      </c>
      <c r="R25" s="701" t="s">
        <v>14</v>
      </c>
      <c r="S25" s="702">
        <f>F25</f>
        <v>100</v>
      </c>
      <c r="T25" s="701" t="s">
        <v>14</v>
      </c>
      <c r="U25" s="702">
        <f>H25</f>
        <v>100</v>
      </c>
      <c r="V25" s="701" t="s">
        <v>14</v>
      </c>
      <c r="W25" s="702">
        <f>J25</f>
        <v>100</v>
      </c>
      <c r="X25" s="703"/>
      <c r="Y25" s="391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694"/>
      <c r="M26" s="2695"/>
      <c r="N26" s="2695"/>
      <c r="O26" s="2749"/>
      <c r="P26" s="3913"/>
      <c r="Q26" s="1343"/>
      <c r="R26" s="701"/>
      <c r="S26" s="702"/>
      <c r="T26" s="701"/>
      <c r="U26" s="702"/>
      <c r="V26" s="701"/>
      <c r="W26" s="702"/>
      <c r="X26" s="703"/>
      <c r="Y26" s="3913"/>
      <c r="Z26" s="52"/>
      <c r="AA26" s="704">
        <v>1</v>
      </c>
      <c r="AB26" s="704">
        <v>1</v>
      </c>
      <c r="AC26" s="704">
        <v>1</v>
      </c>
    </row>
    <row r="27" spans="1:29" ht="15">
      <c r="A27" s="379"/>
      <c r="B27" s="580" t="s">
        <v>1764</v>
      </c>
      <c r="C27" s="565"/>
      <c r="D27" s="386">
        <v>100</v>
      </c>
      <c r="E27" s="582"/>
      <c r="F27" s="386">
        <f>SUMIF(95:95,E27,96:96)-SUMIF(95:95,C27,96:96)+100</f>
        <v>100</v>
      </c>
      <c r="G27" s="582"/>
      <c r="H27" s="386">
        <f>SUMIF(95:95,G27,96:96)-SUMIF(95:95,C27,96:96)+100</f>
        <v>100</v>
      </c>
      <c r="I27" s="582"/>
      <c r="J27" s="386">
        <f>SUMIF(95:95,I27,96:96)-SUMIF(95:95,C27,96:96)+100</f>
        <v>100</v>
      </c>
      <c r="K27" s="621"/>
      <c r="L27" s="2699"/>
      <c r="M27" s="2693"/>
      <c r="N27" s="2693"/>
      <c r="O27" s="2751"/>
      <c r="P27" s="391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913"/>
      <c r="Z27" s="1356" t="str">
        <f t="shared" ref="Z27:Z40" si="13">Q27</f>
        <v>临街状况</v>
      </c>
      <c r="AA27" s="1353">
        <f t="shared" si="3"/>
        <v>1</v>
      </c>
      <c r="AB27" s="1353">
        <f t="shared" si="4"/>
        <v>1</v>
      </c>
      <c r="AC27" s="1353">
        <f t="shared" si="5"/>
        <v>1</v>
      </c>
    </row>
    <row r="28" spans="1:29" ht="27">
      <c r="A28" s="379"/>
      <c r="B28" s="581" t="s">
        <v>1799</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699"/>
      <c r="M28" s="2693"/>
      <c r="N28" s="2693"/>
      <c r="O28" s="2751"/>
      <c r="P28" s="3913"/>
      <c r="Q28" s="1352" t="str">
        <f t="shared" si="8"/>
        <v>毗邻道路的类型与等级</v>
      </c>
      <c r="R28" s="705" t="s">
        <v>14</v>
      </c>
      <c r="S28" s="706">
        <f t="shared" si="10"/>
        <v>100</v>
      </c>
      <c r="T28" s="705" t="s">
        <v>14</v>
      </c>
      <c r="U28" s="706">
        <f t="shared" si="11"/>
        <v>100</v>
      </c>
      <c r="V28" s="705" t="s">
        <v>14</v>
      </c>
      <c r="W28" s="706">
        <f t="shared" si="12"/>
        <v>100</v>
      </c>
      <c r="X28" s="1355"/>
      <c r="Y28" s="391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699"/>
      <c r="M29" s="2693"/>
      <c r="N29" s="2693"/>
      <c r="O29" s="2751"/>
      <c r="P29" s="3913"/>
      <c r="Q29" s="1352"/>
      <c r="R29" s="705"/>
      <c r="S29" s="706"/>
      <c r="T29" s="705"/>
      <c r="U29" s="706"/>
      <c r="V29" s="705"/>
      <c r="W29" s="706"/>
      <c r="X29" s="1355"/>
      <c r="Y29" s="3913"/>
      <c r="Z29" s="1356"/>
      <c r="AA29" s="1353">
        <v>1</v>
      </c>
      <c r="AB29" s="1353">
        <v>1</v>
      </c>
      <c r="AC29" s="1353">
        <v>1</v>
      </c>
    </row>
    <row r="30" spans="1:29" ht="15">
      <c r="A30" s="379"/>
      <c r="B30" s="602" t="s">
        <v>1857</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699"/>
      <c r="M30" s="2693"/>
      <c r="N30" s="2693"/>
      <c r="O30" s="2751"/>
      <c r="P30" s="3913"/>
      <c r="Q30" s="1352" t="str">
        <f t="shared" si="8"/>
        <v>土地级别</v>
      </c>
      <c r="R30" s="705" t="s">
        <v>14</v>
      </c>
      <c r="S30" s="706">
        <f t="shared" si="10"/>
        <v>100</v>
      </c>
      <c r="T30" s="705" t="s">
        <v>14</v>
      </c>
      <c r="U30" s="706">
        <f t="shared" si="11"/>
        <v>100</v>
      </c>
      <c r="V30" s="705" t="s">
        <v>14</v>
      </c>
      <c r="W30" s="706">
        <f t="shared" si="12"/>
        <v>100</v>
      </c>
      <c r="X30" s="1355"/>
      <c r="Y30" s="391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699"/>
      <c r="M31" s="2693"/>
      <c r="N31" s="2693"/>
      <c r="O31" s="2751"/>
      <c r="P31" s="3913"/>
      <c r="Q31" s="1352">
        <f t="shared" si="8"/>
        <v>111</v>
      </c>
      <c r="R31" s="705" t="s">
        <v>14</v>
      </c>
      <c r="S31" s="706">
        <f t="shared" si="10"/>
        <v>100</v>
      </c>
      <c r="T31" s="705" t="s">
        <v>14</v>
      </c>
      <c r="U31" s="706">
        <f t="shared" si="11"/>
        <v>100</v>
      </c>
      <c r="V31" s="705" t="s">
        <v>14</v>
      </c>
      <c r="W31" s="706">
        <f t="shared" si="12"/>
        <v>100</v>
      </c>
      <c r="X31" s="1355"/>
      <c r="Y31" s="391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699"/>
      <c r="M32" s="2693"/>
      <c r="N32" s="2693"/>
      <c r="O32" s="2751"/>
      <c r="P32" s="3969" t="s">
        <v>1680</v>
      </c>
      <c r="Q32" s="1352">
        <f t="shared" si="8"/>
        <v>111</v>
      </c>
      <c r="R32" s="705" t="s">
        <v>14</v>
      </c>
      <c r="S32" s="706">
        <f t="shared" si="10"/>
        <v>100</v>
      </c>
      <c r="T32" s="705" t="s">
        <v>14</v>
      </c>
      <c r="U32" s="706">
        <f t="shared" si="11"/>
        <v>100</v>
      </c>
      <c r="V32" s="705" t="s">
        <v>14</v>
      </c>
      <c r="W32" s="706">
        <f t="shared" si="12"/>
        <v>100</v>
      </c>
      <c r="X32" s="1355"/>
      <c r="Y32" s="3917" t="s">
        <v>1680</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698"/>
      <c r="M33" s="2700"/>
      <c r="N33" s="2700"/>
      <c r="O33" s="2752"/>
      <c r="P33" s="3917"/>
      <c r="Q33" s="1352">
        <f t="shared" si="8"/>
        <v>111</v>
      </c>
      <c r="R33" s="708" t="s">
        <v>14</v>
      </c>
      <c r="S33" s="709">
        <f t="shared" si="10"/>
        <v>100</v>
      </c>
      <c r="T33" s="708" t="s">
        <v>14</v>
      </c>
      <c r="U33" s="709">
        <f t="shared" si="11"/>
        <v>100</v>
      </c>
      <c r="V33" s="708" t="s">
        <v>14</v>
      </c>
      <c r="W33" s="709">
        <f t="shared" si="12"/>
        <v>100</v>
      </c>
      <c r="X33" s="710"/>
      <c r="Y33" s="3917"/>
      <c r="Z33" s="711">
        <f t="shared" si="13"/>
        <v>111</v>
      </c>
      <c r="AA33" s="1353">
        <f t="shared" si="3"/>
        <v>1</v>
      </c>
      <c r="AB33" s="1353">
        <f t="shared" si="4"/>
        <v>1</v>
      </c>
      <c r="AC33" s="1353">
        <f t="shared" si="5"/>
        <v>1</v>
      </c>
    </row>
    <row r="34" spans="1:31" ht="15">
      <c r="A34" s="391" t="s">
        <v>1678</v>
      </c>
      <c r="B34" s="407" t="s">
        <v>1858</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699"/>
      <c r="M34" s="2693"/>
      <c r="N34" s="2693"/>
      <c r="O34" s="2751"/>
      <c r="P34" s="3917"/>
      <c r="Q34" s="1352" t="str">
        <f>B34</f>
        <v>宗地面积</v>
      </c>
      <c r="R34" s="705" t="s">
        <v>14</v>
      </c>
      <c r="S34" s="706" t="e">
        <f t="shared" si="10"/>
        <v>#N/A</v>
      </c>
      <c r="T34" s="705" t="s">
        <v>14</v>
      </c>
      <c r="U34" s="706" t="e">
        <f t="shared" si="11"/>
        <v>#N/A</v>
      </c>
      <c r="V34" s="705" t="s">
        <v>14</v>
      </c>
      <c r="W34" s="706" t="e">
        <f t="shared" si="12"/>
        <v>#N/A</v>
      </c>
      <c r="X34" s="1355"/>
      <c r="Y34" s="3917"/>
      <c r="Z34" s="1356" t="str">
        <f t="shared" si="13"/>
        <v>宗地面积</v>
      </c>
      <c r="AA34" s="1353" t="e">
        <f t="shared" si="3"/>
        <v>#N/A</v>
      </c>
      <c r="AB34" s="1353" t="e">
        <f t="shared" si="4"/>
        <v>#N/A</v>
      </c>
      <c r="AC34" s="1353" t="e">
        <f t="shared" si="5"/>
        <v>#N/A</v>
      </c>
    </row>
    <row r="35" spans="1:31" ht="15">
      <c r="A35" s="423"/>
      <c r="B35" s="375" t="s">
        <v>1859</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699"/>
      <c r="M35" s="2693"/>
      <c r="N35" s="2693"/>
      <c r="O35" s="2751"/>
      <c r="P35" s="3917"/>
      <c r="Q35" s="1352" t="str">
        <f t="shared" ref="Q35:Q40" si="14">B35</f>
        <v>宗地形状</v>
      </c>
      <c r="R35" s="705" t="s">
        <v>14</v>
      </c>
      <c r="S35" s="706">
        <f t="shared" si="10"/>
        <v>100</v>
      </c>
      <c r="T35" s="705" t="s">
        <v>14</v>
      </c>
      <c r="U35" s="706">
        <f t="shared" si="11"/>
        <v>100</v>
      </c>
      <c r="V35" s="705" t="s">
        <v>14</v>
      </c>
      <c r="W35" s="706">
        <f t="shared" si="12"/>
        <v>100</v>
      </c>
      <c r="X35" s="1355"/>
      <c r="Y35" s="3917"/>
      <c r="Z35" s="1356" t="str">
        <f t="shared" si="13"/>
        <v>宗地形状</v>
      </c>
      <c r="AA35" s="1353">
        <f t="shared" si="3"/>
        <v>1</v>
      </c>
      <c r="AB35" s="1353">
        <f t="shared" si="4"/>
        <v>1</v>
      </c>
      <c r="AC35" s="1353">
        <f t="shared" si="5"/>
        <v>1</v>
      </c>
    </row>
    <row r="36" spans="1:31" s="108" customFormat="1" ht="15">
      <c r="A36" s="424"/>
      <c r="B36" s="375" t="s">
        <v>1861</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694"/>
      <c r="M36" s="2695"/>
      <c r="N36" s="2695"/>
      <c r="O36" s="2749"/>
      <c r="P36" s="3917"/>
      <c r="Q36" s="1352" t="str">
        <f t="shared" si="14"/>
        <v>宗地开发程度</v>
      </c>
      <c r="R36" s="701" t="s">
        <v>14</v>
      </c>
      <c r="S36" s="702">
        <f t="shared" si="10"/>
        <v>100</v>
      </c>
      <c r="T36" s="701" t="s">
        <v>14</v>
      </c>
      <c r="U36" s="702">
        <f t="shared" si="11"/>
        <v>100</v>
      </c>
      <c r="V36" s="701" t="s">
        <v>14</v>
      </c>
      <c r="W36" s="702">
        <f t="shared" si="12"/>
        <v>100</v>
      </c>
      <c r="X36" s="703"/>
      <c r="Y36" s="3917"/>
      <c r="Z36" s="52" t="str">
        <f t="shared" si="13"/>
        <v>宗地开发程度</v>
      </c>
      <c r="AA36" s="704">
        <f t="shared" si="3"/>
        <v>1</v>
      </c>
      <c r="AB36" s="704">
        <f t="shared" si="4"/>
        <v>1</v>
      </c>
      <c r="AC36" s="704">
        <f t="shared" si="5"/>
        <v>1</v>
      </c>
    </row>
    <row r="37" spans="1:31" ht="15">
      <c r="A37" s="423"/>
      <c r="B37" s="375" t="s">
        <v>1862</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699"/>
      <c r="M37" s="2693"/>
      <c r="N37" s="2693"/>
      <c r="O37" s="2751"/>
      <c r="P37" s="3917" t="s">
        <v>1680</v>
      </c>
      <c r="Q37" s="1352" t="str">
        <f t="shared" si="14"/>
        <v>工程地质条件</v>
      </c>
      <c r="R37" s="705" t="s">
        <v>14</v>
      </c>
      <c r="S37" s="706">
        <f t="shared" si="10"/>
        <v>100</v>
      </c>
      <c r="T37" s="705" t="s">
        <v>14</v>
      </c>
      <c r="U37" s="706">
        <f t="shared" si="11"/>
        <v>100</v>
      </c>
      <c r="V37" s="705" t="s">
        <v>14</v>
      </c>
      <c r="W37" s="706">
        <f t="shared" si="12"/>
        <v>100</v>
      </c>
      <c r="X37" s="1355"/>
      <c r="Y37" s="3917" t="s">
        <v>1680</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699"/>
      <c r="M38" s="2693"/>
      <c r="N38" s="2693"/>
      <c r="O38" s="2751"/>
      <c r="P38" s="3917"/>
      <c r="Q38" s="1352">
        <f t="shared" si="14"/>
        <v>111</v>
      </c>
      <c r="R38" s="705" t="s">
        <v>14</v>
      </c>
      <c r="S38" s="706">
        <f t="shared" si="10"/>
        <v>100</v>
      </c>
      <c r="T38" s="705" t="s">
        <v>14</v>
      </c>
      <c r="U38" s="706">
        <f t="shared" si="11"/>
        <v>100</v>
      </c>
      <c r="V38" s="705" t="s">
        <v>14</v>
      </c>
      <c r="W38" s="706">
        <f t="shared" si="12"/>
        <v>100</v>
      </c>
      <c r="X38" s="1355"/>
      <c r="Y38" s="391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699"/>
      <c r="M39" s="2693"/>
      <c r="N39" s="2693"/>
      <c r="O39" s="2751"/>
      <c r="P39" s="3917"/>
      <c r="Q39" s="1352">
        <f t="shared" si="14"/>
        <v>111</v>
      </c>
      <c r="R39" s="705" t="s">
        <v>14</v>
      </c>
      <c r="S39" s="706">
        <f t="shared" si="10"/>
        <v>100</v>
      </c>
      <c r="T39" s="705" t="s">
        <v>14</v>
      </c>
      <c r="U39" s="706">
        <f t="shared" si="11"/>
        <v>100</v>
      </c>
      <c r="V39" s="705" t="s">
        <v>14</v>
      </c>
      <c r="W39" s="706">
        <f t="shared" si="12"/>
        <v>100</v>
      </c>
      <c r="X39" s="1355"/>
      <c r="Y39" s="3917"/>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698"/>
      <c r="M40" s="2700"/>
      <c r="N40" s="2700"/>
      <c r="O40" s="2752"/>
      <c r="P40" s="3917"/>
      <c r="Q40" s="1352">
        <f t="shared" si="14"/>
        <v>111</v>
      </c>
      <c r="R40" s="708" t="s">
        <v>14</v>
      </c>
      <c r="S40" s="709">
        <f t="shared" si="10"/>
        <v>100</v>
      </c>
      <c r="T40" s="708" t="s">
        <v>14</v>
      </c>
      <c r="U40" s="709">
        <f t="shared" si="11"/>
        <v>100</v>
      </c>
      <c r="V40" s="708" t="s">
        <v>14</v>
      </c>
      <c r="W40" s="709">
        <f t="shared" si="12"/>
        <v>100</v>
      </c>
      <c r="X40" s="710"/>
      <c r="Y40" s="3917"/>
      <c r="Z40" s="711">
        <f t="shared" si="13"/>
        <v>111</v>
      </c>
      <c r="AA40" s="1353">
        <f t="shared" si="3"/>
        <v>1</v>
      </c>
      <c r="AB40" s="1353">
        <f t="shared" si="4"/>
        <v>1</v>
      </c>
      <c r="AC40" s="1353">
        <f t="shared" si="5"/>
        <v>1</v>
      </c>
    </row>
    <row r="41" spans="1:31" ht="15">
      <c r="A41" s="430" t="s">
        <v>1828</v>
      </c>
      <c r="B41" s="1982" t="s">
        <v>1906</v>
      </c>
      <c r="C41" s="630" t="s">
        <v>0</v>
      </c>
      <c r="D41" s="432"/>
      <c r="E41" s="433"/>
      <c r="F41" s="434"/>
      <c r="G41" s="435"/>
      <c r="H41" s="436"/>
      <c r="I41" s="433"/>
      <c r="J41" s="436"/>
      <c r="K41" s="714"/>
      <c r="L41" s="2701"/>
      <c r="M41" s="2693"/>
      <c r="N41" s="2693"/>
      <c r="O41" s="2702"/>
      <c r="P41" s="3905" t="str">
        <f>A41</f>
        <v>成交单价</v>
      </c>
      <c r="Q41" s="3905"/>
      <c r="R41" s="3939">
        <f>E41</f>
        <v>0</v>
      </c>
      <c r="S41" s="3939"/>
      <c r="T41" s="3939">
        <f>G41</f>
        <v>0</v>
      </c>
      <c r="U41" s="3939"/>
      <c r="V41" s="3939">
        <f>I41</f>
        <v>0</v>
      </c>
      <c r="W41" s="3939"/>
      <c r="X41" s="690"/>
      <c r="Y41" s="712"/>
      <c r="Z41" s="690"/>
      <c r="AA41" s="690"/>
      <c r="AB41" s="690"/>
      <c r="AC41" s="690"/>
    </row>
    <row r="42" spans="1:31" ht="15.75" thickBot="1">
      <c r="A42" s="437" t="s">
        <v>1777</v>
      </c>
      <c r="B42" s="631"/>
      <c r="C42" s="440" t="e">
        <f>R43</f>
        <v>#DIV/0!</v>
      </c>
      <c r="D42" s="2317" t="s">
        <v>2122</v>
      </c>
      <c r="E42" s="440" t="e">
        <f>R42</f>
        <v>#DIV/0!</v>
      </c>
      <c r="F42" s="2318"/>
      <c r="G42" s="439" t="e">
        <f>T42</f>
        <v>#DIV/0!</v>
      </c>
      <c r="H42" s="2318"/>
      <c r="I42" s="440" t="e">
        <f>V42</f>
        <v>#DIV/0!</v>
      </c>
      <c r="J42" s="2318"/>
      <c r="K42" s="2320">
        <f>F42+H42+J42</f>
        <v>0</v>
      </c>
      <c r="L42" s="2701"/>
      <c r="M42" s="2693"/>
      <c r="N42" s="2693"/>
      <c r="O42" s="2702"/>
      <c r="P42" s="3905" t="str">
        <f>A42</f>
        <v>比较价值（元/平方米）</v>
      </c>
      <c r="Q42" s="3905"/>
      <c r="R42" s="3977" t="e">
        <f>ROUND(PRODUCT(R41,AA7:AA40),0)</f>
        <v>#DIV/0!</v>
      </c>
      <c r="S42" s="3977"/>
      <c r="T42" s="3977" t="e">
        <f>ROUND(PRODUCT(T41,AB7:AB40),0)</f>
        <v>#DIV/0!</v>
      </c>
      <c r="U42" s="3977"/>
      <c r="V42" s="3977" t="e">
        <f>ROUND(PRODUCT(V41,AC7:AC40),0)</f>
        <v>#DIV/0!</v>
      </c>
      <c r="W42" s="3977"/>
      <c r="X42" s="690"/>
      <c r="Y42" s="690"/>
      <c r="Z42" s="690"/>
      <c r="AA42" s="690"/>
      <c r="AB42" s="690"/>
      <c r="AC42" s="690"/>
    </row>
    <row r="43" spans="1:31" ht="15.75" thickBot="1">
      <c r="A43" s="441" t="s">
        <v>1778</v>
      </c>
      <c r="B43" s="442"/>
      <c r="C43" s="443" t="e">
        <f>R43</f>
        <v>#DIV/0!</v>
      </c>
      <c r="D43" s="443"/>
      <c r="E43" s="443"/>
      <c r="F43" s="443"/>
      <c r="G43" s="443"/>
      <c r="H43" s="443"/>
      <c r="I43" s="443"/>
      <c r="J43" s="443"/>
      <c r="K43" s="715"/>
      <c r="L43" s="2701"/>
      <c r="M43" s="2693"/>
      <c r="N43" s="2693"/>
      <c r="O43" s="2702"/>
      <c r="P43" s="3959" t="str">
        <f>A43</f>
        <v>估价对象XX用房的比较价值（楼面单价，元/平方米）</v>
      </c>
      <c r="Q43" s="3960"/>
      <c r="R43" s="3976" t="e">
        <f>ROUND(IF(D42="简单平均",AVERAGE(R42:W42),R42*F42+T42*H42+V42*J42),0)</f>
        <v>#DIV/0!</v>
      </c>
      <c r="S43" s="3976"/>
      <c r="T43" s="3976"/>
      <c r="U43" s="3976"/>
      <c r="V43" s="3976"/>
      <c r="W43" s="3976"/>
      <c r="X43" s="690"/>
      <c r="Y43" s="690"/>
      <c r="Z43" s="690"/>
      <c r="AA43" s="690"/>
      <c r="AB43" s="690"/>
      <c r="AC43" s="690"/>
    </row>
    <row r="44" spans="1:31">
      <c r="A44" s="2702"/>
      <c r="B44" s="2702"/>
      <c r="C44" s="2702"/>
      <c r="D44" s="2702"/>
      <c r="E44" s="2702"/>
      <c r="F44" s="2702"/>
      <c r="G44" s="2706"/>
      <c r="H44" s="2702"/>
      <c r="I44" s="2702"/>
      <c r="J44" s="2702"/>
      <c r="K44" s="2707"/>
      <c r="L44" s="2703"/>
      <c r="M44" s="2693"/>
      <c r="N44" s="2693"/>
      <c r="O44" s="2702"/>
      <c r="P44" s="2702"/>
      <c r="Q44" s="2702"/>
      <c r="R44" s="2702"/>
      <c r="S44" s="2702"/>
      <c r="T44" s="2702"/>
      <c r="U44" s="2702"/>
      <c r="V44" s="2702"/>
      <c r="W44" s="2702"/>
      <c r="X44" s="2702"/>
      <c r="Y44" s="2702"/>
      <c r="Z44" s="2702"/>
      <c r="AA44" s="2702"/>
      <c r="AB44" s="2702"/>
      <c r="AC44" s="2702"/>
      <c r="AD44" s="2702"/>
      <c r="AE44" s="2702"/>
    </row>
    <row r="45" spans="1:31">
      <c r="A45" s="2702"/>
      <c r="B45" s="2702"/>
      <c r="C45" s="2702"/>
      <c r="D45" s="2702"/>
      <c r="E45" s="2702"/>
      <c r="F45" s="2702"/>
      <c r="G45" s="2702"/>
      <c r="H45" s="2702"/>
      <c r="I45" s="2702"/>
      <c r="J45" s="2702"/>
      <c r="K45" s="2707"/>
      <c r="L45" s="2703"/>
      <c r="M45" s="2693"/>
      <c r="N45" s="2693"/>
      <c r="O45" s="2702"/>
      <c r="P45" s="2702"/>
      <c r="Q45" s="2702"/>
      <c r="R45" s="2702"/>
      <c r="S45" s="2702"/>
      <c r="T45" s="2702"/>
      <c r="U45" s="2702"/>
      <c r="V45" s="2702"/>
      <c r="W45" s="2702"/>
      <c r="X45" s="2702"/>
      <c r="Y45" s="2702"/>
      <c r="Z45" s="2702"/>
      <c r="AA45" s="2702"/>
      <c r="AB45" s="2702"/>
      <c r="AC45" s="2702"/>
      <c r="AD45" s="2702"/>
      <c r="AE45" s="2702"/>
    </row>
    <row r="46" spans="1:31" ht="13.5" customHeight="1">
      <c r="A46" s="2702"/>
      <c r="B46" s="2702"/>
      <c r="C46" s="446" t="s">
        <v>1779</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7"/>
      <c r="L46" s="2703"/>
      <c r="M46" s="2693"/>
      <c r="N46" s="2693"/>
      <c r="O46" s="2702"/>
      <c r="P46" s="2702"/>
      <c r="Q46" s="2702"/>
      <c r="R46" s="2702"/>
      <c r="S46" s="2702"/>
      <c r="T46" s="2702"/>
      <c r="U46" s="2702"/>
      <c r="V46" s="2702"/>
      <c r="W46" s="2702"/>
      <c r="X46" s="2702"/>
      <c r="Y46" s="2702"/>
      <c r="Z46" s="2702"/>
      <c r="AA46" s="2702"/>
      <c r="AB46" s="2702"/>
      <c r="AC46" s="2702"/>
      <c r="AD46" s="2702"/>
      <c r="AE46" s="2702"/>
    </row>
    <row r="47" spans="1:31" ht="13.5" customHeight="1">
      <c r="A47" s="2702"/>
      <c r="B47" s="2702"/>
      <c r="C47" s="446" t="s">
        <v>1780</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7"/>
      <c r="L47" s="2703"/>
      <c r="M47" s="2702"/>
      <c r="N47" s="2702"/>
      <c r="O47" s="2702"/>
      <c r="P47" s="2702"/>
      <c r="Q47" s="2702"/>
      <c r="R47" s="2702"/>
      <c r="S47" s="2702"/>
      <c r="T47" s="2702"/>
      <c r="U47" s="2702"/>
      <c r="V47" s="2702"/>
      <c r="W47" s="2702"/>
      <c r="X47" s="2702"/>
      <c r="Y47" s="2702"/>
      <c r="Z47" s="2702"/>
      <c r="AA47" s="2702"/>
      <c r="AB47" s="2702"/>
      <c r="AC47" s="2702"/>
      <c r="AD47" s="2702"/>
      <c r="AE47" s="2702"/>
    </row>
    <row r="48" spans="1:31" s="451" customFormat="1" ht="13.5" customHeight="1">
      <c r="A48" s="2705"/>
      <c r="B48" s="2705"/>
      <c r="C48" s="446" t="s">
        <v>1781</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10"/>
      <c r="L48" s="2704"/>
      <c r="M48" s="2705"/>
      <c r="N48" s="2705"/>
      <c r="O48" s="2705"/>
      <c r="P48" s="2705"/>
      <c r="Q48" s="2705"/>
      <c r="R48" s="2705"/>
      <c r="S48" s="2705"/>
      <c r="T48" s="2705"/>
      <c r="U48" s="2705"/>
      <c r="V48" s="2705"/>
      <c r="W48" s="2705"/>
      <c r="X48" s="2705"/>
      <c r="Y48" s="2705"/>
      <c r="Z48" s="2705"/>
      <c r="AA48" s="2705"/>
      <c r="AB48" s="2705"/>
      <c r="AC48" s="2705"/>
      <c r="AD48" s="2705"/>
      <c r="AE48" s="2705"/>
    </row>
    <row r="49" spans="1:31" s="451" customFormat="1" ht="15" thickBot="1">
      <c r="A49" s="2705"/>
      <c r="B49" s="2708"/>
      <c r="C49" s="693"/>
      <c r="D49" s="691"/>
      <c r="E49" s="691"/>
      <c r="F49" s="691"/>
      <c r="G49" s="691"/>
      <c r="H49" s="691"/>
      <c r="I49" s="691"/>
      <c r="J49" s="691"/>
      <c r="K49" s="2710"/>
      <c r="L49" s="2704"/>
      <c r="M49" s="2705"/>
      <c r="N49" s="2705"/>
      <c r="O49" s="2705"/>
      <c r="P49" s="2705"/>
      <c r="Q49" s="2705"/>
      <c r="R49" s="2705"/>
      <c r="S49" s="2705"/>
      <c r="T49" s="2705"/>
      <c r="U49" s="2705"/>
      <c r="V49" s="2705"/>
      <c r="W49" s="2705"/>
      <c r="X49" s="2705"/>
      <c r="Y49" s="2705"/>
      <c r="Z49" s="2705"/>
      <c r="AA49" s="2705"/>
      <c r="AB49" s="2705"/>
      <c r="AC49" s="2705"/>
      <c r="AD49" s="2705"/>
      <c r="AE49" s="2705"/>
    </row>
    <row r="50" spans="1:31" ht="27">
      <c r="A50" s="632" t="s">
        <v>1865</v>
      </c>
      <c r="B50" s="633" t="s">
        <v>1866</v>
      </c>
      <c r="C50" s="1983" t="s">
        <v>1867</v>
      </c>
      <c r="D50" s="1984" t="s">
        <v>1868</v>
      </c>
      <c r="E50" s="634" t="s">
        <v>1869</v>
      </c>
      <c r="F50" s="635" t="s">
        <v>1870</v>
      </c>
      <c r="G50" s="3922" t="s">
        <v>1871</v>
      </c>
      <c r="H50" s="3971"/>
      <c r="I50" s="1356" t="s">
        <v>1907</v>
      </c>
      <c r="J50" s="1356">
        <f>项目基本情况!F35</f>
        <v>0</v>
      </c>
      <c r="K50" s="1986" t="s">
        <v>1873</v>
      </c>
      <c r="L50" s="2703"/>
      <c r="M50" s="2702"/>
      <c r="N50" s="2702"/>
      <c r="O50" s="2702"/>
      <c r="P50" s="2702"/>
      <c r="Q50" s="2702"/>
      <c r="R50" s="2702"/>
      <c r="S50" s="2702"/>
      <c r="T50" s="2702"/>
      <c r="U50" s="2702"/>
      <c r="V50" s="2702"/>
      <c r="W50" s="2702"/>
      <c r="X50" s="2702"/>
      <c r="Y50" s="2702"/>
      <c r="Z50" s="2702"/>
      <c r="AA50" s="2702"/>
      <c r="AB50" s="2702"/>
      <c r="AC50" s="2702"/>
      <c r="AD50" s="2702"/>
      <c r="AE50" s="2702"/>
    </row>
    <row r="51" spans="1:31" s="640" customFormat="1">
      <c r="A51" s="636" t="s">
        <v>1874</v>
      </c>
      <c r="B51" s="637" t="e">
        <f>C43</f>
        <v>#DIV/0!</v>
      </c>
      <c r="C51" s="638">
        <v>1</v>
      </c>
      <c r="D51" s="944">
        <v>1</v>
      </c>
      <c r="E51" s="638">
        <f>'数据-汇总表'!E8+'数据-汇总表'!E9</f>
        <v>42571.529999999977</v>
      </c>
      <c r="F51" s="639" t="e">
        <f t="shared" ref="F51:F60" si="15">ROUND(B51*E51/10000,0)</f>
        <v>#DIV/0!</v>
      </c>
      <c r="G51" s="3904"/>
      <c r="H51" s="3905"/>
      <c r="I51" s="773">
        <v>1</v>
      </c>
      <c r="J51" s="773">
        <v>1</v>
      </c>
      <c r="K51" s="2705"/>
      <c r="L51" s="2759"/>
      <c r="M51" s="2759"/>
      <c r="N51" s="2759"/>
      <c r="O51" s="2759"/>
      <c r="P51" s="2759"/>
      <c r="Q51" s="2759"/>
      <c r="R51" s="2759"/>
      <c r="S51" s="2759"/>
      <c r="T51" s="2759"/>
      <c r="U51" s="2759"/>
      <c r="V51" s="2759"/>
      <c r="W51" s="2759"/>
      <c r="X51" s="2759"/>
      <c r="Y51" s="2759"/>
      <c r="Z51" s="2759"/>
      <c r="AA51" s="2759"/>
      <c r="AB51" s="2759"/>
      <c r="AC51" s="2759"/>
      <c r="AD51" s="2759"/>
      <c r="AE51" s="2759"/>
    </row>
    <row r="52" spans="1:31" s="640" customFormat="1">
      <c r="A52" s="641" t="s">
        <v>1875</v>
      </c>
      <c r="B52" s="218" t="e">
        <f>ROUND($C$43*C52*D52,0)</f>
        <v>#DIV/0!</v>
      </c>
      <c r="C52" s="171">
        <f t="shared" ref="C52:C60" si="16">IF($C$50="北京市系数",I52,J52)</f>
        <v>0.6</v>
      </c>
      <c r="D52" s="945">
        <v>0.25</v>
      </c>
      <c r="E52" s="642"/>
      <c r="F52" s="639" t="e">
        <f t="shared" si="15"/>
        <v>#DIV/0!</v>
      </c>
      <c r="G52" s="2983" t="s">
        <v>1876</v>
      </c>
      <c r="H52" s="887" t="str">
        <f>项目基本情况!B37</f>
        <v>三级</v>
      </c>
      <c r="I52" s="773">
        <f>SUMIF(修正!A57:A68,H52,修正!B57:B68)</f>
        <v>0.6</v>
      </c>
      <c r="J52" s="774"/>
      <c r="K52" s="2702"/>
      <c r="L52" s="2759"/>
      <c r="M52" s="2759"/>
      <c r="N52" s="2759"/>
      <c r="O52" s="2759"/>
      <c r="P52" s="2759"/>
      <c r="Q52" s="2759"/>
      <c r="R52" s="2759"/>
      <c r="S52" s="2759"/>
      <c r="T52" s="2759"/>
      <c r="U52" s="2759"/>
      <c r="V52" s="2759"/>
      <c r="W52" s="2759"/>
      <c r="X52" s="2759"/>
      <c r="Y52" s="2759"/>
      <c r="Z52" s="2759"/>
      <c r="AA52" s="2759"/>
      <c r="AB52" s="2759"/>
      <c r="AC52" s="2759"/>
      <c r="AD52" s="2759"/>
      <c r="AE52" s="2759"/>
    </row>
    <row r="53" spans="1:31" s="640" customFormat="1">
      <c r="A53" s="641" t="s">
        <v>1877</v>
      </c>
      <c r="B53" s="218" t="e">
        <f t="shared" ref="B53:B60" si="17">ROUND($C$43*C53*D53,0)</f>
        <v>#DIV/0!</v>
      </c>
      <c r="C53" s="171">
        <f t="shared" si="16"/>
        <v>0.3</v>
      </c>
      <c r="D53" s="945">
        <v>0.25</v>
      </c>
      <c r="E53" s="642"/>
      <c r="F53" s="639" t="e">
        <f t="shared" si="15"/>
        <v>#DIV/0!</v>
      </c>
      <c r="G53" s="2984"/>
      <c r="H53" s="887" t="str">
        <f>项目基本情况!B37</f>
        <v>三级</v>
      </c>
      <c r="I53" s="773">
        <f>SUMIF(修正!A57:A68,H53,修正!C57:C68)</f>
        <v>0.3</v>
      </c>
      <c r="J53" s="774"/>
      <c r="K53" s="2705"/>
      <c r="L53" s="2759"/>
      <c r="M53" s="2759"/>
      <c r="N53" s="2759"/>
      <c r="O53" s="2759"/>
      <c r="P53" s="2759"/>
      <c r="Q53" s="2759"/>
      <c r="R53" s="2759"/>
      <c r="S53" s="2759"/>
      <c r="T53" s="2759"/>
      <c r="U53" s="2759"/>
      <c r="V53" s="2759"/>
      <c r="W53" s="2759"/>
      <c r="X53" s="2759"/>
      <c r="Y53" s="2759"/>
      <c r="Z53" s="2759"/>
      <c r="AA53" s="2759"/>
      <c r="AB53" s="2759"/>
      <c r="AC53" s="2759"/>
      <c r="AD53" s="2759"/>
      <c r="AE53" s="2759"/>
    </row>
    <row r="54" spans="1:31" s="640" customFormat="1">
      <c r="A54" s="641" t="s">
        <v>1878</v>
      </c>
      <c r="B54" s="218" t="e">
        <f t="shared" si="17"/>
        <v>#DIV/0!</v>
      </c>
      <c r="C54" s="171">
        <f t="shared" si="16"/>
        <v>0.25</v>
      </c>
      <c r="D54" s="945">
        <v>0.25</v>
      </c>
      <c r="E54" s="642"/>
      <c r="F54" s="639" t="e">
        <f t="shared" si="15"/>
        <v>#DIV/0!</v>
      </c>
      <c r="G54" s="2984"/>
      <c r="H54" s="887" t="str">
        <f>项目基本情况!B37</f>
        <v>三级</v>
      </c>
      <c r="I54" s="773">
        <f>SUMIF(修正!A57:A68,H54,修正!D57:D68)</f>
        <v>0.25</v>
      </c>
      <c r="J54" s="774"/>
      <c r="K54" s="2702"/>
      <c r="L54" s="2759"/>
      <c r="M54" s="2759"/>
      <c r="N54" s="2759"/>
      <c r="O54" s="2759"/>
      <c r="P54" s="2759"/>
      <c r="Q54" s="2759"/>
      <c r="R54" s="2759"/>
      <c r="S54" s="2759"/>
      <c r="T54" s="2759"/>
      <c r="U54" s="2759"/>
      <c r="V54" s="2759"/>
      <c r="W54" s="2759"/>
      <c r="X54" s="2759"/>
      <c r="Y54" s="2759"/>
      <c r="Z54" s="2759"/>
      <c r="AA54" s="2759"/>
      <c r="AB54" s="2759"/>
      <c r="AC54" s="2759"/>
      <c r="AD54" s="2759"/>
      <c r="AE54" s="2759"/>
    </row>
    <row r="55" spans="1:31" s="640" customFormat="1" hidden="1">
      <c r="A55" s="641"/>
      <c r="B55" s="218"/>
      <c r="C55" s="171"/>
      <c r="D55" s="945"/>
      <c r="E55" s="642"/>
      <c r="F55" s="639"/>
      <c r="G55" s="2985"/>
      <c r="H55" s="887"/>
      <c r="I55" s="773"/>
      <c r="J55" s="774"/>
      <c r="K55" s="2705"/>
      <c r="L55" s="2759"/>
      <c r="M55" s="2759"/>
      <c r="N55" s="2759"/>
      <c r="O55" s="2759"/>
      <c r="P55" s="2759"/>
      <c r="Q55" s="2759"/>
      <c r="R55" s="2759"/>
      <c r="S55" s="2759"/>
      <c r="T55" s="2759"/>
      <c r="U55" s="2759"/>
      <c r="V55" s="2759"/>
      <c r="W55" s="2759"/>
      <c r="X55" s="2759"/>
      <c r="Y55" s="2759"/>
      <c r="Z55" s="2759"/>
      <c r="AA55" s="2759"/>
      <c r="AB55" s="2759"/>
      <c r="AC55" s="2759"/>
      <c r="AD55" s="2759"/>
      <c r="AE55" s="2759"/>
    </row>
    <row r="56" spans="1:31" s="640" customFormat="1">
      <c r="A56" s="641" t="s">
        <v>1879</v>
      </c>
      <c r="B56" s="218" t="e">
        <f t="shared" si="17"/>
        <v>#DIV/0!</v>
      </c>
      <c r="C56" s="171">
        <f t="shared" si="16"/>
        <v>0.25</v>
      </c>
      <c r="D56" s="945">
        <v>0.25</v>
      </c>
      <c r="E56" s="217">
        <f>'数据-汇总表'!E11</f>
        <v>0</v>
      </c>
      <c r="F56" s="639" t="e">
        <f t="shared" si="15"/>
        <v>#DIV/0!</v>
      </c>
      <c r="G56" s="1987" t="s">
        <v>1880</v>
      </c>
      <c r="H56" s="887" t="str">
        <f>项目基本情况!C37</f>
        <v>三级</v>
      </c>
      <c r="I56" s="773">
        <f>SUMIF(修正!A57:A68,H56,修正!E57:E68)</f>
        <v>0.25</v>
      </c>
      <c r="J56" s="774"/>
      <c r="K56" s="2702"/>
      <c r="L56" s="2759"/>
      <c r="M56" s="2759"/>
      <c r="N56" s="2759"/>
      <c r="O56" s="2759"/>
      <c r="P56" s="2759"/>
      <c r="Q56" s="2759"/>
      <c r="R56" s="2759"/>
      <c r="S56" s="2759"/>
      <c r="T56" s="2759"/>
      <c r="U56" s="2759"/>
      <c r="V56" s="2759"/>
      <c r="W56" s="2759"/>
      <c r="X56" s="2759"/>
      <c r="Y56" s="2759"/>
      <c r="Z56" s="2759"/>
      <c r="AA56" s="2759"/>
      <c r="AB56" s="2759"/>
      <c r="AC56" s="2759"/>
      <c r="AD56" s="2759"/>
      <c r="AE56" s="2759"/>
    </row>
    <row r="57" spans="1:31" s="640" customFormat="1">
      <c r="A57" s="641" t="s">
        <v>1881</v>
      </c>
      <c r="B57" s="218" t="e">
        <f t="shared" si="17"/>
        <v>#DIV/0!</v>
      </c>
      <c r="C57" s="171">
        <f t="shared" si="16"/>
        <v>0.25</v>
      </c>
      <c r="D57" s="945">
        <v>0.25</v>
      </c>
      <c r="E57" s="217">
        <f>'数据-汇总表'!E12</f>
        <v>0</v>
      </c>
      <c r="F57" s="639" t="e">
        <f t="shared" si="15"/>
        <v>#DIV/0!</v>
      </c>
      <c r="G57" s="892" t="s">
        <v>1882</v>
      </c>
      <c r="H57" s="887" t="str">
        <f>IF(G57="商业",项目基本情况!B37,IF(G57="办公",项目基本情况!C37,IF(G57="住宅",项目基本情况!D37,项目基本情况!E37)))</f>
        <v>三级</v>
      </c>
      <c r="I57" s="773">
        <f>SUMIF(修正!A57:A68,H57,修正!F57:F68)</f>
        <v>0.25</v>
      </c>
      <c r="J57" s="774"/>
      <c r="K57" s="2705"/>
      <c r="L57" s="2759"/>
      <c r="M57" s="2759"/>
      <c r="N57" s="2759"/>
      <c r="O57" s="2759"/>
      <c r="P57" s="2759"/>
      <c r="Q57" s="2759"/>
      <c r="R57" s="2759"/>
      <c r="S57" s="2759"/>
      <c r="T57" s="2759"/>
      <c r="U57" s="2759"/>
      <c r="V57" s="2759"/>
      <c r="W57" s="2759"/>
      <c r="X57" s="2759"/>
      <c r="Y57" s="2759"/>
      <c r="Z57" s="2759"/>
      <c r="AA57" s="2759"/>
      <c r="AB57" s="2759"/>
      <c r="AC57" s="2759"/>
      <c r="AD57" s="2759"/>
      <c r="AE57" s="2759"/>
    </row>
    <row r="58" spans="1:31" s="640" customFormat="1">
      <c r="A58" s="641" t="s">
        <v>1883</v>
      </c>
      <c r="B58" s="218" t="e">
        <f t="shared" si="17"/>
        <v>#DIV/0!</v>
      </c>
      <c r="C58" s="171">
        <f t="shared" si="16"/>
        <v>0.15</v>
      </c>
      <c r="D58" s="945">
        <v>0.25</v>
      </c>
      <c r="E58" s="217">
        <f>'数据-汇总表'!E13</f>
        <v>6149.2</v>
      </c>
      <c r="F58" s="639" t="e">
        <f t="shared" si="15"/>
        <v>#DIV/0!</v>
      </c>
      <c r="G58" s="892" t="s">
        <v>1884</v>
      </c>
      <c r="H58" s="887" t="str">
        <f>IF(G58="商业",项目基本情况!B37,IF(G58="办公",项目基本情况!C37,IF(G58="住宅",项目基本情况!D37,项目基本情况!E37)))</f>
        <v>三级</v>
      </c>
      <c r="I58" s="773">
        <f>SUMIF(修正!A57:A68,H58,修正!G57:G68)</f>
        <v>0.15</v>
      </c>
      <c r="J58" s="774"/>
      <c r="K58" s="2702"/>
      <c r="L58" s="2759"/>
      <c r="M58" s="2759"/>
      <c r="N58" s="2759"/>
      <c r="O58" s="2759"/>
      <c r="P58" s="2759"/>
      <c r="Q58" s="2759"/>
      <c r="R58" s="2759"/>
      <c r="S58" s="2759"/>
      <c r="T58" s="2759"/>
      <c r="U58" s="2759"/>
      <c r="V58" s="2759"/>
      <c r="W58" s="2759"/>
      <c r="X58" s="2759"/>
      <c r="Y58" s="2759"/>
      <c r="Z58" s="2759"/>
      <c r="AA58" s="2759"/>
      <c r="AB58" s="2759"/>
      <c r="AC58" s="2759"/>
      <c r="AD58" s="2759"/>
      <c r="AE58" s="2759"/>
    </row>
    <row r="59" spans="1:31" s="640" customFormat="1">
      <c r="A59" s="641" t="s">
        <v>1885</v>
      </c>
      <c r="B59" s="218" t="e">
        <f t="shared" si="17"/>
        <v>#DIV/0!</v>
      </c>
      <c r="C59" s="171">
        <f t="shared" si="16"/>
        <v>0.15</v>
      </c>
      <c r="D59" s="945">
        <v>0.25</v>
      </c>
      <c r="E59" s="217">
        <f>'数据-汇总表'!E14</f>
        <v>0</v>
      </c>
      <c r="F59" s="639" t="e">
        <f t="shared" si="15"/>
        <v>#DIV/0!</v>
      </c>
      <c r="G59" s="1987" t="s">
        <v>1876</v>
      </c>
      <c r="H59" s="887" t="str">
        <f>项目基本情况!B37</f>
        <v>三级</v>
      </c>
      <c r="I59" s="773">
        <f>SUMIF(修正!A57:A68,H59,修正!G57:G68)</f>
        <v>0.15</v>
      </c>
      <c r="J59" s="774"/>
      <c r="K59" s="2705"/>
      <c r="L59" s="2759"/>
      <c r="M59" s="2759"/>
      <c r="N59" s="2759"/>
      <c r="O59" s="2759"/>
      <c r="P59" s="2759"/>
      <c r="Q59" s="2759"/>
      <c r="R59" s="2759"/>
      <c r="S59" s="2759"/>
      <c r="T59" s="2759"/>
      <c r="U59" s="2759"/>
      <c r="V59" s="2759"/>
      <c r="W59" s="2759"/>
      <c r="X59" s="2759"/>
      <c r="Y59" s="2759"/>
      <c r="Z59" s="2759"/>
      <c r="AA59" s="2759"/>
      <c r="AB59" s="2759"/>
      <c r="AC59" s="2759"/>
      <c r="AD59" s="2759"/>
      <c r="AE59" s="2759"/>
    </row>
    <row r="60" spans="1:31" s="640" customFormat="1" ht="15" thickBot="1">
      <c r="A60" s="641" t="s">
        <v>1886</v>
      </c>
      <c r="B60" s="218" t="e">
        <f t="shared" si="17"/>
        <v>#DIV/0!</v>
      </c>
      <c r="C60" s="171">
        <f t="shared" si="16"/>
        <v>0.15</v>
      </c>
      <c r="D60" s="945">
        <v>0.25</v>
      </c>
      <c r="E60" s="217">
        <f>'数据-汇总表'!E15</f>
        <v>0</v>
      </c>
      <c r="F60" s="639" t="e">
        <f t="shared" si="15"/>
        <v>#DIV/0!</v>
      </c>
      <c r="G60" s="1988" t="s">
        <v>1880</v>
      </c>
      <c r="H60" s="897" t="str">
        <f>项目基本情况!C37</f>
        <v>三级</v>
      </c>
      <c r="I60" s="773">
        <f>SUMIF(修正!A57:A68,H60,修正!G57:G68)</f>
        <v>0.15</v>
      </c>
      <c r="J60" s="774"/>
      <c r="K60" s="2702"/>
      <c r="L60" s="2759"/>
      <c r="M60" s="2759"/>
      <c r="N60" s="2759"/>
      <c r="O60" s="2759"/>
      <c r="P60" s="2759"/>
      <c r="Q60" s="2759"/>
      <c r="R60" s="2759"/>
      <c r="S60" s="2759"/>
      <c r="T60" s="2759"/>
      <c r="U60" s="2759"/>
      <c r="V60" s="2759"/>
      <c r="W60" s="2759"/>
      <c r="X60" s="2759"/>
      <c r="Y60" s="2759"/>
      <c r="Z60" s="2759"/>
      <c r="AA60" s="2759"/>
      <c r="AB60" s="2759"/>
      <c r="AC60" s="2759"/>
      <c r="AD60" s="2759"/>
      <c r="AE60" s="2759"/>
    </row>
    <row r="61" spans="1:31" s="640" customFormat="1" ht="15" thickBot="1">
      <c r="A61" s="643" t="s">
        <v>1887</v>
      </c>
      <c r="B61" s="644" t="s">
        <v>22</v>
      </c>
      <c r="C61" s="644" t="s">
        <v>23</v>
      </c>
      <c r="D61" s="644" t="s">
        <v>392</v>
      </c>
      <c r="E61" s="644">
        <f>IF(B41="楼面地价",SUM(E51:E60),'数据-汇总表'!D3)</f>
        <v>0</v>
      </c>
      <c r="F61" s="645" t="e">
        <f>IF(B41="楼面地价",SUM(F51:F60),ROUND(C43*E61/10000,0))</f>
        <v>#DIV/0!</v>
      </c>
      <c r="G61" s="939"/>
      <c r="H61" s="939"/>
      <c r="I61" s="939"/>
      <c r="J61" s="939"/>
      <c r="K61" s="2707"/>
      <c r="L61" s="2759"/>
      <c r="M61" s="2759"/>
      <c r="N61" s="2759"/>
      <c r="O61" s="2759"/>
      <c r="P61" s="2759"/>
      <c r="Q61" s="2759"/>
      <c r="R61" s="2759"/>
      <c r="S61" s="2759"/>
      <c r="T61" s="2759"/>
      <c r="U61" s="2759"/>
      <c r="V61" s="2759"/>
      <c r="W61" s="2759"/>
      <c r="X61" s="2759"/>
      <c r="Y61" s="2759"/>
      <c r="Z61" s="2759"/>
      <c r="AA61" s="2759"/>
      <c r="AB61" s="2759"/>
      <c r="AC61" s="2759"/>
      <c r="AD61" s="2759"/>
      <c r="AE61" s="2759"/>
    </row>
    <row r="62" spans="1:31">
      <c r="A62" s="927"/>
      <c r="B62" s="929"/>
      <c r="C62" s="931"/>
      <c r="D62" s="927"/>
      <c r="E62" s="927"/>
      <c r="F62" s="927"/>
      <c r="G62" s="927"/>
      <c r="H62" s="927"/>
      <c r="I62" s="927"/>
      <c r="J62" s="927"/>
      <c r="K62" s="888"/>
      <c r="L62" s="889"/>
      <c r="M62" s="927"/>
      <c r="N62" s="927"/>
      <c r="O62" s="927"/>
      <c r="P62" s="2702"/>
      <c r="Q62" s="2702"/>
      <c r="R62" s="2702"/>
      <c r="S62" s="2702"/>
      <c r="T62" s="2702"/>
      <c r="U62" s="2702"/>
      <c r="V62" s="2702"/>
      <c r="W62" s="2702"/>
      <c r="X62" s="2702"/>
      <c r="Y62" s="2702"/>
      <c r="Z62" s="2702"/>
      <c r="AA62" s="2702"/>
      <c r="AB62" s="2702"/>
      <c r="AC62" s="2702"/>
      <c r="AD62" s="2702"/>
      <c r="AE62" s="2702"/>
    </row>
    <row r="63" spans="1:31">
      <c r="A63" s="927"/>
      <c r="B63" s="929"/>
      <c r="C63" s="692" t="str">
        <f>YEAR(C7)&amp;"-"&amp;MONTH(C7)&amp;"-1"</f>
        <v>2023-12-1</v>
      </c>
      <c r="D63" s="692">
        <f>EDATE(C63,-3)</f>
        <v>45170</v>
      </c>
      <c r="E63" s="692">
        <f>EDATE(D63,-3)</f>
        <v>45078</v>
      </c>
      <c r="F63" s="692">
        <f t="shared" ref="F63:O63" si="18">EDATE(E63,-3)</f>
        <v>44986</v>
      </c>
      <c r="G63" s="692">
        <f t="shared" si="18"/>
        <v>44896</v>
      </c>
      <c r="H63" s="692">
        <f t="shared" si="18"/>
        <v>44805</v>
      </c>
      <c r="I63" s="692">
        <f t="shared" si="18"/>
        <v>44713</v>
      </c>
      <c r="J63" s="692">
        <f t="shared" si="18"/>
        <v>44621</v>
      </c>
      <c r="K63" s="692">
        <f t="shared" si="18"/>
        <v>44531</v>
      </c>
      <c r="L63" s="692">
        <f t="shared" si="18"/>
        <v>44440</v>
      </c>
      <c r="M63" s="692">
        <f t="shared" si="18"/>
        <v>44348</v>
      </c>
      <c r="N63" s="692">
        <f t="shared" si="18"/>
        <v>44256</v>
      </c>
      <c r="O63" s="692">
        <f t="shared" si="18"/>
        <v>44166</v>
      </c>
      <c r="P63" s="2702"/>
      <c r="Q63" s="2702"/>
      <c r="R63" s="2702"/>
      <c r="S63" s="2702"/>
      <c r="T63" s="2702"/>
      <c r="U63" s="2702"/>
      <c r="V63" s="2702"/>
      <c r="W63" s="2702"/>
      <c r="X63" s="2702"/>
      <c r="Y63" s="2702"/>
      <c r="Z63" s="2702"/>
      <c r="AA63" s="2702"/>
      <c r="AB63" s="2702"/>
      <c r="AC63" s="2702"/>
      <c r="AD63" s="2702"/>
      <c r="AE63" s="2702"/>
    </row>
    <row r="64" spans="1:31" ht="21.75" thickBot="1">
      <c r="A64" s="694" t="s">
        <v>1782</v>
      </c>
      <c r="B64" s="690"/>
      <c r="C64" s="695"/>
      <c r="D64" s="695"/>
      <c r="E64" s="695"/>
      <c r="F64" s="696"/>
      <c r="G64" s="696"/>
      <c r="H64" s="695"/>
      <c r="I64" s="695"/>
      <c r="J64" s="695"/>
      <c r="K64" s="697"/>
      <c r="L64" s="698"/>
      <c r="M64" s="695"/>
      <c r="N64" s="695"/>
      <c r="O64" s="940"/>
      <c r="P64" s="2746"/>
      <c r="Q64" s="2716"/>
      <c r="R64" s="2702"/>
      <c r="S64" s="2702"/>
      <c r="T64" s="2702"/>
      <c r="U64" s="2702"/>
      <c r="V64" s="2702"/>
      <c r="W64" s="2702"/>
      <c r="X64" s="2702"/>
      <c r="Y64" s="2702"/>
      <c r="Z64" s="2702"/>
      <c r="AA64" s="2702"/>
      <c r="AB64" s="2702"/>
      <c r="AC64" s="2702"/>
      <c r="AD64" s="2702"/>
      <c r="AE64" s="2702"/>
    </row>
    <row r="65" spans="1:31" s="457" customFormat="1" ht="15">
      <c r="A65" s="1989" t="s">
        <v>1888</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53"/>
      <c r="Q65" s="2718"/>
      <c r="R65" s="2718"/>
      <c r="S65" s="2718"/>
      <c r="T65" s="2718"/>
      <c r="U65" s="2718"/>
      <c r="V65" s="2718"/>
      <c r="W65" s="2718"/>
      <c r="X65" s="2718"/>
      <c r="Y65" s="2718"/>
      <c r="Z65" s="2718"/>
      <c r="AA65" s="2718"/>
      <c r="AB65" s="2718"/>
      <c r="AC65" s="2718"/>
      <c r="AD65" s="2718"/>
      <c r="AE65" s="2718"/>
    </row>
    <row r="66" spans="1:31" s="108" customFormat="1" ht="30.75" customHeight="1">
      <c r="A66" s="1994" t="s">
        <v>1908</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16"/>
      <c r="Q66" s="2638"/>
      <c r="R66" s="2638"/>
      <c r="S66" s="2638"/>
      <c r="T66" s="2638"/>
      <c r="U66" s="2638"/>
      <c r="V66" s="2638"/>
      <c r="W66" s="2638"/>
      <c r="X66" s="2638"/>
      <c r="Y66" s="2638"/>
      <c r="Z66" s="2638"/>
      <c r="AA66" s="2638"/>
      <c r="AB66" s="2638"/>
      <c r="AC66" s="2638"/>
      <c r="AD66" s="2638"/>
      <c r="AE66" s="2638"/>
    </row>
    <row r="67" spans="1:31" s="108" customFormat="1" ht="15.75" thickBot="1">
      <c r="A67" s="464" t="s">
        <v>1700</v>
      </c>
      <c r="B67" s="465"/>
      <c r="C67" s="466"/>
      <c r="D67" s="467"/>
      <c r="E67" s="467"/>
      <c r="F67" s="467"/>
      <c r="G67" s="467"/>
      <c r="H67" s="467"/>
      <c r="I67" s="467"/>
      <c r="J67" s="467"/>
      <c r="K67" s="467"/>
      <c r="L67" s="467"/>
      <c r="M67" s="468"/>
      <c r="N67" s="468"/>
      <c r="O67" s="469"/>
      <c r="P67" s="2716"/>
      <c r="Q67" s="2716"/>
      <c r="R67" s="2638"/>
      <c r="S67" s="2638"/>
      <c r="T67" s="2638"/>
      <c r="U67" s="2638"/>
      <c r="V67" s="2638"/>
      <c r="W67" s="2638"/>
      <c r="X67" s="2638"/>
      <c r="Y67" s="2638"/>
      <c r="Z67" s="2638"/>
      <c r="AA67" s="2638"/>
      <c r="AB67" s="2638"/>
      <c r="AC67" s="2638"/>
      <c r="AD67" s="2638"/>
      <c r="AE67" s="2638"/>
    </row>
    <row r="68" spans="1:31" s="108" customFormat="1" ht="15">
      <c r="A68" s="470" t="s">
        <v>1665</v>
      </c>
      <c r="B68" s="459"/>
      <c r="C68" s="471" t="s">
        <v>1760</v>
      </c>
      <c r="D68" s="472"/>
      <c r="E68" s="472"/>
      <c r="F68" s="472"/>
      <c r="G68" s="472"/>
      <c r="H68" s="472"/>
      <c r="I68" s="472"/>
      <c r="J68" s="472"/>
      <c r="K68" s="472"/>
      <c r="L68" s="473"/>
      <c r="M68" s="474"/>
      <c r="N68" s="2729"/>
      <c r="O68" s="2729"/>
      <c r="P68" s="2754"/>
      <c r="Q68" s="2716"/>
      <c r="R68" s="2638"/>
      <c r="S68" s="2638"/>
      <c r="T68" s="2638"/>
      <c r="U68" s="2638"/>
      <c r="V68" s="2638"/>
      <c r="W68" s="2638"/>
      <c r="X68" s="2638"/>
      <c r="Y68" s="2638"/>
      <c r="Z68" s="2638"/>
      <c r="AA68" s="2638"/>
      <c r="AB68" s="2638"/>
      <c r="AC68" s="2638"/>
      <c r="AD68" s="2638"/>
      <c r="AE68" s="2638"/>
    </row>
    <row r="69" spans="1:31" s="108" customFormat="1" ht="15.75" thickBot="1">
      <c r="A69" s="470"/>
      <c r="B69" s="459"/>
      <c r="C69" s="587">
        <v>100</v>
      </c>
      <c r="D69" s="461"/>
      <c r="E69" s="461"/>
      <c r="F69" s="461"/>
      <c r="G69" s="461"/>
      <c r="H69" s="461"/>
      <c r="I69" s="461"/>
      <c r="J69" s="461"/>
      <c r="K69" s="461"/>
      <c r="L69" s="461"/>
      <c r="M69" s="463"/>
      <c r="N69" s="2729"/>
      <c r="O69" s="2729"/>
      <c r="P69" s="2716"/>
      <c r="Q69" s="2716"/>
      <c r="R69" s="2638"/>
      <c r="S69" s="2638"/>
      <c r="T69" s="2638"/>
      <c r="U69" s="2638"/>
      <c r="V69" s="2638"/>
      <c r="W69" s="2638"/>
      <c r="X69" s="2638"/>
      <c r="Y69" s="2638"/>
      <c r="Z69" s="2638"/>
      <c r="AA69" s="2638"/>
      <c r="AB69" s="2638"/>
      <c r="AC69" s="2638"/>
      <c r="AD69" s="2638"/>
      <c r="AE69" s="2638"/>
    </row>
    <row r="70" spans="1:31">
      <c r="A70" s="476" t="s">
        <v>1703</v>
      </c>
      <c r="B70" s="477" t="s">
        <v>1669</v>
      </c>
      <c r="C70" s="479"/>
      <c r="D70" s="479"/>
      <c r="E70" s="479"/>
      <c r="F70" s="479"/>
      <c r="G70" s="479"/>
      <c r="H70" s="479"/>
      <c r="I70" s="479"/>
      <c r="J70" s="479"/>
      <c r="K70" s="480"/>
      <c r="L70" s="481"/>
      <c r="M70" s="482"/>
      <c r="N70" s="2730"/>
      <c r="O70" s="2730"/>
      <c r="P70" s="2755"/>
      <c r="Q70" s="2716"/>
      <c r="R70" s="2702"/>
      <c r="S70" s="2702"/>
      <c r="T70" s="2702"/>
      <c r="U70" s="2702"/>
      <c r="V70" s="2702"/>
      <c r="W70" s="2702"/>
      <c r="X70" s="2702"/>
      <c r="Y70" s="2702"/>
      <c r="Z70" s="2702"/>
      <c r="AA70" s="2702"/>
      <c r="AB70" s="2702"/>
      <c r="AC70" s="2702"/>
      <c r="AD70" s="2702"/>
      <c r="AE70" s="2702"/>
    </row>
    <row r="71" spans="1:31" ht="15.75" thickBot="1">
      <c r="A71" s="483"/>
      <c r="B71" s="484"/>
      <c r="C71" s="485"/>
      <c r="D71" s="485"/>
      <c r="E71" s="485"/>
      <c r="F71" s="485"/>
      <c r="G71" s="485"/>
      <c r="H71" s="485"/>
      <c r="I71" s="485"/>
      <c r="J71" s="485"/>
      <c r="K71" s="485"/>
      <c r="L71" s="485"/>
      <c r="M71" s="486"/>
      <c r="N71" s="2731"/>
      <c r="O71" s="2731"/>
      <c r="P71" s="2755"/>
      <c r="Q71" s="2716"/>
      <c r="R71" s="2702"/>
      <c r="S71" s="2702"/>
      <c r="T71" s="2702"/>
      <c r="U71" s="2702"/>
      <c r="V71" s="2702"/>
      <c r="W71" s="2702"/>
      <c r="X71" s="2702"/>
      <c r="Y71" s="2702"/>
      <c r="Z71" s="2702"/>
      <c r="AA71" s="2702"/>
      <c r="AB71" s="2702"/>
      <c r="AC71" s="2702"/>
      <c r="AD71" s="2702"/>
      <c r="AE71" s="2702"/>
    </row>
    <row r="72" spans="1:31" ht="27.75" thickTop="1">
      <c r="A72" s="483"/>
      <c r="B72" s="487" t="s">
        <v>1672</v>
      </c>
      <c r="C72" s="488"/>
      <c r="D72" s="488"/>
      <c r="E72" s="488"/>
      <c r="F72" s="488"/>
      <c r="G72" s="488"/>
      <c r="H72" s="488"/>
      <c r="I72" s="488"/>
      <c r="J72" s="488"/>
      <c r="K72" s="489"/>
      <c r="L72" s="490"/>
      <c r="M72" s="491"/>
      <c r="N72" s="2730"/>
      <c r="O72" s="2730"/>
      <c r="P72" s="2755"/>
      <c r="Q72" s="2716"/>
      <c r="R72" s="2702"/>
      <c r="S72" s="2702"/>
      <c r="T72" s="2702"/>
      <c r="U72" s="2702"/>
      <c r="V72" s="2702"/>
      <c r="W72" s="2702"/>
      <c r="X72" s="2702"/>
      <c r="Y72" s="2702"/>
      <c r="Z72" s="2702"/>
      <c r="AA72" s="2702"/>
      <c r="AB72" s="2702"/>
      <c r="AC72" s="2702"/>
      <c r="AD72" s="2702"/>
      <c r="AE72" s="2702"/>
    </row>
    <row r="73" spans="1:31" ht="15.75" thickBot="1">
      <c r="A73" s="483"/>
      <c r="B73" s="492"/>
      <c r="C73" s="493"/>
      <c r="D73" s="493"/>
      <c r="E73" s="493"/>
      <c r="F73" s="493"/>
      <c r="G73" s="493"/>
      <c r="H73" s="493"/>
      <c r="I73" s="493"/>
      <c r="J73" s="493"/>
      <c r="K73" s="493"/>
      <c r="L73" s="493"/>
      <c r="M73" s="494"/>
      <c r="N73" s="2731"/>
      <c r="O73" s="2731"/>
      <c r="P73" s="2755"/>
      <c r="Q73" s="2716"/>
      <c r="R73" s="2702"/>
      <c r="S73" s="2702"/>
      <c r="T73" s="2702"/>
      <c r="U73" s="2702"/>
      <c r="V73" s="2702"/>
      <c r="W73" s="2702"/>
      <c r="X73" s="2702"/>
      <c r="Y73" s="2702"/>
      <c r="Z73" s="2702"/>
      <c r="AA73" s="2702"/>
      <c r="AB73" s="2702"/>
      <c r="AC73" s="2702"/>
      <c r="AD73" s="2702"/>
      <c r="AE73" s="2702"/>
    </row>
    <row r="74" spans="1:31" ht="15.75" thickTop="1">
      <c r="A74" s="483"/>
      <c r="B74" s="495" t="s">
        <v>1673</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31"/>
      <c r="O74" s="2731"/>
      <c r="P74" s="2755"/>
      <c r="Q74" s="2716"/>
      <c r="R74" s="2702"/>
      <c r="S74" s="2702"/>
      <c r="T74" s="2702"/>
      <c r="U74" s="2702"/>
      <c r="V74" s="2702"/>
      <c r="W74" s="2702"/>
      <c r="X74" s="2702"/>
      <c r="Y74" s="2702"/>
      <c r="Z74" s="2702"/>
      <c r="AA74" s="2702"/>
      <c r="AB74" s="2702"/>
      <c r="AC74" s="2702"/>
      <c r="AD74" s="2702"/>
      <c r="AE74" s="2702"/>
    </row>
    <row r="75" spans="1:31" ht="15">
      <c r="A75" s="483"/>
      <c r="B75" s="497"/>
      <c r="C75" s="498"/>
      <c r="D75" s="498"/>
      <c r="E75" s="498"/>
      <c r="F75" s="498"/>
      <c r="G75" s="498"/>
      <c r="H75" s="498"/>
      <c r="I75" s="498"/>
      <c r="J75" s="498"/>
      <c r="K75" s="499"/>
      <c r="L75" s="500"/>
      <c r="M75" s="501"/>
      <c r="N75" s="2730"/>
      <c r="O75" s="2730"/>
      <c r="P75" s="2755"/>
      <c r="Q75" s="2716"/>
      <c r="R75" s="2702"/>
      <c r="S75" s="2702"/>
      <c r="T75" s="2702"/>
      <c r="U75" s="2702"/>
      <c r="V75" s="2702"/>
      <c r="W75" s="2702"/>
      <c r="X75" s="2702"/>
      <c r="Y75" s="2702"/>
      <c r="Z75" s="2702"/>
      <c r="AA75" s="2702"/>
      <c r="AB75" s="2702"/>
      <c r="AC75" s="2702"/>
      <c r="AD75" s="2702"/>
      <c r="AE75" s="270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31"/>
      <c r="O76" s="2731"/>
      <c r="P76" s="2755"/>
      <c r="Q76" s="2716"/>
      <c r="R76" s="2702"/>
      <c r="S76" s="2702"/>
      <c r="T76" s="2702"/>
      <c r="U76" s="2702"/>
      <c r="V76" s="2702"/>
      <c r="W76" s="2702"/>
      <c r="X76" s="2702"/>
      <c r="Y76" s="2702"/>
      <c r="Z76" s="2702"/>
      <c r="AA76" s="2702"/>
      <c r="AB76" s="2702"/>
      <c r="AC76" s="2702"/>
      <c r="AD76" s="2702"/>
      <c r="AE76" s="2702"/>
    </row>
    <row r="77" spans="1:31" s="422" customFormat="1" ht="15.75" thickTop="1">
      <c r="A77" s="502"/>
      <c r="B77" s="487">
        <f>B12</f>
        <v>111</v>
      </c>
      <c r="C77" s="503"/>
      <c r="D77" s="503"/>
      <c r="E77" s="503"/>
      <c r="F77" s="503"/>
      <c r="G77" s="503"/>
      <c r="H77" s="504"/>
      <c r="I77" s="504"/>
      <c r="J77" s="504"/>
      <c r="K77" s="504"/>
      <c r="L77" s="505"/>
      <c r="M77" s="506"/>
      <c r="N77" s="2732"/>
      <c r="O77" s="2732"/>
      <c r="P77" s="2756"/>
      <c r="Q77" s="2723"/>
      <c r="R77" s="2724"/>
      <c r="S77" s="2724"/>
      <c r="T77" s="2724"/>
      <c r="U77" s="2724"/>
      <c r="V77" s="2724"/>
      <c r="W77" s="2724"/>
      <c r="X77" s="2724"/>
      <c r="Y77" s="2724"/>
      <c r="Z77" s="2724"/>
      <c r="AA77" s="2724"/>
      <c r="AB77" s="2724"/>
      <c r="AC77" s="2724"/>
      <c r="AD77" s="2724"/>
      <c r="AE77" s="2724"/>
    </row>
    <row r="78" spans="1:31" s="422" customFormat="1" ht="15.75" thickBot="1">
      <c r="A78" s="502"/>
      <c r="B78" s="492"/>
      <c r="C78" s="509"/>
      <c r="D78" s="485"/>
      <c r="E78" s="485"/>
      <c r="F78" s="485"/>
      <c r="G78" s="485"/>
      <c r="H78" s="485"/>
      <c r="I78" s="485"/>
      <c r="J78" s="485"/>
      <c r="K78" s="485"/>
      <c r="L78" s="485"/>
      <c r="M78" s="486"/>
      <c r="N78" s="2731"/>
      <c r="O78" s="2731"/>
      <c r="P78" s="2756"/>
      <c r="Q78" s="2723"/>
      <c r="R78" s="2724"/>
      <c r="S78" s="2724"/>
      <c r="T78" s="2724"/>
      <c r="U78" s="2724"/>
      <c r="V78" s="2724"/>
      <c r="W78" s="2724"/>
      <c r="X78" s="2724"/>
      <c r="Y78" s="2724"/>
      <c r="Z78" s="2724"/>
      <c r="AA78" s="2724"/>
      <c r="AB78" s="2724"/>
      <c r="AC78" s="2724"/>
      <c r="AD78" s="2724"/>
      <c r="AE78" s="2724"/>
    </row>
    <row r="79" spans="1:31" s="422" customFormat="1" ht="15.75" thickTop="1">
      <c r="A79" s="502"/>
      <c r="B79" s="487">
        <f>B13</f>
        <v>111</v>
      </c>
      <c r="C79" s="503"/>
      <c r="D79" s="503"/>
      <c r="E79" s="503"/>
      <c r="F79" s="503"/>
      <c r="G79" s="503"/>
      <c r="H79" s="504"/>
      <c r="I79" s="504"/>
      <c r="J79" s="504"/>
      <c r="K79" s="504"/>
      <c r="L79" s="505"/>
      <c r="M79" s="506"/>
      <c r="N79" s="2732"/>
      <c r="O79" s="2732"/>
      <c r="P79" s="2700"/>
      <c r="Q79" s="2726"/>
      <c r="R79" s="2724"/>
      <c r="S79" s="2724"/>
      <c r="T79" s="2724"/>
      <c r="U79" s="2724"/>
      <c r="V79" s="2724"/>
      <c r="W79" s="2724"/>
      <c r="X79" s="2724"/>
      <c r="Y79" s="2724"/>
      <c r="Z79" s="2724"/>
      <c r="AA79" s="2724"/>
      <c r="AB79" s="2724"/>
      <c r="AC79" s="2724"/>
      <c r="AD79" s="2724"/>
      <c r="AE79" s="2724"/>
    </row>
    <row r="80" spans="1:31" s="422" customFormat="1" ht="15.75" thickBot="1">
      <c r="A80" s="502"/>
      <c r="B80" s="492"/>
      <c r="C80" s="509"/>
      <c r="D80" s="509"/>
      <c r="E80" s="509"/>
      <c r="F80" s="509"/>
      <c r="G80" s="509"/>
      <c r="H80" s="511"/>
      <c r="I80" s="511"/>
      <c r="J80" s="511"/>
      <c r="K80" s="511"/>
      <c r="L80" s="511"/>
      <c r="M80" s="512"/>
      <c r="N80" s="2732"/>
      <c r="O80" s="2732"/>
      <c r="P80" s="2756"/>
      <c r="Q80" s="2723"/>
      <c r="R80" s="2724"/>
      <c r="S80" s="2724"/>
      <c r="T80" s="2724"/>
      <c r="U80" s="2724"/>
      <c r="V80" s="2724"/>
      <c r="W80" s="2724"/>
      <c r="X80" s="2724"/>
      <c r="Y80" s="2724"/>
      <c r="Z80" s="2724"/>
      <c r="AA80" s="2724"/>
      <c r="AB80" s="2724"/>
      <c r="AC80" s="2724"/>
      <c r="AD80" s="2724"/>
      <c r="AE80" s="2724"/>
    </row>
    <row r="81" spans="1:31" s="422" customFormat="1" ht="15.75" thickTop="1">
      <c r="A81" s="502"/>
      <c r="B81" s="495">
        <f>B14</f>
        <v>111</v>
      </c>
      <c r="C81" s="472"/>
      <c r="D81" s="472"/>
      <c r="E81" s="472"/>
      <c r="F81" s="472"/>
      <c r="G81" s="472"/>
      <c r="H81" s="513"/>
      <c r="I81" s="513"/>
      <c r="J81" s="513"/>
      <c r="K81" s="513"/>
      <c r="L81" s="514"/>
      <c r="M81" s="515"/>
      <c r="N81" s="2732"/>
      <c r="O81" s="2732"/>
      <c r="P81" s="2761"/>
      <c r="Q81" s="2723"/>
      <c r="R81" s="2724"/>
      <c r="S81" s="2724"/>
      <c r="T81" s="2724"/>
      <c r="U81" s="2724"/>
      <c r="V81" s="2724"/>
      <c r="W81" s="2724"/>
      <c r="X81" s="2724"/>
      <c r="Y81" s="2724"/>
      <c r="Z81" s="2724"/>
      <c r="AA81" s="2724"/>
      <c r="AB81" s="2724"/>
      <c r="AC81" s="2724"/>
      <c r="AD81" s="2724"/>
      <c r="AE81" s="2724"/>
    </row>
    <row r="82" spans="1:31" s="422" customFormat="1" ht="15.75" thickBot="1">
      <c r="A82" s="517"/>
      <c r="B82" s="518"/>
      <c r="C82" s="519"/>
      <c r="D82" s="519"/>
      <c r="E82" s="519"/>
      <c r="F82" s="519"/>
      <c r="G82" s="519"/>
      <c r="H82" s="520"/>
      <c r="I82" s="520"/>
      <c r="J82" s="520"/>
      <c r="K82" s="520"/>
      <c r="L82" s="520"/>
      <c r="M82" s="521"/>
      <c r="N82" s="2732"/>
      <c r="O82" s="2732"/>
      <c r="P82" s="2756"/>
      <c r="Q82" s="2723"/>
      <c r="R82" s="2724"/>
      <c r="S82" s="2724"/>
      <c r="T82" s="2724"/>
      <c r="U82" s="2724"/>
      <c r="V82" s="2724"/>
      <c r="W82" s="2724"/>
      <c r="X82" s="2724"/>
      <c r="Y82" s="2724"/>
      <c r="Z82" s="2724"/>
      <c r="AA82" s="2724"/>
      <c r="AB82" s="2724"/>
      <c r="AC82" s="2724"/>
      <c r="AD82" s="2724"/>
      <c r="AE82" s="2724"/>
    </row>
    <row r="83" spans="1:31">
      <c r="A83" s="476" t="s">
        <v>1674</v>
      </c>
      <c r="B83" s="477" t="s">
        <v>1813</v>
      </c>
      <c r="C83" s="522" t="s">
        <v>1705</v>
      </c>
      <c r="D83" s="522" t="s">
        <v>1706</v>
      </c>
      <c r="E83" s="522" t="s">
        <v>1707</v>
      </c>
      <c r="F83" s="522" t="s">
        <v>1708</v>
      </c>
      <c r="G83" s="522" t="s">
        <v>1709</v>
      </c>
      <c r="H83" s="478"/>
      <c r="I83" s="478"/>
      <c r="J83" s="478"/>
      <c r="K83" s="523"/>
      <c r="L83" s="524"/>
      <c r="M83" s="525"/>
      <c r="N83" s="2730"/>
      <c r="O83" s="2730"/>
      <c r="P83" s="2757"/>
      <c r="Q83" s="2716"/>
      <c r="R83" s="2702"/>
      <c r="S83" s="2702"/>
      <c r="T83" s="2702"/>
      <c r="U83" s="2702"/>
      <c r="V83" s="2702"/>
      <c r="W83" s="2702"/>
      <c r="X83" s="2702"/>
      <c r="Y83" s="2702"/>
      <c r="Z83" s="2702"/>
      <c r="AA83" s="2702"/>
      <c r="AB83" s="2702"/>
      <c r="AC83" s="2702"/>
      <c r="AD83" s="2702"/>
      <c r="AE83" s="270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31"/>
      <c r="O84" s="2731"/>
      <c r="P84" s="2755"/>
      <c r="Q84" s="2716"/>
      <c r="R84" s="2702"/>
      <c r="S84" s="2702"/>
      <c r="T84" s="2702"/>
      <c r="U84" s="2702"/>
      <c r="V84" s="2702"/>
      <c r="W84" s="2702"/>
      <c r="X84" s="2702"/>
      <c r="Y84" s="2702"/>
      <c r="Z84" s="2702"/>
      <c r="AA84" s="2702"/>
      <c r="AB84" s="2702"/>
      <c r="AC84" s="2702"/>
      <c r="AD84" s="2702"/>
      <c r="AE84" s="2702"/>
    </row>
    <row r="85" spans="1:31" ht="15.75" thickTop="1">
      <c r="A85" s="483"/>
      <c r="B85" s="487" t="s">
        <v>1710</v>
      </c>
      <c r="C85" s="527" t="s">
        <v>1705</v>
      </c>
      <c r="D85" s="527" t="s">
        <v>1706</v>
      </c>
      <c r="E85" s="527" t="s">
        <v>1707</v>
      </c>
      <c r="F85" s="527" t="s">
        <v>1708</v>
      </c>
      <c r="G85" s="527" t="s">
        <v>1709</v>
      </c>
      <c r="H85" s="488"/>
      <c r="I85" s="488"/>
      <c r="J85" s="488"/>
      <c r="K85" s="489"/>
      <c r="L85" s="490"/>
      <c r="M85" s="491"/>
      <c r="N85" s="2730"/>
      <c r="O85" s="2730"/>
      <c r="P85" s="2755"/>
      <c r="Q85" s="2716"/>
      <c r="R85" s="2702"/>
      <c r="S85" s="2702"/>
      <c r="T85" s="2702"/>
      <c r="U85" s="2702"/>
      <c r="V85" s="2702"/>
      <c r="W85" s="2702"/>
      <c r="X85" s="2702"/>
      <c r="Y85" s="2702"/>
      <c r="Z85" s="2702"/>
      <c r="AA85" s="2702"/>
      <c r="AB85" s="2702"/>
      <c r="AC85" s="2702"/>
      <c r="AD85" s="2702"/>
      <c r="AE85" s="270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31"/>
      <c r="O86" s="2731"/>
      <c r="P86" s="2755"/>
      <c r="Q86" s="2716"/>
      <c r="R86" s="2702"/>
      <c r="S86" s="2702"/>
      <c r="T86" s="2702"/>
      <c r="U86" s="2702"/>
      <c r="V86" s="2702"/>
      <c r="W86" s="2702"/>
      <c r="X86" s="2702"/>
      <c r="Y86" s="2702"/>
      <c r="Z86" s="2702"/>
      <c r="AA86" s="2702"/>
      <c r="AB86" s="2702"/>
      <c r="AC86" s="2702"/>
      <c r="AD86" s="2702"/>
      <c r="AE86" s="2702"/>
    </row>
    <row r="87" spans="1:31" s="108" customFormat="1" ht="15.75" thickTop="1">
      <c r="A87" s="528"/>
      <c r="B87" s="487" t="s">
        <v>1891</v>
      </c>
      <c r="C87" s="522" t="s">
        <v>1705</v>
      </c>
      <c r="D87" s="522" t="s">
        <v>1706</v>
      </c>
      <c r="E87" s="522" t="s">
        <v>1707</v>
      </c>
      <c r="F87" s="522" t="s">
        <v>1708</v>
      </c>
      <c r="G87" s="522" t="s">
        <v>1709</v>
      </c>
      <c r="H87" s="527"/>
      <c r="I87" s="527"/>
      <c r="J87" s="527"/>
      <c r="K87" s="527"/>
      <c r="L87" s="646"/>
      <c r="M87" s="570"/>
      <c r="N87" s="2729"/>
      <c r="O87" s="2729"/>
      <c r="P87" s="2755"/>
      <c r="Q87" s="2716"/>
      <c r="R87" s="2638"/>
      <c r="S87" s="2638"/>
      <c r="T87" s="2638"/>
      <c r="U87" s="2638"/>
      <c r="V87" s="2638"/>
      <c r="W87" s="2638"/>
      <c r="X87" s="2638"/>
      <c r="Y87" s="2638"/>
      <c r="Z87" s="2638"/>
      <c r="AA87" s="2638"/>
      <c r="AB87" s="2638"/>
      <c r="AC87" s="2638"/>
      <c r="AD87" s="2638"/>
      <c r="AE87" s="263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31"/>
      <c r="O88" s="2731"/>
      <c r="P88" s="2755"/>
      <c r="Q88" s="2716"/>
      <c r="R88" s="2638"/>
      <c r="S88" s="2638"/>
      <c r="T88" s="2638"/>
      <c r="U88" s="2638"/>
      <c r="V88" s="2638"/>
      <c r="W88" s="2638"/>
      <c r="X88" s="2638"/>
      <c r="Y88" s="2638"/>
      <c r="Z88" s="2638"/>
      <c r="AA88" s="2638"/>
      <c r="AB88" s="2638"/>
      <c r="AC88" s="2638"/>
      <c r="AD88" s="2638"/>
      <c r="AE88" s="2638"/>
    </row>
    <row r="89" spans="1:31" s="108" customFormat="1" ht="27.75" thickTop="1">
      <c r="A89" s="528"/>
      <c r="B89" s="487" t="s">
        <v>1892</v>
      </c>
      <c r="C89" s="522" t="s">
        <v>1705</v>
      </c>
      <c r="D89" s="522" t="s">
        <v>1706</v>
      </c>
      <c r="E89" s="522" t="s">
        <v>1707</v>
      </c>
      <c r="F89" s="522" t="s">
        <v>1708</v>
      </c>
      <c r="G89" s="522" t="s">
        <v>1709</v>
      </c>
      <c r="H89" s="527"/>
      <c r="I89" s="527"/>
      <c r="J89" s="527"/>
      <c r="K89" s="527"/>
      <c r="L89" s="527"/>
      <c r="M89" s="570"/>
      <c r="N89" s="2729"/>
      <c r="O89" s="2729"/>
      <c r="P89" s="2755"/>
      <c r="Q89" s="2716"/>
      <c r="R89" s="2638"/>
      <c r="S89" s="2638"/>
      <c r="T89" s="2638"/>
      <c r="U89" s="2638"/>
      <c r="V89" s="2638"/>
      <c r="W89" s="2638"/>
      <c r="X89" s="2638"/>
      <c r="Y89" s="2638"/>
      <c r="Z89" s="2638"/>
      <c r="AA89" s="2638"/>
      <c r="AB89" s="2638"/>
      <c r="AC89" s="2638"/>
      <c r="AD89" s="2638"/>
      <c r="AE89" s="263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31"/>
      <c r="O90" s="2731"/>
      <c r="P90" s="2755"/>
      <c r="Q90" s="2716"/>
      <c r="R90" s="2638"/>
      <c r="S90" s="2638"/>
      <c r="T90" s="2638"/>
      <c r="U90" s="2638"/>
      <c r="V90" s="2638"/>
      <c r="W90" s="2638"/>
      <c r="X90" s="2638"/>
      <c r="Y90" s="2638"/>
      <c r="Z90" s="2638"/>
      <c r="AA90" s="2638"/>
      <c r="AB90" s="2638"/>
      <c r="AC90" s="2638"/>
      <c r="AD90" s="2638"/>
      <c r="AE90" s="2638"/>
    </row>
    <row r="91" spans="1:31" s="422" customFormat="1" ht="15.75" thickTop="1">
      <c r="A91" s="502"/>
      <c r="B91" s="487" t="s">
        <v>1762</v>
      </c>
      <c r="C91" s="522" t="s">
        <v>1705</v>
      </c>
      <c r="D91" s="522" t="s">
        <v>1706</v>
      </c>
      <c r="E91" s="522" t="s">
        <v>1707</v>
      </c>
      <c r="F91" s="522" t="s">
        <v>1708</v>
      </c>
      <c r="G91" s="522" t="s">
        <v>1709</v>
      </c>
      <c r="H91" s="549"/>
      <c r="I91" s="549"/>
      <c r="J91" s="549"/>
      <c r="K91" s="549"/>
      <c r="L91" s="550"/>
      <c r="M91" s="551"/>
      <c r="N91" s="2732"/>
      <c r="O91" s="2732"/>
      <c r="P91" s="2756"/>
      <c r="Q91" s="2723"/>
      <c r="R91" s="2724"/>
      <c r="S91" s="2724"/>
      <c r="T91" s="2724"/>
      <c r="U91" s="2724"/>
      <c r="V91" s="2724"/>
      <c r="W91" s="2724"/>
      <c r="X91" s="2724"/>
      <c r="Y91" s="2724"/>
      <c r="Z91" s="2724"/>
      <c r="AA91" s="2724"/>
      <c r="AB91" s="2724"/>
      <c r="AC91" s="2724"/>
      <c r="AD91" s="2724"/>
      <c r="AE91" s="272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32"/>
      <c r="O92" s="2732"/>
      <c r="P92" s="2756"/>
      <c r="Q92" s="2723"/>
      <c r="R92" s="2724"/>
      <c r="S92" s="2724"/>
      <c r="T92" s="2724"/>
      <c r="U92" s="2724"/>
      <c r="V92" s="2724"/>
      <c r="W92" s="2724"/>
      <c r="X92" s="2724"/>
      <c r="Y92" s="2724"/>
      <c r="Z92" s="2724"/>
      <c r="AA92" s="2724"/>
      <c r="AB92" s="2724"/>
      <c r="AC92" s="2724"/>
      <c r="AD92" s="2724"/>
      <c r="AE92" s="2724"/>
    </row>
    <row r="93" spans="1:31" s="422" customFormat="1" ht="15.75" thickTop="1">
      <c r="A93" s="502"/>
      <c r="B93" s="495" t="s">
        <v>1909</v>
      </c>
      <c r="C93" s="608" t="s">
        <v>1783</v>
      </c>
      <c r="D93" s="608" t="s">
        <v>1784</v>
      </c>
      <c r="E93" s="608" t="s">
        <v>1785</v>
      </c>
      <c r="F93" s="608" t="s">
        <v>1786</v>
      </c>
      <c r="G93" s="608" t="s">
        <v>1787</v>
      </c>
      <c r="H93" s="549"/>
      <c r="I93" s="549"/>
      <c r="J93" s="549"/>
      <c r="K93" s="549"/>
      <c r="L93" s="549"/>
      <c r="M93" s="551"/>
      <c r="N93" s="2732"/>
      <c r="O93" s="2732"/>
      <c r="P93" s="2756"/>
      <c r="Q93" s="2723"/>
      <c r="R93" s="2724"/>
      <c r="S93" s="2724"/>
      <c r="T93" s="2724"/>
      <c r="U93" s="2724"/>
      <c r="V93" s="2724"/>
      <c r="W93" s="2724"/>
      <c r="X93" s="2724"/>
      <c r="Y93" s="2724"/>
      <c r="Z93" s="2724"/>
      <c r="AA93" s="2724"/>
      <c r="AB93" s="2724"/>
      <c r="AC93" s="2724"/>
      <c r="AD93" s="2724"/>
      <c r="AE93" s="272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32"/>
      <c r="O94" s="2732"/>
      <c r="P94" s="2756"/>
      <c r="Q94" s="2723"/>
      <c r="R94" s="2724"/>
      <c r="S94" s="2724"/>
      <c r="T94" s="2724"/>
      <c r="U94" s="2724"/>
      <c r="V94" s="2724"/>
      <c r="W94" s="2724"/>
      <c r="X94" s="2724"/>
      <c r="Y94" s="2724"/>
      <c r="Z94" s="2724"/>
      <c r="AA94" s="2724"/>
      <c r="AB94" s="2724"/>
      <c r="AC94" s="2724"/>
      <c r="AD94" s="2724"/>
      <c r="AE94" s="2724"/>
    </row>
    <row r="95" spans="1:31" ht="15.75" thickTop="1">
      <c r="A95" s="483"/>
      <c r="B95" s="487" t="str">
        <f>B27</f>
        <v>临街状况</v>
      </c>
      <c r="C95" s="488" t="s">
        <v>1893</v>
      </c>
      <c r="D95" s="488" t="s">
        <v>1894</v>
      </c>
      <c r="E95" s="488" t="s">
        <v>1895</v>
      </c>
      <c r="F95" s="488" t="s">
        <v>1896</v>
      </c>
      <c r="G95" s="488"/>
      <c r="H95" s="488"/>
      <c r="I95" s="488"/>
      <c r="J95" s="488"/>
      <c r="K95" s="489"/>
      <c r="L95" s="490"/>
      <c r="M95" s="491"/>
      <c r="N95" s="2730"/>
      <c r="O95" s="2730"/>
      <c r="P95" s="2755"/>
      <c r="Q95" s="2716"/>
      <c r="R95" s="2702"/>
      <c r="S95" s="2702"/>
      <c r="T95" s="2702"/>
      <c r="U95" s="2702"/>
      <c r="V95" s="2702"/>
      <c r="W95" s="2702"/>
      <c r="X95" s="2702"/>
      <c r="Y95" s="2702"/>
      <c r="Z95" s="2702"/>
      <c r="AA95" s="2702"/>
      <c r="AB95" s="2702"/>
      <c r="AC95" s="2702"/>
      <c r="AD95" s="2702"/>
      <c r="AE95" s="270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31"/>
      <c r="O96" s="2731"/>
      <c r="P96" s="2755"/>
      <c r="Q96" s="2716"/>
      <c r="R96" s="2702"/>
      <c r="S96" s="2702"/>
      <c r="T96" s="2702"/>
      <c r="U96" s="2702"/>
      <c r="V96" s="2702"/>
      <c r="W96" s="2702"/>
      <c r="X96" s="2702"/>
      <c r="Y96" s="2702"/>
      <c r="Z96" s="2702"/>
      <c r="AA96" s="2702"/>
      <c r="AB96" s="2702"/>
      <c r="AC96" s="2702"/>
      <c r="AD96" s="2702"/>
      <c r="AE96" s="2702"/>
    </row>
    <row r="97" spans="1:31" ht="27.75" thickTop="1">
      <c r="A97" s="483"/>
      <c r="B97" s="487" t="s">
        <v>1799</v>
      </c>
      <c r="C97" s="503"/>
      <c r="D97" s="503"/>
      <c r="E97" s="503"/>
      <c r="F97" s="503"/>
      <c r="G97" s="503"/>
      <c r="H97" s="532"/>
      <c r="I97" s="532"/>
      <c r="J97" s="532"/>
      <c r="K97" s="533"/>
      <c r="L97" s="534"/>
      <c r="M97" s="535"/>
      <c r="N97" s="2730"/>
      <c r="O97" s="2730"/>
      <c r="P97" s="2755"/>
      <c r="Q97" s="2716"/>
      <c r="R97" s="2702"/>
      <c r="S97" s="2702"/>
      <c r="T97" s="2702"/>
      <c r="U97" s="2702"/>
      <c r="V97" s="2702"/>
      <c r="W97" s="2702"/>
      <c r="X97" s="2702"/>
      <c r="Y97" s="2702"/>
      <c r="Z97" s="2702"/>
      <c r="AA97" s="2702"/>
      <c r="AB97" s="2702"/>
      <c r="AC97" s="2702"/>
      <c r="AD97" s="2702"/>
      <c r="AE97" s="270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31"/>
      <c r="O98" s="2731"/>
      <c r="P98" s="2755"/>
      <c r="Q98" s="2716"/>
      <c r="R98" s="2702"/>
      <c r="S98" s="2702"/>
      <c r="T98" s="2702"/>
      <c r="U98" s="2702"/>
      <c r="V98" s="2702"/>
      <c r="W98" s="2702"/>
      <c r="X98" s="2702"/>
      <c r="Y98" s="2702"/>
      <c r="Z98" s="2702"/>
      <c r="AA98" s="2702"/>
      <c r="AB98" s="2702"/>
      <c r="AC98" s="2702"/>
      <c r="AD98" s="2702"/>
      <c r="AE98" s="2702"/>
    </row>
    <row r="99" spans="1:31" ht="15.75" thickTop="1">
      <c r="A99" s="483"/>
      <c r="B99" s="487" t="s">
        <v>1857</v>
      </c>
      <c r="C99" s="532"/>
      <c r="D99" s="532"/>
      <c r="E99" s="532"/>
      <c r="F99" s="532"/>
      <c r="G99" s="532"/>
      <c r="H99" s="532"/>
      <c r="I99" s="532"/>
      <c r="J99" s="532"/>
      <c r="K99" s="533"/>
      <c r="L99" s="534"/>
      <c r="M99" s="535"/>
      <c r="N99" s="2730"/>
      <c r="O99" s="2730"/>
      <c r="P99" s="2755"/>
      <c r="Q99" s="2716"/>
      <c r="R99" s="2702"/>
      <c r="S99" s="2702"/>
      <c r="T99" s="2702"/>
      <c r="U99" s="2702"/>
      <c r="V99" s="2702"/>
      <c r="W99" s="2702"/>
      <c r="X99" s="2702"/>
      <c r="Y99" s="2702"/>
      <c r="Z99" s="2702"/>
      <c r="AA99" s="2702"/>
      <c r="AB99" s="2702"/>
      <c r="AC99" s="2702"/>
      <c r="AD99" s="2702"/>
      <c r="AE99" s="270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31"/>
      <c r="O100" s="2731"/>
      <c r="P100" s="2755"/>
      <c r="Q100" s="2716"/>
      <c r="R100" s="2702"/>
      <c r="S100" s="2702"/>
      <c r="T100" s="2702"/>
      <c r="U100" s="2702"/>
      <c r="V100" s="2702"/>
      <c r="W100" s="2702"/>
      <c r="X100" s="2702"/>
      <c r="Y100" s="2702"/>
      <c r="Z100" s="2702"/>
      <c r="AA100" s="2702"/>
      <c r="AB100" s="2702"/>
      <c r="AC100" s="2702"/>
      <c r="AD100" s="2702"/>
      <c r="AE100" s="2702"/>
    </row>
    <row r="101" spans="1:31" ht="15.75" thickTop="1">
      <c r="A101" s="483"/>
      <c r="B101" s="495">
        <f>B31</f>
        <v>111</v>
      </c>
      <c r="C101" s="503"/>
      <c r="D101" s="503"/>
      <c r="E101" s="503"/>
      <c r="F101" s="503"/>
      <c r="G101" s="536"/>
      <c r="H101" s="536"/>
      <c r="I101" s="536"/>
      <c r="J101" s="536"/>
      <c r="K101" s="537"/>
      <c r="L101" s="538"/>
      <c r="M101" s="539"/>
      <c r="N101" s="2730"/>
      <c r="O101" s="2730"/>
      <c r="P101" s="2755"/>
      <c r="Q101" s="2716"/>
      <c r="R101" s="2702"/>
      <c r="S101" s="2702"/>
      <c r="T101" s="2702"/>
      <c r="U101" s="2702"/>
      <c r="V101" s="2702"/>
      <c r="W101" s="2702"/>
      <c r="X101" s="2702"/>
      <c r="Y101" s="2702"/>
      <c r="Z101" s="2702"/>
      <c r="AA101" s="2702"/>
      <c r="AB101" s="2702"/>
      <c r="AC101" s="2702"/>
      <c r="AD101" s="2702"/>
      <c r="AE101" s="2702"/>
    </row>
    <row r="102" spans="1:31" ht="15.75" thickBot="1">
      <c r="A102" s="483"/>
      <c r="B102" s="518"/>
      <c r="C102" s="509"/>
      <c r="D102" s="485"/>
      <c r="E102" s="485"/>
      <c r="F102" s="485"/>
      <c r="G102" s="540"/>
      <c r="H102" s="540"/>
      <c r="I102" s="540"/>
      <c r="J102" s="540"/>
      <c r="K102" s="540"/>
      <c r="L102" s="540"/>
      <c r="M102" s="541"/>
      <c r="N102" s="2731"/>
      <c r="O102" s="2731"/>
      <c r="P102" s="2755"/>
      <c r="Q102" s="2716"/>
      <c r="R102" s="2702"/>
      <c r="S102" s="2702"/>
      <c r="T102" s="2702"/>
      <c r="U102" s="2702"/>
      <c r="V102" s="2702"/>
      <c r="W102" s="2702"/>
      <c r="X102" s="2702"/>
      <c r="Y102" s="2702"/>
      <c r="Z102" s="2702"/>
      <c r="AA102" s="2702"/>
      <c r="AB102" s="2702"/>
      <c r="AC102" s="2702"/>
      <c r="AD102" s="2702"/>
      <c r="AE102" s="2702"/>
    </row>
    <row r="103" spans="1:31" ht="15" thickTop="1">
      <c r="A103" s="623"/>
      <c r="B103" s="487">
        <f>B32</f>
        <v>111</v>
      </c>
      <c r="C103" s="503"/>
      <c r="D103" s="503"/>
      <c r="E103" s="503"/>
      <c r="F103" s="503"/>
      <c r="G103" s="532"/>
      <c r="H103" s="532"/>
      <c r="I103" s="532"/>
      <c r="J103" s="532"/>
      <c r="K103" s="533"/>
      <c r="L103" s="534"/>
      <c r="M103" s="535"/>
      <c r="N103" s="2730"/>
      <c r="O103" s="2730"/>
      <c r="P103" s="2755"/>
      <c r="Q103" s="2716"/>
      <c r="R103" s="2702"/>
      <c r="S103" s="2702"/>
      <c r="T103" s="2702"/>
      <c r="U103" s="2702"/>
      <c r="V103" s="2702"/>
      <c r="W103" s="2702"/>
      <c r="X103" s="2702"/>
      <c r="Y103" s="2702"/>
      <c r="Z103" s="2702"/>
      <c r="AA103" s="2702"/>
      <c r="AB103" s="2702"/>
      <c r="AC103" s="2702"/>
      <c r="AD103" s="2702"/>
      <c r="AE103" s="2702"/>
    </row>
    <row r="104" spans="1:31" ht="15.75" thickBot="1">
      <c r="A104" s="483"/>
      <c r="B104" s="492"/>
      <c r="C104" s="509"/>
      <c r="D104" s="509"/>
      <c r="E104" s="509"/>
      <c r="F104" s="509"/>
      <c r="G104" s="485"/>
      <c r="H104" s="485"/>
      <c r="I104" s="485"/>
      <c r="J104" s="485"/>
      <c r="K104" s="485"/>
      <c r="L104" s="485"/>
      <c r="M104" s="486"/>
      <c r="N104" s="2731"/>
      <c r="O104" s="2731"/>
      <c r="P104" s="2755"/>
      <c r="Q104" s="2716"/>
      <c r="R104" s="2702"/>
      <c r="S104" s="2702"/>
      <c r="T104" s="2702"/>
      <c r="U104" s="2702"/>
      <c r="V104" s="2702"/>
      <c r="W104" s="2702"/>
      <c r="X104" s="2702"/>
      <c r="Y104" s="2702"/>
      <c r="Z104" s="2702"/>
      <c r="AA104" s="2702"/>
      <c r="AB104" s="2702"/>
      <c r="AC104" s="2702"/>
      <c r="AD104" s="2702"/>
      <c r="AE104" s="2702"/>
    </row>
    <row r="105" spans="1:31" s="422" customFormat="1" ht="15" thickTop="1">
      <c r="A105" s="542"/>
      <c r="B105" s="543">
        <f>B33</f>
        <v>111</v>
      </c>
      <c r="C105" s="472"/>
      <c r="D105" s="472"/>
      <c r="E105" s="472"/>
      <c r="F105" s="472"/>
      <c r="G105" s="544"/>
      <c r="H105" s="544"/>
      <c r="I105" s="544"/>
      <c r="J105" s="545"/>
      <c r="K105" s="545"/>
      <c r="L105" s="546"/>
      <c r="M105" s="547"/>
      <c r="N105" s="2732"/>
      <c r="O105" s="2732"/>
      <c r="P105" s="2756"/>
      <c r="Q105" s="2723"/>
      <c r="R105" s="2724"/>
      <c r="S105" s="2724"/>
      <c r="T105" s="2724"/>
      <c r="U105" s="2724"/>
      <c r="V105" s="2724"/>
      <c r="W105" s="2724"/>
      <c r="X105" s="2724"/>
      <c r="Y105" s="2724"/>
      <c r="Z105" s="2724"/>
      <c r="AA105" s="2724"/>
      <c r="AB105" s="2724"/>
      <c r="AC105" s="2724"/>
      <c r="AD105" s="2724"/>
      <c r="AE105" s="2724"/>
    </row>
    <row r="106" spans="1:31" s="422" customFormat="1" ht="15.75" thickBot="1">
      <c r="A106" s="502"/>
      <c r="B106" s="495"/>
      <c r="C106" s="519"/>
      <c r="D106" s="519"/>
      <c r="E106" s="519"/>
      <c r="F106" s="519"/>
      <c r="G106" s="625"/>
      <c r="H106" s="625"/>
      <c r="I106" s="625"/>
      <c r="J106" s="625"/>
      <c r="K106" s="625"/>
      <c r="L106" s="625"/>
      <c r="M106" s="647"/>
      <c r="N106" s="2731"/>
      <c r="O106" s="2731"/>
      <c r="P106" s="2756"/>
      <c r="Q106" s="2723"/>
      <c r="R106" s="2724"/>
      <c r="S106" s="2724"/>
      <c r="T106" s="2724"/>
      <c r="U106" s="2724"/>
      <c r="V106" s="2724"/>
      <c r="W106" s="2724"/>
      <c r="X106" s="2724"/>
      <c r="Y106" s="2724"/>
      <c r="Z106" s="2724"/>
      <c r="AA106" s="2724"/>
      <c r="AB106" s="2724"/>
      <c r="AC106" s="2724"/>
      <c r="AD106" s="2724"/>
      <c r="AE106" s="2724"/>
    </row>
    <row r="107" spans="1:31">
      <c r="A107" s="476" t="s">
        <v>1678</v>
      </c>
      <c r="B107" s="477" t="s">
        <v>1897</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30"/>
      <c r="O107" s="2730"/>
      <c r="P107" s="2755"/>
      <c r="Q107" s="2716"/>
      <c r="R107" s="2702"/>
      <c r="S107" s="2702"/>
      <c r="T107" s="2702"/>
      <c r="U107" s="2702"/>
      <c r="V107" s="2702"/>
      <c r="W107" s="2702"/>
      <c r="X107" s="2702"/>
      <c r="Y107" s="2702"/>
      <c r="Z107" s="2702"/>
      <c r="AA107" s="2702"/>
      <c r="AB107" s="2702"/>
      <c r="AC107" s="2702"/>
      <c r="AD107" s="2702"/>
      <c r="AE107" s="2702"/>
    </row>
    <row r="108" spans="1:31" ht="15">
      <c r="A108" s="483"/>
      <c r="B108" s="495"/>
      <c r="C108" s="544"/>
      <c r="D108" s="544"/>
      <c r="E108" s="544"/>
      <c r="F108" s="544"/>
      <c r="G108" s="544"/>
      <c r="H108" s="544"/>
      <c r="I108" s="544"/>
      <c r="J108" s="545"/>
      <c r="K108" s="545"/>
      <c r="L108" s="546"/>
      <c r="M108" s="547"/>
      <c r="N108" s="2730"/>
      <c r="O108" s="2730"/>
      <c r="P108" s="2755"/>
      <c r="Q108" s="2716"/>
      <c r="R108" s="2702"/>
      <c r="S108" s="2702"/>
      <c r="T108" s="2702"/>
      <c r="U108" s="2702"/>
      <c r="V108" s="2702"/>
      <c r="W108" s="2702"/>
      <c r="X108" s="2702"/>
      <c r="Y108" s="2702"/>
      <c r="Z108" s="2702"/>
      <c r="AA108" s="2702"/>
      <c r="AB108" s="2702"/>
      <c r="AC108" s="2702"/>
      <c r="AD108" s="2702"/>
      <c r="AE108" s="2702"/>
    </row>
    <row r="109" spans="1:31" ht="15.75" thickBot="1">
      <c r="A109" s="483"/>
      <c r="B109" s="492"/>
      <c r="C109" s="519"/>
      <c r="D109" s="540"/>
      <c r="E109" s="540"/>
      <c r="F109" s="540"/>
      <c r="G109" s="540"/>
      <c r="H109" s="540"/>
      <c r="I109" s="540"/>
      <c r="J109" s="540"/>
      <c r="K109" s="540"/>
      <c r="L109" s="540"/>
      <c r="M109" s="541"/>
      <c r="N109" s="2731"/>
      <c r="O109" s="2731"/>
      <c r="P109" s="2755"/>
      <c r="Q109" s="2716"/>
      <c r="R109" s="2702"/>
      <c r="S109" s="2702"/>
      <c r="T109" s="2702"/>
      <c r="U109" s="2702"/>
      <c r="V109" s="2702"/>
      <c r="W109" s="2702"/>
      <c r="X109" s="2702"/>
      <c r="Y109" s="2702"/>
      <c r="Z109" s="2702"/>
      <c r="AA109" s="2702"/>
      <c r="AB109" s="2702"/>
      <c r="AC109" s="2702"/>
      <c r="AD109" s="2702"/>
      <c r="AE109" s="2702"/>
    </row>
    <row r="110" spans="1:31" ht="15" thickTop="1">
      <c r="A110" s="548"/>
      <c r="B110" s="487" t="s">
        <v>1898</v>
      </c>
      <c r="C110" s="532"/>
      <c r="D110" s="532"/>
      <c r="E110" s="532"/>
      <c r="F110" s="532"/>
      <c r="G110" s="532"/>
      <c r="H110" s="532"/>
      <c r="I110" s="532"/>
      <c r="J110" s="532"/>
      <c r="K110" s="533"/>
      <c r="L110" s="534"/>
      <c r="M110" s="535"/>
      <c r="N110" s="2730"/>
      <c r="O110" s="2730"/>
      <c r="P110" s="2755"/>
      <c r="Q110" s="2716"/>
      <c r="R110" s="2702"/>
      <c r="S110" s="2702"/>
      <c r="T110" s="2702"/>
      <c r="U110" s="2702"/>
      <c r="V110" s="2702"/>
      <c r="W110" s="2702"/>
      <c r="X110" s="2702"/>
      <c r="Y110" s="2702"/>
      <c r="Z110" s="2702"/>
      <c r="AA110" s="2702"/>
      <c r="AB110" s="2702"/>
      <c r="AC110" s="2702"/>
      <c r="AD110" s="2702"/>
      <c r="AE110" s="270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31"/>
      <c r="O111" s="2731"/>
      <c r="P111" s="2755"/>
      <c r="Q111" s="2716"/>
      <c r="R111" s="2702"/>
      <c r="S111" s="2702"/>
      <c r="T111" s="2702"/>
      <c r="U111" s="2702"/>
      <c r="V111" s="2702"/>
      <c r="W111" s="2702"/>
      <c r="X111" s="2702"/>
      <c r="Y111" s="2702"/>
      <c r="Z111" s="2702"/>
      <c r="AA111" s="2702"/>
      <c r="AB111" s="2702"/>
      <c r="AC111" s="2702"/>
      <c r="AD111" s="2702"/>
      <c r="AE111" s="2702"/>
    </row>
    <row r="112" spans="1:31" s="422" customFormat="1" ht="15" thickTop="1">
      <c r="A112" s="542"/>
      <c r="B112" s="487" t="s">
        <v>1900</v>
      </c>
      <c r="C112" s="503"/>
      <c r="D112" s="503"/>
      <c r="E112" s="503"/>
      <c r="F112" s="503"/>
      <c r="G112" s="503"/>
      <c r="H112" s="532"/>
      <c r="I112" s="532"/>
      <c r="J112" s="532"/>
      <c r="K112" s="533"/>
      <c r="L112" s="534"/>
      <c r="M112" s="535"/>
      <c r="N112" s="2732"/>
      <c r="O112" s="2732"/>
      <c r="P112" s="2756"/>
      <c r="Q112" s="2723"/>
      <c r="R112" s="2724"/>
      <c r="S112" s="2724"/>
      <c r="T112" s="2724"/>
      <c r="U112" s="2724"/>
      <c r="V112" s="2724"/>
      <c r="W112" s="2724"/>
      <c r="X112" s="2724"/>
      <c r="Y112" s="2724"/>
      <c r="Z112" s="2724"/>
      <c r="AA112" s="2724"/>
      <c r="AB112" s="2724"/>
      <c r="AC112" s="2724"/>
      <c r="AD112" s="2724"/>
      <c r="AE112" s="272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32"/>
      <c r="O113" s="2732"/>
      <c r="P113" s="2756"/>
      <c r="Q113" s="2723"/>
      <c r="R113" s="2724"/>
      <c r="S113" s="2724"/>
      <c r="T113" s="2724"/>
      <c r="U113" s="2724"/>
      <c r="V113" s="2724"/>
      <c r="W113" s="2724"/>
      <c r="X113" s="2724"/>
      <c r="Y113" s="2724"/>
      <c r="Z113" s="2724"/>
      <c r="AA113" s="2724"/>
      <c r="AB113" s="2724"/>
      <c r="AC113" s="2724"/>
      <c r="AD113" s="2724"/>
      <c r="AE113" s="2724"/>
    </row>
    <row r="114" spans="1:31" ht="15" thickTop="1">
      <c r="A114" s="548"/>
      <c r="B114" s="487" t="s">
        <v>1901</v>
      </c>
      <c r="C114" s="503"/>
      <c r="D114" s="503"/>
      <c r="E114" s="532"/>
      <c r="F114" s="532"/>
      <c r="G114" s="532"/>
      <c r="H114" s="532"/>
      <c r="I114" s="532"/>
      <c r="J114" s="532"/>
      <c r="K114" s="533"/>
      <c r="L114" s="534"/>
      <c r="M114" s="535"/>
      <c r="N114" s="2730"/>
      <c r="O114" s="2730"/>
      <c r="P114" s="2755"/>
      <c r="Q114" s="2716"/>
      <c r="R114" s="2702"/>
      <c r="S114" s="2702"/>
      <c r="T114" s="2702"/>
      <c r="U114" s="2702"/>
      <c r="V114" s="2702"/>
      <c r="W114" s="2702"/>
      <c r="X114" s="2702"/>
      <c r="Y114" s="2702"/>
      <c r="Z114" s="2702"/>
      <c r="AA114" s="2702"/>
      <c r="AB114" s="2702"/>
      <c r="AC114" s="2702"/>
      <c r="AD114" s="2702"/>
      <c r="AE114" s="270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1"/>
      <c r="O115" s="2731"/>
      <c r="P115" s="2755"/>
      <c r="Q115" s="2716"/>
      <c r="R115" s="2702"/>
      <c r="S115" s="2702"/>
      <c r="T115" s="2702"/>
      <c r="U115" s="2702"/>
      <c r="V115" s="2702"/>
      <c r="W115" s="2702"/>
      <c r="X115" s="2702"/>
      <c r="Y115" s="2702"/>
      <c r="Z115" s="2702"/>
      <c r="AA115" s="2702"/>
      <c r="AB115" s="2702"/>
      <c r="AC115" s="2702"/>
      <c r="AD115" s="2702"/>
      <c r="AE115" s="2702"/>
    </row>
    <row r="116" spans="1:31" ht="15" thickTop="1">
      <c r="A116" s="548"/>
      <c r="B116" s="487">
        <f>B38</f>
        <v>111</v>
      </c>
      <c r="C116" s="503"/>
      <c r="D116" s="503"/>
      <c r="E116" s="503"/>
      <c r="F116" s="503"/>
      <c r="G116" s="503"/>
      <c r="H116" s="532"/>
      <c r="I116" s="532"/>
      <c r="J116" s="532"/>
      <c r="K116" s="533"/>
      <c r="L116" s="534"/>
      <c r="M116" s="535"/>
      <c r="N116" s="2730"/>
      <c r="O116" s="2730"/>
      <c r="P116" s="2755"/>
      <c r="Q116" s="2716"/>
      <c r="R116" s="2702"/>
      <c r="S116" s="2702"/>
      <c r="T116" s="2702"/>
      <c r="U116" s="2702"/>
      <c r="V116" s="2702"/>
      <c r="W116" s="2702"/>
      <c r="X116" s="2702"/>
      <c r="Y116" s="2702"/>
      <c r="Z116" s="2702"/>
      <c r="AA116" s="2702"/>
      <c r="AB116" s="2702"/>
      <c r="AC116" s="2702"/>
      <c r="AD116" s="2702"/>
      <c r="AE116" s="2702"/>
    </row>
    <row r="117" spans="1:31" ht="15.75" thickBot="1">
      <c r="A117" s="483"/>
      <c r="B117" s="492"/>
      <c r="C117" s="509"/>
      <c r="D117" s="485"/>
      <c r="E117" s="485"/>
      <c r="F117" s="485"/>
      <c r="G117" s="485"/>
      <c r="H117" s="485"/>
      <c r="I117" s="485"/>
      <c r="J117" s="485"/>
      <c r="K117" s="485"/>
      <c r="L117" s="485"/>
      <c r="M117" s="486"/>
      <c r="N117" s="2731"/>
      <c r="O117" s="2731"/>
      <c r="P117" s="2755"/>
      <c r="Q117" s="2716"/>
      <c r="R117" s="2702"/>
      <c r="S117" s="2702"/>
      <c r="T117" s="2702"/>
      <c r="U117" s="2702"/>
      <c r="V117" s="2702"/>
      <c r="W117" s="2702"/>
      <c r="X117" s="2702"/>
      <c r="Y117" s="2702"/>
      <c r="Z117" s="2702"/>
      <c r="AA117" s="2702"/>
      <c r="AB117" s="2702"/>
      <c r="AC117" s="2702"/>
      <c r="AD117" s="2702"/>
      <c r="AE117" s="2702"/>
    </row>
    <row r="118" spans="1:31" ht="15" thickTop="1">
      <c r="A118" s="548"/>
      <c r="B118" s="487">
        <f>B39</f>
        <v>111</v>
      </c>
      <c r="C118" s="503"/>
      <c r="D118" s="503"/>
      <c r="E118" s="503"/>
      <c r="F118" s="503"/>
      <c r="G118" s="532"/>
      <c r="H118" s="532"/>
      <c r="I118" s="532"/>
      <c r="J118" s="532"/>
      <c r="K118" s="533"/>
      <c r="L118" s="534"/>
      <c r="M118" s="535"/>
      <c r="N118" s="2730"/>
      <c r="O118" s="2730"/>
      <c r="P118" s="2755"/>
      <c r="Q118" s="2716"/>
      <c r="R118" s="2702"/>
      <c r="S118" s="2702"/>
      <c r="T118" s="2702"/>
      <c r="U118" s="2702"/>
      <c r="V118" s="2702"/>
      <c r="W118" s="2702"/>
      <c r="X118" s="2702"/>
      <c r="Y118" s="2702"/>
      <c r="Z118" s="2702"/>
      <c r="AA118" s="2702"/>
      <c r="AB118" s="2702"/>
      <c r="AC118" s="2702"/>
      <c r="AD118" s="2702"/>
      <c r="AE118" s="2702"/>
    </row>
    <row r="119" spans="1:31" ht="15.75" thickBot="1">
      <c r="A119" s="483"/>
      <c r="B119" s="492"/>
      <c r="C119" s="509"/>
      <c r="D119" s="509"/>
      <c r="E119" s="509"/>
      <c r="F119" s="509"/>
      <c r="G119" s="485"/>
      <c r="H119" s="485"/>
      <c r="I119" s="485"/>
      <c r="J119" s="485"/>
      <c r="K119" s="485"/>
      <c r="L119" s="485"/>
      <c r="M119" s="486"/>
      <c r="N119" s="2731"/>
      <c r="O119" s="2731"/>
      <c r="P119" s="2755"/>
      <c r="Q119" s="2716"/>
      <c r="R119" s="2702"/>
      <c r="S119" s="2702"/>
      <c r="T119" s="2702"/>
      <c r="U119" s="2702"/>
      <c r="V119" s="2702"/>
      <c r="W119" s="2702"/>
      <c r="X119" s="2702"/>
      <c r="Y119" s="2702"/>
      <c r="Z119" s="2702"/>
      <c r="AA119" s="2702"/>
      <c r="AB119" s="2702"/>
      <c r="AC119" s="2702"/>
      <c r="AD119" s="2702"/>
      <c r="AE119" s="2702"/>
    </row>
    <row r="120" spans="1:31" s="422" customFormat="1" ht="15" thickTop="1">
      <c r="A120" s="542"/>
      <c r="B120" s="487">
        <f>B40</f>
        <v>111</v>
      </c>
      <c r="C120" s="472"/>
      <c r="D120" s="472"/>
      <c r="E120" s="472"/>
      <c r="F120" s="472"/>
      <c r="G120" s="504"/>
      <c r="H120" s="504"/>
      <c r="I120" s="504"/>
      <c r="J120" s="504"/>
      <c r="K120" s="504"/>
      <c r="L120" s="505"/>
      <c r="M120" s="506"/>
      <c r="N120" s="2732"/>
      <c r="O120" s="2732"/>
      <c r="P120" s="2756"/>
      <c r="Q120" s="2723"/>
      <c r="R120" s="2724"/>
      <c r="S120" s="2724"/>
      <c r="T120" s="2724"/>
      <c r="U120" s="2724"/>
      <c r="V120" s="2724"/>
      <c r="W120" s="2724"/>
      <c r="X120" s="2724"/>
      <c r="Y120" s="2724"/>
      <c r="Z120" s="2724"/>
      <c r="AA120" s="2724"/>
      <c r="AB120" s="2724"/>
      <c r="AC120" s="2724"/>
      <c r="AD120" s="2724"/>
      <c r="AE120" s="2724"/>
    </row>
    <row r="121" spans="1:31" s="422" customFormat="1" ht="15.75" thickBot="1">
      <c r="A121" s="517"/>
      <c r="B121" s="648"/>
      <c r="C121" s="519"/>
      <c r="D121" s="519"/>
      <c r="E121" s="519"/>
      <c r="F121" s="519"/>
      <c r="G121" s="540"/>
      <c r="H121" s="540"/>
      <c r="I121" s="540"/>
      <c r="J121" s="540"/>
      <c r="K121" s="540"/>
      <c r="L121" s="540"/>
      <c r="M121" s="541"/>
      <c r="N121" s="2732"/>
      <c r="O121" s="2732"/>
      <c r="P121" s="2756"/>
      <c r="Q121" s="2723"/>
      <c r="R121" s="2724"/>
      <c r="S121" s="2724"/>
      <c r="T121" s="2724"/>
      <c r="U121" s="2724"/>
      <c r="V121" s="2724"/>
      <c r="W121" s="2724"/>
      <c r="X121" s="2724"/>
      <c r="Y121" s="2724"/>
      <c r="Z121" s="2724"/>
      <c r="AA121" s="2724"/>
      <c r="AB121" s="2724"/>
      <c r="AC121" s="2724"/>
      <c r="AD121" s="2724"/>
      <c r="AE121" s="2724"/>
    </row>
    <row r="122" spans="1:31">
      <c r="N122" s="2702"/>
      <c r="O122" s="2702"/>
      <c r="P122" s="2702"/>
      <c r="Q122" s="2702"/>
      <c r="R122" s="2702"/>
      <c r="S122" s="2702"/>
      <c r="T122" s="2702"/>
      <c r="U122" s="2702"/>
      <c r="V122" s="2702"/>
      <c r="W122" s="2702"/>
      <c r="X122" s="2702"/>
      <c r="Y122" s="2702"/>
      <c r="Z122" s="2702"/>
      <c r="AA122" s="2702"/>
      <c r="AB122" s="2702"/>
      <c r="AC122" s="2702"/>
      <c r="AD122" s="2702"/>
      <c r="AE122" s="2702"/>
    </row>
    <row r="123" spans="1:31">
      <c r="P123" s="2702"/>
      <c r="Q123" s="2702"/>
      <c r="R123" s="2702"/>
      <c r="S123" s="2702"/>
      <c r="T123" s="2702"/>
      <c r="U123" s="2702"/>
      <c r="V123" s="2702"/>
      <c r="W123" s="2702"/>
      <c r="X123" s="2702"/>
      <c r="Y123" s="2702"/>
      <c r="Z123" s="2702"/>
      <c r="AA123" s="2702"/>
      <c r="AB123" s="2702"/>
      <c r="AC123" s="2702"/>
      <c r="AD123" s="2702"/>
      <c r="AE123" s="270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52" priority="18" stopIfTrue="1" operator="containsText" text="超过">
      <formula>NOT(ISERROR(SEARCH("超过",F46)))</formula>
    </cfRule>
  </conditionalFormatting>
  <conditionalFormatting sqref="J48">
    <cfRule type="containsText" dxfId="51" priority="17" stopIfTrue="1" operator="containsText" text="超过">
      <formula>NOT(ISERROR(SEARCH("超过",J48)))</formula>
    </cfRule>
  </conditionalFormatting>
  <conditionalFormatting sqref="H48">
    <cfRule type="containsText" dxfId="50" priority="16" stopIfTrue="1" operator="containsText" text="超过">
      <formula>NOT(ISERROR(SEARCH("超过",H48)))</formula>
    </cfRule>
  </conditionalFormatting>
  <conditionalFormatting sqref="F48">
    <cfRule type="containsText" dxfId="49" priority="15" stopIfTrue="1" operator="containsText" text="超过">
      <formula>NOT(ISERROR(SEARCH("超过",F48)))</formula>
    </cfRule>
  </conditionalFormatting>
  <conditionalFormatting sqref="F47 H47 J47">
    <cfRule type="containsText" dxfId="48" priority="14" stopIfTrue="1" operator="containsText" text="超过">
      <formula>NOT(ISERROR(SEARCH("超过",F47)))</formula>
    </cfRule>
  </conditionalFormatting>
  <conditionalFormatting sqref="E46">
    <cfRule type="expression" dxfId="47" priority="13" stopIfTrue="1">
      <formula>$F$46="超过30%"</formula>
    </cfRule>
  </conditionalFormatting>
  <conditionalFormatting sqref="G48">
    <cfRule type="expression" dxfId="46" priority="12" stopIfTrue="1">
      <formula>$H$48="超过30%"</formula>
    </cfRule>
  </conditionalFormatting>
  <conditionalFormatting sqref="E48">
    <cfRule type="expression" dxfId="45" priority="10" stopIfTrue="1">
      <formula>$F$48="超过30%"</formula>
    </cfRule>
  </conditionalFormatting>
  <conditionalFormatting sqref="G46">
    <cfRule type="expression" dxfId="44" priority="9" stopIfTrue="1">
      <formula>$H$46="超过30%"</formula>
    </cfRule>
  </conditionalFormatting>
  <conditionalFormatting sqref="G47">
    <cfRule type="expression" dxfId="43" priority="8" stopIfTrue="1">
      <formula>$H$47="超过20%"</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E47">
    <cfRule type="expression" dxfId="39" priority="53" stopIfTrue="1">
      <formula>#REF!+$F$47="超过20%"</formula>
    </cfRule>
  </conditionalFormatting>
  <conditionalFormatting sqref="F42">
    <cfRule type="expression" dxfId="38" priority="4">
      <formula>$D$42="简单平均"</formula>
    </cfRule>
  </conditionalFormatting>
  <conditionalFormatting sqref="H42">
    <cfRule type="expression" dxfId="37" priority="3">
      <formula>$D$42="简单平均"</formula>
    </cfRule>
  </conditionalFormatting>
  <conditionalFormatting sqref="J42">
    <cfRule type="expression" dxfId="36" priority="2">
      <formula>$D$42="简单平均"</formula>
    </cfRule>
  </conditionalFormatting>
  <conditionalFormatting sqref="F7:F40 H7:H40 J7:J40">
    <cfRule type="cellIs" dxfId="35"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2067</v>
      </c>
      <c r="C1" s="3981" t="s">
        <v>2068</v>
      </c>
      <c r="D1" s="3982"/>
      <c r="E1" s="3982"/>
      <c r="F1" s="3982"/>
      <c r="G1" s="3982"/>
      <c r="H1" s="3982"/>
      <c r="I1" s="3982"/>
      <c r="J1" s="3982"/>
      <c r="K1" s="3982"/>
      <c r="L1" s="3982"/>
      <c r="M1" s="3982"/>
      <c r="N1" s="3982"/>
      <c r="O1" s="3982"/>
      <c r="P1" s="3982"/>
      <c r="Q1" s="3982"/>
      <c r="R1" s="3982"/>
      <c r="S1" s="3983"/>
      <c r="T1" s="983" t="s">
        <v>2069</v>
      </c>
    </row>
    <row r="2" spans="1:45" s="655" customFormat="1">
      <c r="A2" s="984"/>
      <c r="B2" s="651" t="s">
        <v>2070</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2071</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2072</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2073</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2074</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2075</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2076</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2077</v>
      </c>
      <c r="B17" s="2149" t="s">
        <v>2078</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2079</v>
      </c>
      <c r="E19" s="1340"/>
      <c r="F19" s="1340"/>
      <c r="G19" s="1340"/>
      <c r="H19" s="1059"/>
      <c r="I19" s="159"/>
      <c r="J19" s="159"/>
      <c r="K19" s="159"/>
      <c r="L19" s="159"/>
      <c r="M19" s="159"/>
      <c r="N19" s="159"/>
      <c r="O19" s="159"/>
      <c r="P19" s="159"/>
      <c r="Q19" s="159"/>
      <c r="R19" s="718"/>
      <c r="S19" s="129"/>
    </row>
    <row r="20" spans="1:45" ht="16.5" thickBot="1">
      <c r="A20" s="662" t="s">
        <v>2080</v>
      </c>
      <c r="B20" s="294" t="e">
        <f ca="1">IF(D20="——",S22,S22-F20)</f>
        <v>#REF!</v>
      </c>
      <c r="C20" s="159"/>
      <c r="D20" s="2151"/>
      <c r="E20" s="1341"/>
      <c r="F20" s="983" t="e">
        <f ca="1">SUMIF(INDIRECT("'"&amp;H20&amp;"'"&amp;"!A:A"),"承租人权益价值",INDIRECT("'"&amp;H20&amp;"'"&amp;"!c:c"))</f>
        <v>#REF!</v>
      </c>
      <c r="G20" s="983" t="s">
        <v>2081</v>
      </c>
      <c r="H20" s="2152"/>
      <c r="I20" s="159"/>
      <c r="J20" s="159"/>
      <c r="K20" s="159"/>
      <c r="L20" s="159"/>
      <c r="M20" s="159"/>
      <c r="N20" s="159"/>
      <c r="O20" s="159"/>
      <c r="P20" s="159"/>
      <c r="Q20" s="159"/>
      <c r="R20" s="718"/>
      <c r="S20" s="129"/>
    </row>
    <row r="21" spans="1:45" ht="15.75">
      <c r="A21" s="662" t="s">
        <v>2082</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2083</v>
      </c>
      <c r="B22" s="21">
        <f>SUM(B24:B10000)</f>
        <v>0</v>
      </c>
      <c r="C22" s="3978" t="s">
        <v>27</v>
      </c>
      <c r="D22" s="3979"/>
      <c r="E22" s="3979"/>
      <c r="F22" s="3979"/>
      <c r="G22" s="3979"/>
      <c r="H22" s="3979"/>
      <c r="I22" s="3979"/>
      <c r="J22" s="3979"/>
      <c r="K22" s="3979"/>
      <c r="L22" s="3979"/>
      <c r="M22" s="3979"/>
      <c r="N22" s="3979"/>
      <c r="O22" s="3979"/>
      <c r="P22" s="3979"/>
      <c r="Q22" s="3980"/>
      <c r="R22" s="663" t="e">
        <f>ROUND(S22*10000/B22,0)</f>
        <v>#DIV/0!</v>
      </c>
      <c r="S22" s="21">
        <f>SUM(S24:S10000)</f>
        <v>0</v>
      </c>
    </row>
    <row r="23" spans="1:45" s="9" customFormat="1" ht="24">
      <c r="A23" s="8" t="s">
        <v>2084</v>
      </c>
      <c r="B23" s="8" t="s">
        <v>2085</v>
      </c>
      <c r="C23" s="8" t="s">
        <v>2086</v>
      </c>
      <c r="D23" s="8" t="str">
        <f>B5</f>
        <v>修正项2</v>
      </c>
      <c r="E23" s="8" t="s">
        <v>2086</v>
      </c>
      <c r="F23" s="8" t="str">
        <f>B7</f>
        <v>修正项3</v>
      </c>
      <c r="G23" s="8" t="s">
        <v>2086</v>
      </c>
      <c r="H23" s="8" t="str">
        <f>B9</f>
        <v>修正项4</v>
      </c>
      <c r="I23" s="8" t="s">
        <v>2086</v>
      </c>
      <c r="J23" s="8" t="str">
        <f>B11</f>
        <v>修正项5</v>
      </c>
      <c r="K23" s="8" t="s">
        <v>2086</v>
      </c>
      <c r="L23" s="8" t="str">
        <f>B13</f>
        <v>修正项6</v>
      </c>
      <c r="M23" s="8" t="s">
        <v>2086</v>
      </c>
      <c r="N23" s="8" t="str">
        <f>B15</f>
        <v>修正项7</v>
      </c>
      <c r="O23" s="8" t="s">
        <v>2086</v>
      </c>
      <c r="P23" s="8" t="str">
        <f>B17</f>
        <v>楼层</v>
      </c>
      <c r="Q23" s="8" t="s">
        <v>2086</v>
      </c>
      <c r="R23" s="664" t="s">
        <v>2087</v>
      </c>
      <c r="S23" s="8" t="s">
        <v>2088</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2089</v>
      </c>
      <c r="B24" s="665"/>
      <c r="C24" s="2787">
        <v>1</v>
      </c>
      <c r="D24" s="2788"/>
      <c r="E24" s="2787">
        <v>1</v>
      </c>
      <c r="F24" s="2788"/>
      <c r="G24" s="2787">
        <v>1</v>
      </c>
      <c r="H24" s="2788"/>
      <c r="I24" s="2787">
        <v>1</v>
      </c>
      <c r="J24" s="2788"/>
      <c r="K24" s="2787">
        <v>1</v>
      </c>
      <c r="L24" s="2788"/>
      <c r="M24" s="2787">
        <v>1</v>
      </c>
      <c r="N24" s="2788"/>
      <c r="O24" s="2787">
        <v>1</v>
      </c>
      <c r="P24" s="2788"/>
      <c r="Q24" s="278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34"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B3" sqref="B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3371</v>
      </c>
      <c r="D1" s="1362" t="s">
        <v>43</v>
      </c>
      <c r="E1" s="1363" t="s">
        <v>678</v>
      </c>
      <c r="F1" s="1062">
        <f ca="1">J53</f>
        <v>18.899999999999999</v>
      </c>
      <c r="G1" s="1378">
        <f>MATCH(C1,'数据-取费表'!A6:A16,0)+5</f>
        <v>6</v>
      </c>
      <c r="H1" s="2669"/>
      <c r="I1" s="2670"/>
      <c r="J1" s="2670"/>
      <c r="K1" s="2671"/>
      <c r="L1" s="2670"/>
      <c r="M1" s="267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135731</v>
      </c>
      <c r="C2" s="1387" t="s">
        <v>805</v>
      </c>
      <c r="D2" s="1387"/>
      <c r="E2" s="1388"/>
      <c r="F2" s="1389"/>
      <c r="G2" s="2683"/>
      <c r="H2" s="2672"/>
      <c r="I2" s="2672"/>
      <c r="J2" s="2672"/>
      <c r="K2" s="2673"/>
      <c r="L2" s="2672"/>
      <c r="M2" s="2672"/>
    </row>
    <row r="3" spans="1:37" ht="18" customHeight="1" thickBot="1">
      <c r="A3" s="1390" t="s">
        <v>806</v>
      </c>
      <c r="B3" s="1391">
        <f ca="1">IF(ISERROR(B2*10000/F43),0,ROUND(B2*10000/F43,0))</f>
        <v>31883</v>
      </c>
      <c r="C3" s="1387" t="s">
        <v>807</v>
      </c>
      <c r="D3" s="1387"/>
      <c r="E3" s="1388"/>
      <c r="F3" s="1389"/>
      <c r="G3" s="2683"/>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12219</v>
      </c>
      <c r="D5" s="1364" t="s">
        <v>693</v>
      </c>
      <c r="E5" s="1071"/>
      <c r="F5" s="1072"/>
      <c r="G5" s="1384"/>
      <c r="H5" s="299">
        <v>1</v>
      </c>
      <c r="I5" s="300" t="s">
        <v>692</v>
      </c>
      <c r="J5" s="1070">
        <f ca="1">J6+J10+J12</f>
        <v>0</v>
      </c>
      <c r="K5" s="1364" t="s">
        <v>693</v>
      </c>
      <c r="L5" s="1071"/>
      <c r="M5" s="1072"/>
    </row>
    <row r="6" spans="1:37" ht="18" customHeight="1">
      <c r="A6" s="1069" t="s">
        <v>398</v>
      </c>
      <c r="B6" s="3880" t="s">
        <v>694</v>
      </c>
      <c r="C6" s="1074">
        <f ca="1">ROUND(F6*F8*F7*(1-F9)/10000,0)</f>
        <v>12204</v>
      </c>
      <c r="D6" s="155" t="s">
        <v>2093</v>
      </c>
      <c r="E6" s="302" t="s">
        <v>696</v>
      </c>
      <c r="F6" s="303">
        <f ca="1">INDIRECT("'数据-取费表'!u"&amp;$G$1)</f>
        <v>9</v>
      </c>
      <c r="G6" s="1384"/>
      <c r="H6" s="1069" t="s">
        <v>398</v>
      </c>
      <c r="I6" s="3880" t="s">
        <v>694</v>
      </c>
      <c r="J6" s="301">
        <f ca="1">ROUND(M6*M8*M7*(1-M9)/10000,0)</f>
        <v>0</v>
      </c>
      <c r="K6" s="155" t="s">
        <v>2092</v>
      </c>
      <c r="L6" s="302" t="s">
        <v>696</v>
      </c>
      <c r="M6" s="303">
        <f ca="1">INDIRECT("'数据-取费表'!z"&amp;$G$1)</f>
        <v>0</v>
      </c>
    </row>
    <row r="7" spans="1:37" ht="18" customHeight="1">
      <c r="A7" s="1073"/>
      <c r="B7" s="3881"/>
      <c r="C7" s="1075"/>
      <c r="D7" s="307"/>
      <c r="E7" s="1076" t="s">
        <v>697</v>
      </c>
      <c r="F7" s="303">
        <f ca="1">IF(INDIRECT("'数据-取费表'!ah"&amp;$G$1)="",INDIRECT("'数据-取费表'!k"&amp;$G$1),INDIRECT("'数据-取费表'!ah"&amp;$G$1))</f>
        <v>42215.209999999977</v>
      </c>
      <c r="G7" s="1384"/>
      <c r="H7" s="304"/>
      <c r="I7" s="3881"/>
      <c r="J7" s="306"/>
      <c r="K7" s="307"/>
      <c r="L7" s="302" t="s">
        <v>697</v>
      </c>
      <c r="M7" s="303">
        <f ca="1">F7</f>
        <v>42215.209999999977</v>
      </c>
    </row>
    <row r="8" spans="1:37" ht="18" customHeight="1">
      <c r="A8" s="304"/>
      <c r="B8" s="3881"/>
      <c r="C8" s="306"/>
      <c r="D8" s="307"/>
      <c r="E8" s="302" t="s">
        <v>698</v>
      </c>
      <c r="F8" s="303">
        <f ca="1">INDIRECT("'数据-取费表'!ai"&amp;$G$1)</f>
        <v>365</v>
      </c>
      <c r="G8" s="1384"/>
      <c r="H8" s="304"/>
      <c r="I8" s="3881"/>
      <c r="J8" s="306"/>
      <c r="K8" s="307"/>
      <c r="L8" s="302" t="s">
        <v>698</v>
      </c>
      <c r="M8" s="303">
        <f ca="1">INDIRECT("'数据-取费表'!ai"&amp;$G$1)</f>
        <v>365</v>
      </c>
    </row>
    <row r="9" spans="1:37" ht="18" customHeight="1">
      <c r="A9" s="304"/>
      <c r="B9" s="3882"/>
      <c r="C9" s="306"/>
      <c r="D9" s="307"/>
      <c r="E9" s="302" t="s">
        <v>699</v>
      </c>
      <c r="F9" s="312">
        <f ca="1">INDIRECT("'数据-取费表'!w"&amp;$G$1)</f>
        <v>0.12</v>
      </c>
      <c r="G9" s="1384"/>
      <c r="H9" s="304"/>
      <c r="I9" s="3882"/>
      <c r="J9" s="306"/>
      <c r="K9" s="307"/>
      <c r="L9" s="313" t="s">
        <v>699</v>
      </c>
      <c r="M9" s="314">
        <f ca="1">INDIRECT("'数据-取费表'!ab"&amp;$G$1)</f>
        <v>0</v>
      </c>
    </row>
    <row r="10" spans="1:37" ht="18" customHeight="1">
      <c r="A10" s="1069" t="s">
        <v>402</v>
      </c>
      <c r="B10" s="1365" t="s">
        <v>700</v>
      </c>
      <c r="C10" s="316">
        <f ca="1">ROUND(IF(F10="押一",C6/12*F11,IF(F10="押二",C6/12*2*F11,IF(F10="押三",C6/12*3*F11,C11*F11))),0)</f>
        <v>15</v>
      </c>
      <c r="D10" s="1366" t="s">
        <v>2101</v>
      </c>
      <c r="E10" s="313" t="s">
        <v>701</v>
      </c>
      <c r="F10" s="1116" t="s">
        <v>3422</v>
      </c>
      <c r="G10" s="1384"/>
      <c r="H10" s="1069" t="s">
        <v>402</v>
      </c>
      <c r="I10" s="1365" t="s">
        <v>700</v>
      </c>
      <c r="J10" s="301">
        <f ca="1">ROUND(IF(M10="押一",J6/12*M11,IF(M10="押二",J6/12*2*M11,IF(M10="押三",J6/12*3*M11,J11*M11))),0)</f>
        <v>0</v>
      </c>
      <c r="K10" s="1366" t="s">
        <v>2100</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30645</v>
      </c>
      <c r="D13" s="1081" t="s">
        <v>705</v>
      </c>
      <c r="E13" s="1081" t="s">
        <v>706</v>
      </c>
      <c r="F13" s="1082">
        <f ca="1">INDIRECT("'数据-取费表'!y"&amp;$G$1)</f>
        <v>0.85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25543</v>
      </c>
      <c r="D14" s="1345" t="s">
        <v>708</v>
      </c>
      <c r="E14" s="1342"/>
      <c r="F14" s="319"/>
      <c r="G14" s="1384"/>
      <c r="H14" s="982" t="s">
        <v>398</v>
      </c>
      <c r="I14" s="302" t="s">
        <v>709</v>
      </c>
      <c r="J14" s="21">
        <f ca="1">C29</f>
        <v>36053</v>
      </c>
      <c r="K14" s="12"/>
      <c r="L14" s="807"/>
      <c r="M14" s="808"/>
    </row>
    <row r="15" spans="1:37" s="1397" customFormat="1" ht="18" customHeight="1" thickBot="1">
      <c r="A15" s="982" t="s">
        <v>399</v>
      </c>
      <c r="B15" s="302" t="s">
        <v>710</v>
      </c>
      <c r="C15" s="21">
        <f ca="1">ROUND(C14*F15,0)</f>
        <v>766</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541</v>
      </c>
      <c r="K16" s="1087" t="s">
        <v>715</v>
      </c>
      <c r="L16" s="1088"/>
      <c r="M16" s="1072"/>
    </row>
    <row r="17" spans="1:37" s="1397" customFormat="1" ht="18" customHeight="1">
      <c r="A17" s="982" t="s">
        <v>681</v>
      </c>
      <c r="B17" s="302" t="s">
        <v>716</v>
      </c>
      <c r="C17" s="21">
        <f ca="1">ROUND(F17*(F43+INDIRECT("'数据-取费表'!S"&amp;$G$1))/10000,0)</f>
        <v>851</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383</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27543</v>
      </c>
      <c r="D19" s="131" t="s">
        <v>726</v>
      </c>
      <c r="E19" s="1360"/>
      <c r="F19" s="23"/>
      <c r="G19" s="1384"/>
      <c r="H19" s="982" t="s">
        <v>399</v>
      </c>
      <c r="I19" s="302" t="s">
        <v>727</v>
      </c>
      <c r="J19" s="21">
        <f ca="1">IF(K19="按租金收入计税",ROUND(J6*M19/(1+'数据-取费表'!C42),2),ROUND(C29*M19*0.7,2))</f>
        <v>0</v>
      </c>
      <c r="K19" s="1370" t="s">
        <v>3320</v>
      </c>
      <c r="L19" s="302" t="s">
        <v>712</v>
      </c>
      <c r="M19" s="322">
        <f>IF(K19="按租金收入计税",'数据-取费表'!B51,'数据-取费表'!B50)</f>
        <v>0.12</v>
      </c>
    </row>
    <row r="20" spans="1:37" s="1397" customFormat="1" ht="18" customHeight="1">
      <c r="A20" s="982" t="s">
        <v>402</v>
      </c>
      <c r="B20" s="302" t="s">
        <v>728</v>
      </c>
      <c r="C20" s="21">
        <f ca="1">ROUND(C19*F20,0)</f>
        <v>551</v>
      </c>
      <c r="D20" s="323" t="s">
        <v>729</v>
      </c>
      <c r="E20" s="302" t="s">
        <v>712</v>
      </c>
      <c r="F20" s="322">
        <f>'数据-取费表'!B37</f>
        <v>0.02</v>
      </c>
      <c r="G20" s="1396"/>
      <c r="H20" s="982" t="s">
        <v>680</v>
      </c>
      <c r="I20" s="155" t="s">
        <v>730</v>
      </c>
      <c r="J20" s="22">
        <f ca="1">ROUND(M20*M21/10000,2)</f>
        <v>0</v>
      </c>
      <c r="K20" s="324" t="s">
        <v>731</v>
      </c>
      <c r="L20" s="302" t="s">
        <v>732</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540.79999999999995</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969</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1.4999999999999999E-2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-541</v>
      </c>
      <c r="K25" s="1095" t="s">
        <v>753</v>
      </c>
      <c r="L25" s="1096"/>
      <c r="M25" s="1097"/>
    </row>
    <row r="26" spans="1:37">
      <c r="A26" s="982" t="s">
        <v>397</v>
      </c>
      <c r="B26" s="302" t="s">
        <v>754</v>
      </c>
      <c r="C26" s="21">
        <f ca="1">ROUND((C19+C20)*F26,0)</f>
        <v>4214</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36053</v>
      </c>
      <c r="D29" s="1092"/>
      <c r="E29" s="1090"/>
      <c r="F29" s="1093"/>
      <c r="G29" s="1396"/>
      <c r="H29" s="334" t="s">
        <v>396</v>
      </c>
      <c r="I29" s="335" t="s">
        <v>768</v>
      </c>
      <c r="J29" s="336">
        <f ca="1">ROUND(J26/(1+F40)^F41,0)</f>
        <v>0</v>
      </c>
      <c r="K29" s="337" t="s">
        <v>769</v>
      </c>
      <c r="L29" s="338"/>
      <c r="M29" s="339">
        <f ca="1">INDIRECT("'数据-取费表'!k"&amp;$G$1)</f>
        <v>42571.529999999977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2816</v>
      </c>
      <c r="D30" s="1087" t="s">
        <v>715</v>
      </c>
      <c r="E30" s="1088"/>
      <c r="F30" s="1072"/>
      <c r="G30" s="1384"/>
      <c r="H30" s="2674"/>
      <c r="I30" s="1398"/>
      <c r="J30" s="1399"/>
      <c r="K30" s="2472"/>
      <c r="L30" s="2675"/>
      <c r="M30" s="2676"/>
    </row>
    <row r="31" spans="1:37" ht="18" customHeight="1">
      <c r="A31" s="982" t="s">
        <v>398</v>
      </c>
      <c r="B31" s="302" t="s">
        <v>719</v>
      </c>
      <c r="C31" s="2316">
        <f ca="1">ROUND(IF(AND(项目基本情况!B11="自然人",项目基本情况!B10="北京市"),C6*F31/(1+'数据-取费表'!C42),C32+C33+C34),2)</f>
        <v>2045.62</v>
      </c>
      <c r="D31" s="1345" t="s">
        <v>720</v>
      </c>
      <c r="E31" s="1344" t="s">
        <v>770</v>
      </c>
      <c r="F31" s="2315" t="str">
        <f>IF(项目基本情况!B11="企业","——",IF(M47="住宅",IF(F6*F7*F8/12/(1+'数据-取费表'!F30)&gt;100000,4%,2.5%),IF(F6*F7*F8/12/(1+'数据-取费表'!F30)&gt;100000,12%,7%)))</f>
        <v>——</v>
      </c>
      <c r="G31" s="1384"/>
      <c r="H31" s="2785" t="s">
        <v>2290</v>
      </c>
      <c r="I31" s="1398"/>
      <c r="J31" s="1399"/>
      <c r="K31" s="2472"/>
      <c r="L31" s="2675"/>
      <c r="M31" s="2676"/>
    </row>
    <row r="32" spans="1:37" ht="18" customHeight="1">
      <c r="A32" s="982" t="s">
        <v>397</v>
      </c>
      <c r="B32" s="302" t="s">
        <v>723</v>
      </c>
      <c r="C32" s="21">
        <f ca="1">IF(项目基本情况!B11="自然人","——",ROUND(C6*F32/(1+'数据-取费表'!C42),2))</f>
        <v>650.88</v>
      </c>
      <c r="D32" s="1344" t="s">
        <v>724</v>
      </c>
      <c r="E32" s="302" t="s">
        <v>712</v>
      </c>
      <c r="F32" s="331">
        <f>'数据-取费表'!B41</f>
        <v>5.6000000000000001E-2</v>
      </c>
      <c r="G32" s="1384"/>
      <c r="H32" s="2674"/>
      <c r="I32" s="1398"/>
      <c r="J32" s="3683">
        <f ca="1">C13/F43*10000</f>
        <v>7198.4727821621673</v>
      </c>
      <c r="K32" s="2472"/>
      <c r="L32" s="2675"/>
      <c r="M32" s="2676"/>
    </row>
    <row r="33" spans="1:18" ht="18" customHeight="1">
      <c r="A33" s="982" t="s">
        <v>399</v>
      </c>
      <c r="B33" s="302" t="s">
        <v>727</v>
      </c>
      <c r="C33" s="21">
        <f ca="1">IF(项目基本情况!B11="自然人","——",IF(D33="按租金收入计税",ROUND(C6*F33/(1+'数据-取费表'!C42),2),IF(D33="按房产原值计税",ROUND(C29*F33*0.7,2),INDIRECT("'数据-取费表'!Aj"&amp;$G$1))))</f>
        <v>1394.74</v>
      </c>
      <c r="D33" s="1370" t="s">
        <v>3320</v>
      </c>
      <c r="E33" s="302" t="s">
        <v>712</v>
      </c>
      <c r="F33" s="322">
        <f>IF(D33="按票据","——",IF(D33="按租金收入计税",'数据-取费表'!B51,'数据-取费表'!B50))</f>
        <v>0.12</v>
      </c>
      <c r="G33" s="1384"/>
      <c r="H33" s="2677"/>
      <c r="I33" s="1398"/>
      <c r="J33" s="1399">
        <f ca="1">J32*'数据-基础表'!I40/10000</f>
        <v>256.49598217400234</v>
      </c>
      <c r="K33" s="2678"/>
      <c r="L33" s="2677"/>
      <c r="M33" s="2677"/>
    </row>
    <row r="34" spans="1:18" ht="18" customHeight="1">
      <c r="A34" s="1069" t="s">
        <v>680</v>
      </c>
      <c r="B34" s="155" t="s">
        <v>730</v>
      </c>
      <c r="C34" s="22">
        <f ca="1">IF(项目基本情况!B11="自然人","——",ROUND(F34*F35/10000,2))</f>
        <v>0</v>
      </c>
      <c r="D34" s="324" t="s">
        <v>731</v>
      </c>
      <c r="E34" s="302" t="s">
        <v>732</v>
      </c>
      <c r="F34" s="325">
        <f>'数据-取费表'!B52</f>
        <v>12</v>
      </c>
      <c r="G34" s="1384"/>
      <c r="H34" s="2674"/>
      <c r="I34" s="1398"/>
      <c r="J34" s="1399"/>
      <c r="K34" s="2679"/>
      <c r="L34" s="2680"/>
      <c r="M34" s="2680"/>
    </row>
    <row r="35" spans="1:18" ht="18" customHeight="1">
      <c r="A35" s="1103"/>
      <c r="B35" s="1101"/>
      <c r="C35" s="26"/>
      <c r="D35" s="327"/>
      <c r="E35" s="302" t="s">
        <v>736</v>
      </c>
      <c r="F35" s="303">
        <f ca="1">INDIRECT("'数据-取费表'!r"&amp;$G$1)</f>
        <v>0</v>
      </c>
      <c r="G35" s="1384"/>
      <c r="H35" s="2674"/>
      <c r="I35" s="1398"/>
      <c r="J35" s="1399"/>
      <c r="K35" s="2678"/>
      <c r="L35" s="2677"/>
      <c r="M35" s="2677"/>
    </row>
    <row r="36" spans="1:18" ht="18" customHeight="1">
      <c r="A36" s="1102" t="s">
        <v>402</v>
      </c>
      <c r="B36" s="302" t="s">
        <v>738</v>
      </c>
      <c r="C36" s="21">
        <f ca="1">ROUND(C29*F36,2)</f>
        <v>540.79999999999995</v>
      </c>
      <c r="D36" s="1344" t="s">
        <v>771</v>
      </c>
      <c r="E36" s="302" t="s">
        <v>712</v>
      </c>
      <c r="F36" s="328">
        <f ca="1">INDIRECT("'数据-取费表'!Ak"&amp;$G$1)</f>
        <v>1.4999999999999999E-2</v>
      </c>
      <c r="G36" s="1384"/>
      <c r="H36" s="2677"/>
      <c r="I36" s="1398"/>
      <c r="J36" s="1399"/>
      <c r="K36" s="2522"/>
      <c r="L36" s="2677"/>
      <c r="M36" s="2677"/>
    </row>
    <row r="37" spans="1:18" ht="18" customHeight="1">
      <c r="A37" s="982" t="s">
        <v>437</v>
      </c>
      <c r="B37" s="302" t="s">
        <v>742</v>
      </c>
      <c r="C37" s="21">
        <f ca="1">ROUND(C13*F37,2)</f>
        <v>45.97</v>
      </c>
      <c r="D37" s="1344" t="s">
        <v>743</v>
      </c>
      <c r="E37" s="302" t="s">
        <v>744</v>
      </c>
      <c r="F37" s="330">
        <f ca="1">INDIRECT("'数据-取费表'!Al"&amp;$G$1)</f>
        <v>1.5E-3</v>
      </c>
      <c r="G37" s="1384"/>
      <c r="H37" s="2677"/>
      <c r="I37" s="1398"/>
      <c r="J37" s="1399"/>
      <c r="K37" s="2522"/>
      <c r="L37" s="2677"/>
      <c r="M37" s="2677"/>
    </row>
    <row r="38" spans="1:18" ht="18" customHeight="1" thickBot="1">
      <c r="A38" s="1089" t="s">
        <v>684</v>
      </c>
      <c r="B38" s="1090" t="s">
        <v>728</v>
      </c>
      <c r="C38" s="1091">
        <f ca="1">ROUND(C5*F38,2)</f>
        <v>183.29</v>
      </c>
      <c r="D38" s="1092" t="s">
        <v>748</v>
      </c>
      <c r="E38" s="1090" t="s">
        <v>744</v>
      </c>
      <c r="F38" s="1086">
        <f ca="1">INDIRECT("'数据-取费表'!Am"&amp;$G$1)</f>
        <v>1.4999999999999999E-2</v>
      </c>
      <c r="G38" s="1384"/>
      <c r="H38" s="2677"/>
      <c r="I38" s="1398"/>
      <c r="J38" s="1399"/>
      <c r="K38" s="2681"/>
      <c r="L38" s="2677"/>
      <c r="M38" s="2677"/>
    </row>
    <row r="39" spans="1:18" ht="24.6" customHeight="1" thickTop="1">
      <c r="A39" s="1079" t="s">
        <v>394</v>
      </c>
      <c r="B39" s="1094" t="s">
        <v>772</v>
      </c>
      <c r="C39" s="310">
        <f ca="1">C5-C30</f>
        <v>9403</v>
      </c>
      <c r="D39" s="1095" t="s">
        <v>773</v>
      </c>
      <c r="E39" s="1096"/>
      <c r="F39" s="1097"/>
      <c r="G39" s="1384"/>
      <c r="H39" s="2677"/>
      <c r="I39" s="1398"/>
      <c r="J39" s="1399"/>
      <c r="K39" s="2681"/>
      <c r="L39" s="2677"/>
      <c r="M39" s="2677"/>
    </row>
    <row r="40" spans="1:18" ht="18" customHeight="1">
      <c r="A40" s="299" t="s">
        <v>395</v>
      </c>
      <c r="B40" s="300" t="s">
        <v>774</v>
      </c>
      <c r="C40" s="301">
        <f ca="1">ROUND(C39*(1-((1+F42)/(1+F40))^F41)/(F40-F42),0)</f>
        <v>131733</v>
      </c>
      <c r="D40" s="324" t="s">
        <v>758</v>
      </c>
      <c r="E40" s="302" t="s">
        <v>759</v>
      </c>
      <c r="F40" s="312">
        <f ca="1">INDIRECT("'数据-取费表'!I"&amp;$G$1)</f>
        <v>5.5E-2</v>
      </c>
      <c r="G40" s="1384"/>
      <c r="H40" s="1461"/>
      <c r="I40" s="1398"/>
      <c r="J40" s="1399"/>
      <c r="K40" s="2681"/>
      <c r="L40" s="1461"/>
      <c r="M40" s="1461"/>
    </row>
    <row r="41" spans="1:18" ht="18" customHeight="1">
      <c r="A41" s="304"/>
      <c r="B41" s="305"/>
      <c r="C41" s="306"/>
      <c r="D41" s="332" t="s">
        <v>775</v>
      </c>
      <c r="E41" s="302" t="s">
        <v>763</v>
      </c>
      <c r="F41" s="333">
        <f ca="1">IF(INDIRECT("'数据-取费表'!af"&amp;$G$1)=0,INDIRECT("'数据-取费表'!ae"&amp;$G$1),INDIRECT("'数据-取费表'!af"&amp;$G$1))</f>
        <v>18.899999999999999</v>
      </c>
      <c r="G41" s="1384"/>
      <c r="H41" s="1191"/>
      <c r="I41" s="1398"/>
      <c r="J41" s="1399"/>
      <c r="K41" s="2522"/>
      <c r="L41" s="1191"/>
      <c r="M41" s="1191"/>
    </row>
    <row r="42" spans="1:18" ht="18" customHeight="1">
      <c r="A42" s="308"/>
      <c r="B42" s="309"/>
      <c r="C42" s="310"/>
      <c r="D42" s="327"/>
      <c r="E42" s="302" t="s">
        <v>766</v>
      </c>
      <c r="F42" s="312">
        <f ca="1">INDIRECT("'数据-取费表'!v"&amp;$G$1)</f>
        <v>2.5000000000000001E-2</v>
      </c>
      <c r="G42" s="1384"/>
      <c r="H42" s="1191"/>
      <c r="I42" s="1398"/>
      <c r="J42" s="1399"/>
      <c r="K42" s="2522"/>
      <c r="L42" s="1191"/>
      <c r="M42" s="1191"/>
    </row>
    <row r="43" spans="1:18" ht="18" customHeight="1" thickBot="1">
      <c r="A43" s="334" t="s">
        <v>396</v>
      </c>
      <c r="B43" s="335" t="s">
        <v>776</v>
      </c>
      <c r="C43" s="336">
        <f ca="1">ROUND(C40*10000/F43,0)</f>
        <v>30944</v>
      </c>
      <c r="D43" s="337" t="s">
        <v>777</v>
      </c>
      <c r="E43" s="338" t="s">
        <v>778</v>
      </c>
      <c r="F43" s="339">
        <f ca="1">INDIRECT("'数据-取费表'!k"&amp;$G$1)</f>
        <v>42571.529999999977</v>
      </c>
      <c r="G43" s="1384"/>
      <c r="H43" s="1191"/>
      <c r="I43" s="1191"/>
      <c r="J43" s="1191"/>
      <c r="K43" s="252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82" t="s">
        <v>808</v>
      </c>
      <c r="P45" s="1461"/>
      <c r="Q45" s="1461"/>
      <c r="R45" s="1461"/>
    </row>
    <row r="46" spans="1:18" s="1384" customFormat="1" ht="13.5" thickBot="1">
      <c r="A46" s="1404" t="s">
        <v>809</v>
      </c>
      <c r="C46" s="1405">
        <f ca="1">C68-C40</f>
        <v>-138526</v>
      </c>
      <c r="D46" s="1406" t="str">
        <f>C2</f>
        <v>万元</v>
      </c>
      <c r="E46" s="1400"/>
      <c r="F46" s="1400"/>
      <c r="I46" s="1407" t="s">
        <v>810</v>
      </c>
      <c r="J46" s="1408"/>
      <c r="K46" s="1409"/>
      <c r="L46" s="1410">
        <f ca="1">IF(M47="住宅",0,IF(L48&gt;J51,L60,J60))</f>
        <v>3998</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3423</v>
      </c>
      <c r="K47" s="1416" t="s">
        <v>816</v>
      </c>
      <c r="L47" s="1417">
        <f ca="1">INDIRECT("'数据-取费表'!d"&amp;$G$1)</f>
        <v>40</v>
      </c>
      <c r="M47" s="1380" t="str">
        <f>IF(ISNUMBER(FIND("住宅",C1)),"住宅","非住宅")</f>
        <v>非住宅</v>
      </c>
      <c r="O47" s="1418" t="s">
        <v>403</v>
      </c>
      <c r="P47" s="1419" t="s">
        <v>817</v>
      </c>
      <c r="Q47" s="1420">
        <f ca="1">C40+J29</f>
        <v>131733</v>
      </c>
      <c r="R47" s="1420" t="s">
        <v>818</v>
      </c>
    </row>
    <row r="48" spans="1:18" s="1384" customFormat="1" ht="28.5" thickBot="1">
      <c r="A48" s="1110" t="s">
        <v>438</v>
      </c>
      <c r="B48" s="300" t="s">
        <v>692</v>
      </c>
      <c r="C48" s="1359">
        <f ca="1">C49+C53+C55</f>
        <v>0</v>
      </c>
      <c r="D48" s="1112"/>
      <c r="E48" s="1113"/>
      <c r="F48" s="962"/>
      <c r="G48" s="722"/>
      <c r="H48" s="723"/>
      <c r="I48" s="1421" t="s">
        <v>819</v>
      </c>
      <c r="J48" s="1422" t="s">
        <v>3424</v>
      </c>
      <c r="K48" s="1423" t="s">
        <v>820</v>
      </c>
      <c r="L48" s="1424">
        <f ca="1">INDIRECT("'数据-取费表'!f"&amp;$G$1)</f>
        <v>18.899999999999999</v>
      </c>
      <c r="O48" s="1418" t="s">
        <v>404</v>
      </c>
      <c r="P48" s="1419" t="s">
        <v>821</v>
      </c>
      <c r="Q48" s="1420">
        <f ca="1">J60</f>
        <v>3998</v>
      </c>
      <c r="R48" s="1420" t="s">
        <v>822</v>
      </c>
    </row>
    <row r="49" spans="1:18" s="1384" customFormat="1" ht="13.5" thickBot="1">
      <c r="A49" s="975" t="s">
        <v>439</v>
      </c>
      <c r="B49" s="1371" t="s">
        <v>779</v>
      </c>
      <c r="C49" s="1114">
        <f ca="1">ROUND(F49*F51*F50*(1-F52)/10000,0)</f>
        <v>0</v>
      </c>
      <c r="D49" s="1055" t="s">
        <v>2094</v>
      </c>
      <c r="E49" s="1372" t="s">
        <v>780</v>
      </c>
      <c r="F49" s="1060"/>
      <c r="G49" s="1425"/>
      <c r="H49" s="723"/>
      <c r="I49" s="1421" t="s">
        <v>823</v>
      </c>
      <c r="J49" s="1426">
        <v>2008</v>
      </c>
      <c r="K49" s="1423" t="s">
        <v>824</v>
      </c>
      <c r="L49" s="1427"/>
      <c r="O49" s="1428" t="s">
        <v>405</v>
      </c>
      <c r="P49" s="1419" t="s">
        <v>825</v>
      </c>
      <c r="Q49" s="1420">
        <f ca="1">C29</f>
        <v>36053</v>
      </c>
      <c r="R49" s="1420" t="s">
        <v>818</v>
      </c>
    </row>
    <row r="50" spans="1:18" s="1384" customFormat="1" ht="13.5" thickBot="1">
      <c r="A50" s="976"/>
      <c r="B50" s="979"/>
      <c r="C50" s="1118"/>
      <c r="D50" s="953"/>
      <c r="E50" s="1056" t="s">
        <v>697</v>
      </c>
      <c r="F50" s="1057">
        <f ca="1">F7</f>
        <v>42215.209999999977</v>
      </c>
      <c r="H50" s="723"/>
      <c r="I50" s="1421" t="s">
        <v>826</v>
      </c>
      <c r="J50" s="1429">
        <f>SUMPRODUCT((I63:I65=J47)*(J62:L62=J48)*(J63:L65))</f>
        <v>60</v>
      </c>
      <c r="K50" s="1423" t="s">
        <v>827</v>
      </c>
      <c r="L50" s="1427"/>
      <c r="M50" s="1430"/>
      <c r="O50" s="1428" t="s">
        <v>406</v>
      </c>
      <c r="P50" s="1419" t="s">
        <v>828</v>
      </c>
      <c r="Q50" s="1431">
        <f ca="1">J58</f>
        <v>0.435</v>
      </c>
      <c r="R50" s="1420"/>
    </row>
    <row r="51" spans="1:18" s="1384" customFormat="1" ht="13.5" thickBot="1">
      <c r="A51" s="977"/>
      <c r="B51" s="979"/>
      <c r="C51" s="980"/>
      <c r="D51" s="953"/>
      <c r="E51" s="981" t="s">
        <v>698</v>
      </c>
      <c r="F51" s="303">
        <f ca="1">F8</f>
        <v>365</v>
      </c>
      <c r="I51" s="1432" t="s">
        <v>829</v>
      </c>
      <c r="J51" s="1433">
        <f>IF(J49="",J50,J49+J50-YEAR('数据-取费表'!B2))</f>
        <v>45</v>
      </c>
      <c r="K51" s="1434" t="s">
        <v>830</v>
      </c>
      <c r="L51" s="1435">
        <f ca="1">ROUND(-PV(INDIRECT("'数据-取费表'!h"&amp;$G$1),J51,(C39-C13*C76),0),0)</f>
        <v>129002</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18.899999999999999</v>
      </c>
      <c r="R52" s="1420" t="s">
        <v>835</v>
      </c>
    </row>
    <row r="53" spans="1:18" s="1384" customFormat="1" ht="24.75" thickBot="1">
      <c r="A53" s="1152" t="s">
        <v>440</v>
      </c>
      <c r="B53" s="1373" t="s">
        <v>700</v>
      </c>
      <c r="C53" s="316">
        <f ca="1">ROUND(IF(F53="押一",C49/12*F11,IF(F53="押二",C49/12*2*F11,IF(F53="押三",C49/12*3*F11,C54*F11))),0)</f>
        <v>0</v>
      </c>
      <c r="D53" s="1366" t="s">
        <v>2100</v>
      </c>
      <c r="E53" s="313" t="s">
        <v>701</v>
      </c>
      <c r="F53" s="1116"/>
      <c r="I53" s="1439" t="s">
        <v>836</v>
      </c>
      <c r="J53" s="2168">
        <f ca="1">IF(M47="住宅",IF(D1="——",MAX(J51,L48),MAX(J51,L48-'数据-取费表'!B24)),IF(D1="——",MIN(J51,L48),MIN(J51,L48-'数据-取费表'!B24)))</f>
        <v>18.899999999999999</v>
      </c>
      <c r="K53" s="3883" t="s">
        <v>837</v>
      </c>
      <c r="L53" s="3884"/>
      <c r="O53" s="1418" t="s">
        <v>409</v>
      </c>
      <c r="P53" s="1419" t="s">
        <v>838</v>
      </c>
      <c r="Q53" s="1420">
        <f ca="1">Q47+Q48</f>
        <v>135731</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0.435</v>
      </c>
      <c r="K55" s="1445" t="s">
        <v>841</v>
      </c>
      <c r="L55" s="1446"/>
      <c r="O55" s="1411" t="s">
        <v>811</v>
      </c>
      <c r="P55" s="1412" t="s">
        <v>812</v>
      </c>
      <c r="Q55" s="1413" t="s">
        <v>813</v>
      </c>
      <c r="R55" s="1413" t="s">
        <v>814</v>
      </c>
    </row>
    <row r="56" spans="1:18" s="1384" customFormat="1" ht="25.5" thickTop="1" thickBot="1">
      <c r="A56" s="957">
        <v>2</v>
      </c>
      <c r="B56" s="958" t="s">
        <v>704</v>
      </c>
      <c r="C56" s="232">
        <f ca="1">C13</f>
        <v>30645</v>
      </c>
      <c r="D56" s="1447"/>
      <c r="E56" s="1448"/>
      <c r="F56" s="1440"/>
      <c r="I56" s="1449" t="s">
        <v>842</v>
      </c>
      <c r="J56" s="1450" t="s">
        <v>3425</v>
      </c>
      <c r="K56" s="1421" t="s">
        <v>843</v>
      </c>
      <c r="L56" s="1424" t="str">
        <f ca="1">IF(L48&lt;J51,"——",L48-J53)</f>
        <v>——</v>
      </c>
      <c r="O56" s="1418" t="s">
        <v>403</v>
      </c>
      <c r="P56" s="1419" t="s">
        <v>817</v>
      </c>
      <c r="Q56" s="1420">
        <f ca="1">C40+J29</f>
        <v>131733</v>
      </c>
      <c r="R56" s="1420" t="s">
        <v>818</v>
      </c>
    </row>
    <row r="57" spans="1:18" s="1384" customFormat="1" ht="24.75" thickBot="1">
      <c r="A57" s="1451"/>
      <c r="B57" s="950" t="s">
        <v>767</v>
      </c>
      <c r="C57" s="238">
        <f ca="1">C29</f>
        <v>36053</v>
      </c>
      <c r="D57" s="1452"/>
      <c r="E57" s="1453"/>
      <c r="F57" s="1454"/>
      <c r="I57" s="1455" t="s">
        <v>844</v>
      </c>
      <c r="J57" s="1456">
        <f ca="1">IF(OR(M47="住宅",J51&lt;L48,J56="是"),"——",J51-L48)</f>
        <v>26.1</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587</v>
      </c>
      <c r="D58" s="960" t="s">
        <v>715</v>
      </c>
      <c r="E58" s="961"/>
      <c r="F58" s="962"/>
      <c r="I58" s="1455" t="s">
        <v>848</v>
      </c>
      <c r="J58" s="1457">
        <f ca="1">IF(J55&lt;0.4,0.4,J55)</f>
        <v>0.435</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15683</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3998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3320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12</v>
      </c>
      <c r="I62" s="1462" t="s">
        <v>858</v>
      </c>
      <c r="J62" s="1463" t="s">
        <v>859</v>
      </c>
      <c r="K62" s="1463" t="s">
        <v>860</v>
      </c>
      <c r="L62" s="1463" t="s">
        <v>861</v>
      </c>
      <c r="M62" s="1464" t="s">
        <v>862</v>
      </c>
      <c r="O62" s="1418" t="s">
        <v>409</v>
      </c>
      <c r="P62" s="1419" t="s">
        <v>863</v>
      </c>
      <c r="Q62" s="1420">
        <f ca="1">Q56+Q57</f>
        <v>131733</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540.79999999999995</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45.97</v>
      </c>
      <c r="D65" s="964" t="s">
        <v>743</v>
      </c>
      <c r="E65" s="950" t="s">
        <v>744</v>
      </c>
      <c r="F65" s="330">
        <f t="shared" ca="1" si="0"/>
        <v>1.5E-3</v>
      </c>
      <c r="I65" s="1462" t="s">
        <v>867</v>
      </c>
      <c r="J65" s="1463">
        <v>40</v>
      </c>
      <c r="K65" s="1463">
        <v>30</v>
      </c>
      <c r="L65" s="1463">
        <v>50</v>
      </c>
      <c r="M65" s="1465">
        <v>0.02</v>
      </c>
      <c r="O65" s="1418" t="s">
        <v>403</v>
      </c>
      <c r="P65" s="1419" t="s">
        <v>868</v>
      </c>
      <c r="Q65" s="1420">
        <f ca="1">C40+J29</f>
        <v>131733</v>
      </c>
      <c r="R65" s="1420" t="s">
        <v>818</v>
      </c>
    </row>
    <row r="66" spans="1:18" s="1384" customFormat="1" ht="16.5" thickBot="1">
      <c r="A66" s="982" t="s">
        <v>793</v>
      </c>
      <c r="B66" s="950" t="s">
        <v>728</v>
      </c>
      <c r="C66" s="21">
        <f ca="1">ROUND(C48*F66,2)</f>
        <v>0</v>
      </c>
      <c r="D66" s="964" t="s">
        <v>794</v>
      </c>
      <c r="E66" s="950" t="s">
        <v>712</v>
      </c>
      <c r="F66" s="312">
        <f t="shared" ca="1" si="0"/>
        <v>1.4999999999999999E-2</v>
      </c>
      <c r="O66" s="1418" t="s">
        <v>404</v>
      </c>
      <c r="P66" s="1419" t="s">
        <v>846</v>
      </c>
      <c r="Q66" s="1420">
        <f ca="1">L60</f>
        <v>0</v>
      </c>
      <c r="R66" s="1420" t="s">
        <v>869</v>
      </c>
    </row>
    <row r="67" spans="1:18" s="1384" customFormat="1" ht="16.5" thickBot="1">
      <c r="A67" s="957" t="s">
        <v>394</v>
      </c>
      <c r="B67" s="967" t="s">
        <v>752</v>
      </c>
      <c r="C67" s="316">
        <f ca="1">C48-C58</f>
        <v>-587</v>
      </c>
      <c r="D67" s="963" t="s">
        <v>753</v>
      </c>
      <c r="E67" s="968"/>
      <c r="F67" s="969"/>
      <c r="O67" s="1428" t="s">
        <v>405</v>
      </c>
      <c r="P67" s="1419" t="s">
        <v>850</v>
      </c>
      <c r="Q67" s="1466">
        <f ca="1">L51</f>
        <v>129002</v>
      </c>
      <c r="R67" s="1420" t="s">
        <v>870</v>
      </c>
    </row>
    <row r="68" spans="1:18" s="1384" customFormat="1" ht="16.5" thickBot="1">
      <c r="A68" s="947" t="s">
        <v>395</v>
      </c>
      <c r="B68" s="948" t="s">
        <v>774</v>
      </c>
      <c r="C68" s="301">
        <f ca="1">ROUND(C67*(1-((1+F70)/(1+F68))^F69)/(F68-F70),0)</f>
        <v>-6793</v>
      </c>
      <c r="D68" s="965" t="s">
        <v>758</v>
      </c>
      <c r="E68" s="950" t="s">
        <v>759</v>
      </c>
      <c r="F68" s="312">
        <f ca="1">F40</f>
        <v>5.5E-2</v>
      </c>
      <c r="O68" s="1428" t="s">
        <v>406</v>
      </c>
      <c r="P68" s="1467" t="s">
        <v>871</v>
      </c>
      <c r="Q68" s="1420">
        <f ca="1">ROUND(Q69-Q70*Q71,0)</f>
        <v>7258</v>
      </c>
      <c r="R68" s="1420" t="s">
        <v>414</v>
      </c>
    </row>
    <row r="69" spans="1:18" s="1384" customFormat="1" ht="13.5" thickBot="1">
      <c r="A69" s="951"/>
      <c r="B69" s="952"/>
      <c r="C69" s="306"/>
      <c r="D69" s="970" t="s">
        <v>762</v>
      </c>
      <c r="E69" s="950" t="s">
        <v>763</v>
      </c>
      <c r="F69" s="333">
        <f ca="1">F41</f>
        <v>18.899999999999999</v>
      </c>
      <c r="O69" s="1428" t="s">
        <v>411</v>
      </c>
      <c r="P69" s="1467" t="s">
        <v>872</v>
      </c>
      <c r="Q69" s="1420">
        <f ca="1">C39</f>
        <v>9403</v>
      </c>
      <c r="R69" s="1420" t="s">
        <v>818</v>
      </c>
    </row>
    <row r="70" spans="1:18" s="1384" customFormat="1" ht="13.5" thickBot="1">
      <c r="A70" s="954"/>
      <c r="B70" s="955"/>
      <c r="C70" s="310"/>
      <c r="D70" s="966"/>
      <c r="E70" s="950" t="s">
        <v>766</v>
      </c>
      <c r="F70" s="1054"/>
      <c r="O70" s="1428" t="s">
        <v>412</v>
      </c>
      <c r="P70" s="1467" t="s">
        <v>873</v>
      </c>
      <c r="Q70" s="1420">
        <f ca="1">C13</f>
        <v>30645</v>
      </c>
      <c r="R70" s="1420" t="s">
        <v>818</v>
      </c>
    </row>
    <row r="71" spans="1:18" s="1384" customFormat="1" ht="13.5" thickBot="1">
      <c r="A71" s="971" t="s">
        <v>396</v>
      </c>
      <c r="B71" s="972" t="s">
        <v>776</v>
      </c>
      <c r="C71" s="336">
        <f ca="1">ROUND(C68*10000/F71,0)</f>
        <v>-1596</v>
      </c>
      <c r="D71" s="973" t="s">
        <v>777</v>
      </c>
      <c r="E71" s="974" t="s">
        <v>778</v>
      </c>
      <c r="F71" s="339">
        <f ca="1">F43</f>
        <v>42571.529999999977</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2145</v>
      </c>
      <c r="D75" s="1384"/>
      <c r="E75" s="1384"/>
      <c r="F75" s="1384"/>
      <c r="K75" s="1402"/>
      <c r="L75" s="1384"/>
      <c r="O75" s="1418" t="s">
        <v>409</v>
      </c>
      <c r="P75" s="1419" t="s">
        <v>838</v>
      </c>
      <c r="Q75" s="1420">
        <f ca="1">Q65+Q66</f>
        <v>131733</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0.77200000000000002</v>
      </c>
    </row>
    <row r="80" spans="1:18">
      <c r="B80" s="340" t="s">
        <v>800</v>
      </c>
      <c r="C80" s="274">
        <f ca="1">ROUND(C75/C39,3)</f>
        <v>0.22800000000000001</v>
      </c>
    </row>
    <row r="81" spans="2:3">
      <c r="B81" s="270" t="s">
        <v>801</v>
      </c>
      <c r="C81" s="238"/>
    </row>
    <row r="82" spans="2:3">
      <c r="B82" s="273" t="s">
        <v>802</v>
      </c>
      <c r="C82" s="275">
        <f ca="1">1-C83</f>
        <v>0.76700000000000002</v>
      </c>
    </row>
    <row r="83" spans="2:3">
      <c r="B83" s="273" t="s">
        <v>803</v>
      </c>
      <c r="C83" s="274">
        <f ca="1">ROUND(C13/C40,3)</f>
        <v>0.23300000000000001</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33" priority="56">
      <formula>$L$48&gt;$J$51</formula>
    </cfRule>
  </conditionalFormatting>
  <conditionalFormatting sqref="I55 I60">
    <cfRule type="expression" dxfId="32" priority="57">
      <formula>$J$51&gt;$L$48</formula>
    </cfRule>
  </conditionalFormatting>
  <conditionalFormatting sqref="C11">
    <cfRule type="expression" dxfId="31" priority="3">
      <formula>$F$10="自定义"</formula>
    </cfRule>
  </conditionalFormatting>
  <conditionalFormatting sqref="J11">
    <cfRule type="expression" dxfId="30" priority="2">
      <formula>$M$10="自定义"</formula>
    </cfRule>
  </conditionalFormatting>
  <conditionalFormatting sqref="C54">
    <cfRule type="expression" dxfId="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H26" sqref="H2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3317</v>
      </c>
      <c r="D1" s="1362" t="s">
        <v>43</v>
      </c>
      <c r="E1" s="1363" t="s">
        <v>678</v>
      </c>
      <c r="F1" s="1062">
        <f ca="1">J53</f>
        <v>28.91</v>
      </c>
      <c r="G1" s="1378">
        <f>MATCH(C1,'数据-取费表'!A6:A16,0)+5</f>
        <v>7</v>
      </c>
      <c r="H1" s="2669"/>
      <c r="I1" s="2670"/>
      <c r="J1" s="2670"/>
      <c r="K1" s="2671"/>
      <c r="L1" s="2670"/>
      <c r="M1" s="267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3187</v>
      </c>
      <c r="C2" s="1387" t="s">
        <v>805</v>
      </c>
      <c r="D2" s="1387"/>
      <c r="E2" s="1388"/>
      <c r="F2" s="1389"/>
      <c r="G2" s="2683"/>
      <c r="H2" s="2672"/>
      <c r="I2" s="2672"/>
      <c r="J2" s="2672"/>
      <c r="K2" s="2673"/>
      <c r="L2" s="2672"/>
      <c r="M2" s="2672"/>
    </row>
    <row r="3" spans="1:37" ht="18" customHeight="1" thickBot="1">
      <c r="A3" s="1390" t="s">
        <v>806</v>
      </c>
      <c r="B3" s="1391">
        <f ca="1">IF(ISERROR(B2*10000/F43),0,ROUND(B2*10000/F43,0))</f>
        <v>5183</v>
      </c>
      <c r="C3" s="1387" t="s">
        <v>807</v>
      </c>
      <c r="D3" s="1387"/>
      <c r="E3" s="1388"/>
      <c r="F3" s="1389"/>
      <c r="G3" s="2683"/>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208</v>
      </c>
      <c r="D5" s="1364" t="s">
        <v>693</v>
      </c>
      <c r="E5" s="1071"/>
      <c r="F5" s="1072"/>
      <c r="G5" s="1384"/>
      <c r="H5" s="299">
        <v>1</v>
      </c>
      <c r="I5" s="300" t="s">
        <v>692</v>
      </c>
      <c r="J5" s="1070">
        <f ca="1">J6+J10+J12</f>
        <v>0</v>
      </c>
      <c r="K5" s="1364" t="s">
        <v>693</v>
      </c>
      <c r="L5" s="1071"/>
      <c r="M5" s="1072"/>
    </row>
    <row r="6" spans="1:37" ht="18" customHeight="1">
      <c r="A6" s="1069" t="s">
        <v>398</v>
      </c>
      <c r="B6" s="3880" t="s">
        <v>694</v>
      </c>
      <c r="C6" s="1074">
        <f ca="1">ROUND(F6*F8*F7*(1-F9)/10000,0)</f>
        <v>208</v>
      </c>
      <c r="D6" s="155" t="s">
        <v>2093</v>
      </c>
      <c r="E6" s="302" t="s">
        <v>696</v>
      </c>
      <c r="F6" s="303">
        <f ca="1">INDIRECT("'数据-取费表'!u"&amp;$G$1)</f>
        <v>1000</v>
      </c>
      <c r="G6" s="1384"/>
      <c r="H6" s="1069" t="s">
        <v>398</v>
      </c>
      <c r="I6" s="3880" t="s">
        <v>694</v>
      </c>
      <c r="J6" s="301">
        <f ca="1">ROUND(M6*M8*M7*(1-M9)/10000,0)</f>
        <v>0</v>
      </c>
      <c r="K6" s="155" t="s">
        <v>2092</v>
      </c>
      <c r="L6" s="302" t="s">
        <v>696</v>
      </c>
      <c r="M6" s="303">
        <f ca="1">INDIRECT("'数据-取费表'!z"&amp;$G$1)</f>
        <v>0</v>
      </c>
    </row>
    <row r="7" spans="1:37" ht="18" customHeight="1">
      <c r="A7" s="1073"/>
      <c r="B7" s="3881"/>
      <c r="C7" s="1075"/>
      <c r="D7" s="307"/>
      <c r="E7" s="3429" t="s">
        <v>697</v>
      </c>
      <c r="F7" s="303">
        <f ca="1">IF(INDIRECT("'数据-取费表'!ah"&amp;$G$1)="",INDIRECT("'数据-取费表'!k"&amp;$G$1),INDIRECT("'数据-取费表'!ah"&amp;$G$1))</f>
        <v>193</v>
      </c>
      <c r="G7" s="1384"/>
      <c r="H7" s="304"/>
      <c r="I7" s="3881"/>
      <c r="J7" s="306"/>
      <c r="K7" s="307"/>
      <c r="L7" s="302" t="s">
        <v>697</v>
      </c>
      <c r="M7" s="303">
        <f ca="1">F7</f>
        <v>193</v>
      </c>
    </row>
    <row r="8" spans="1:37" ht="18" customHeight="1">
      <c r="A8" s="304"/>
      <c r="B8" s="3881"/>
      <c r="C8" s="306"/>
      <c r="D8" s="307"/>
      <c r="E8" s="302" t="s">
        <v>698</v>
      </c>
      <c r="F8" s="303">
        <f ca="1">INDIRECT("'数据-取费表'!ai"&amp;$G$1)</f>
        <v>12</v>
      </c>
      <c r="G8" s="1384"/>
      <c r="H8" s="304"/>
      <c r="I8" s="3881"/>
      <c r="J8" s="306"/>
      <c r="K8" s="307"/>
      <c r="L8" s="302" t="s">
        <v>698</v>
      </c>
      <c r="M8" s="303">
        <f ca="1">INDIRECT("'数据-取费表'!ai"&amp;$G$1)</f>
        <v>12</v>
      </c>
    </row>
    <row r="9" spans="1:37" ht="18" customHeight="1">
      <c r="A9" s="304"/>
      <c r="B9" s="3882"/>
      <c r="C9" s="306"/>
      <c r="D9" s="307"/>
      <c r="E9" s="302" t="s">
        <v>699</v>
      </c>
      <c r="F9" s="312">
        <f ca="1">INDIRECT("'数据-取费表'!w"&amp;$G$1)</f>
        <v>0.1</v>
      </c>
      <c r="G9" s="1384"/>
      <c r="H9" s="304"/>
      <c r="I9" s="388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2101</v>
      </c>
      <c r="E10" s="313" t="s">
        <v>701</v>
      </c>
      <c r="F10" s="1116" t="s">
        <v>3426</v>
      </c>
      <c r="G10" s="1384"/>
      <c r="H10" s="1069" t="s">
        <v>402</v>
      </c>
      <c r="I10" s="1365" t="s">
        <v>700</v>
      </c>
      <c r="J10" s="301">
        <f ca="1">ROUND(IF(M10="押一",J6/12*M11,IF(M10="押二",J6/12*2*M11,IF(M10="押三",J6/12*3*M11,J11*M11))),0)</f>
        <v>0</v>
      </c>
      <c r="K10" s="1366" t="s">
        <v>2100</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3391</v>
      </c>
      <c r="D13" s="3426" t="s">
        <v>705</v>
      </c>
      <c r="E13" s="3426" t="s">
        <v>706</v>
      </c>
      <c r="F13" s="1082">
        <f ca="1">INDIRECT("'数据-取费表'!y"&amp;$G$1)</f>
        <v>0.85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3075</v>
      </c>
      <c r="D14" s="3432" t="s">
        <v>708</v>
      </c>
      <c r="E14" s="3431"/>
      <c r="F14" s="319"/>
      <c r="G14" s="1384"/>
      <c r="H14" s="982" t="s">
        <v>398</v>
      </c>
      <c r="I14" s="302" t="s">
        <v>709</v>
      </c>
      <c r="J14" s="21">
        <f ca="1">C29</f>
        <v>3989</v>
      </c>
      <c r="K14" s="3428"/>
      <c r="L14" s="807"/>
      <c r="M14" s="808"/>
    </row>
    <row r="15" spans="1:37" s="1397" customFormat="1" ht="18" customHeight="1" thickBot="1">
      <c r="A15" s="982" t="s">
        <v>399</v>
      </c>
      <c r="B15" s="302" t="s">
        <v>710</v>
      </c>
      <c r="C15" s="21">
        <f ca="1">ROUND(C14*F15,0)</f>
        <v>92</v>
      </c>
      <c r="D15" s="3427" t="s">
        <v>711</v>
      </c>
      <c r="E15" s="3427"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20</v>
      </c>
      <c r="K16" s="1087" t="s">
        <v>715</v>
      </c>
      <c r="L16" s="3434"/>
      <c r="M16" s="1072"/>
    </row>
    <row r="17" spans="1:37" s="1397" customFormat="1" ht="18" customHeight="1">
      <c r="A17" s="982" t="s">
        <v>681</v>
      </c>
      <c r="B17" s="302" t="s">
        <v>716</v>
      </c>
      <c r="C17" s="21">
        <f ca="1">ROUND(F17*(F43+INDIRECT("'数据-取费表'!S"&amp;$G$1))/10000,0)</f>
        <v>123</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3432" t="s">
        <v>720</v>
      </c>
      <c r="L17" s="3433"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46</v>
      </c>
      <c r="D18" s="302" t="s">
        <v>711</v>
      </c>
      <c r="E18" s="302" t="s">
        <v>712</v>
      </c>
      <c r="F18" s="322">
        <f>'数据-取费表'!B36</f>
        <v>1.4999999999999999E-2</v>
      </c>
      <c r="G18" s="1396"/>
      <c r="H18" s="982" t="s">
        <v>397</v>
      </c>
      <c r="I18" s="302" t="s">
        <v>723</v>
      </c>
      <c r="J18" s="21">
        <f ca="1">ROUND(J6*M18/(1+'数据-取费表'!C42),2)</f>
        <v>0</v>
      </c>
      <c r="K18" s="3433"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3336</v>
      </c>
      <c r="D19" s="131" t="s">
        <v>726</v>
      </c>
      <c r="E19" s="3436"/>
      <c r="F19" s="23"/>
      <c r="G19" s="1384"/>
      <c r="H19" s="982" t="s">
        <v>399</v>
      </c>
      <c r="I19" s="302" t="s">
        <v>727</v>
      </c>
      <c r="J19" s="21">
        <f ca="1">IF(K19="按租金收入计税",ROUND(J6*M19/(1+'数据-取费表'!C42),2),ROUND(C29*M19*0.7,2))</f>
        <v>0</v>
      </c>
      <c r="K19" s="1370" t="s">
        <v>3320</v>
      </c>
      <c r="L19" s="302" t="s">
        <v>712</v>
      </c>
      <c r="M19" s="322">
        <f>IF(K19="按租金收入计税",'数据-取费表'!B51,'数据-取费表'!B50)</f>
        <v>0.12</v>
      </c>
    </row>
    <row r="20" spans="1:37" s="1397" customFormat="1" ht="18" customHeight="1">
      <c r="A20" s="982" t="s">
        <v>402</v>
      </c>
      <c r="B20" s="302" t="s">
        <v>728</v>
      </c>
      <c r="C20" s="21">
        <f ca="1">ROUND(C19*F20,0)</f>
        <v>67</v>
      </c>
      <c r="D20" s="2427" t="s">
        <v>729</v>
      </c>
      <c r="E20" s="302" t="s">
        <v>712</v>
      </c>
      <c r="F20" s="322">
        <f>'数据-取费表'!B37</f>
        <v>0.02</v>
      </c>
      <c r="G20" s="1396"/>
      <c r="H20" s="982" t="s">
        <v>680</v>
      </c>
      <c r="I20" s="155" t="s">
        <v>730</v>
      </c>
      <c r="J20" s="22">
        <f ca="1">ROUND(M20*M21/10000,2)</f>
        <v>0</v>
      </c>
      <c r="K20" s="324" t="s">
        <v>731</v>
      </c>
      <c r="L20" s="302" t="s">
        <v>732</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7"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36"/>
      <c r="F22" s="23"/>
      <c r="G22" s="1384"/>
      <c r="H22" s="982" t="s">
        <v>402</v>
      </c>
      <c r="I22" s="302" t="s">
        <v>738</v>
      </c>
      <c r="J22" s="21">
        <f ca="1">ROUND(J14*M22,2)</f>
        <v>19.95</v>
      </c>
      <c r="K22" s="3433"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117</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3433"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683</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36"/>
      <c r="F25" s="23"/>
      <c r="G25" s="1384"/>
      <c r="H25" s="1079" t="s">
        <v>394</v>
      </c>
      <c r="I25" s="1094" t="s">
        <v>752</v>
      </c>
      <c r="J25" s="310">
        <f ca="1">J5-J16</f>
        <v>-20</v>
      </c>
      <c r="K25" s="1095" t="s">
        <v>753</v>
      </c>
      <c r="L25" s="1096"/>
      <c r="M25" s="1097"/>
    </row>
    <row r="26" spans="1:37">
      <c r="A26" s="982" t="s">
        <v>397</v>
      </c>
      <c r="B26" s="302" t="s">
        <v>754</v>
      </c>
      <c r="C26" s="21">
        <f ca="1">ROUND((C19+C20)*F26,0)</f>
        <v>170</v>
      </c>
      <c r="D26" s="2427"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1E-3</v>
      </c>
      <c r="D27" s="2427" t="s">
        <v>761</v>
      </c>
      <c r="E27" s="3427"/>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2427"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3989</v>
      </c>
      <c r="D29" s="1092"/>
      <c r="E29" s="1090"/>
      <c r="F29" s="1093"/>
      <c r="G29" s="1396"/>
      <c r="H29" s="334" t="s">
        <v>396</v>
      </c>
      <c r="I29" s="335" t="s">
        <v>768</v>
      </c>
      <c r="J29" s="336">
        <f ca="1">ROUND(J26/(1+F40)^F41,0)</f>
        <v>0</v>
      </c>
      <c r="K29" s="337" t="s">
        <v>769</v>
      </c>
      <c r="L29" s="338"/>
      <c r="M29" s="339">
        <f ca="1">INDIRECT("'数据-取费表'!k"&amp;$G$1)</f>
        <v>6149.2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59</v>
      </c>
      <c r="D30" s="1087" t="s">
        <v>715</v>
      </c>
      <c r="E30" s="3434"/>
      <c r="F30" s="1072"/>
      <c r="G30" s="1384"/>
      <c r="H30" s="2674"/>
      <c r="I30" s="1398"/>
      <c r="J30" s="1399"/>
      <c r="K30" s="2472"/>
      <c r="L30" s="2675"/>
      <c r="M30" s="2676"/>
    </row>
    <row r="31" spans="1:37" ht="18" customHeight="1">
      <c r="A31" s="982" t="s">
        <v>398</v>
      </c>
      <c r="B31" s="302" t="s">
        <v>719</v>
      </c>
      <c r="C31" s="2316">
        <f ca="1">ROUND(IF(AND(项目基本情况!B11="自然人",项目基本情况!B10="北京市"),C6*F31/(1+'数据-取费表'!C42),C32+C33+C34),2)</f>
        <v>34.86</v>
      </c>
      <c r="D31" s="3432" t="s">
        <v>720</v>
      </c>
      <c r="E31" s="3433" t="s">
        <v>770</v>
      </c>
      <c r="F31" s="2315" t="str">
        <f>IF(项目基本情况!B11="企业","——",IF(M47="住宅",IF(F6*F7*F8/12/(1+'数据-取费表'!F30)&gt;100000,4%,2.5%),IF(F6*F7*F8/12/(1+'数据-取费表'!F30)&gt;100000,12%,7%)))</f>
        <v>——</v>
      </c>
      <c r="G31" s="1384"/>
      <c r="H31" s="2785" t="s">
        <v>2290</v>
      </c>
      <c r="I31" s="1398"/>
      <c r="J31" s="1399"/>
      <c r="K31" s="2472"/>
      <c r="L31" s="2675"/>
      <c r="M31" s="2676"/>
    </row>
    <row r="32" spans="1:37" ht="18" customHeight="1">
      <c r="A32" s="982" t="s">
        <v>397</v>
      </c>
      <c r="B32" s="302" t="s">
        <v>723</v>
      </c>
      <c r="C32" s="21">
        <f ca="1">IF(项目基本情况!B11="自然人","——",ROUND(C6*F32/(1+'数据-取费表'!C42),2))</f>
        <v>11.09</v>
      </c>
      <c r="D32" s="3433" t="s">
        <v>724</v>
      </c>
      <c r="E32" s="302" t="s">
        <v>712</v>
      </c>
      <c r="F32" s="331">
        <f>'数据-取费表'!B41</f>
        <v>5.6000000000000001E-2</v>
      </c>
      <c r="G32" s="1384"/>
      <c r="H32" s="2674"/>
      <c r="I32" s="1398"/>
      <c r="J32" s="1399"/>
      <c r="K32" s="2472"/>
      <c r="L32" s="2675"/>
      <c r="M32" s="2676"/>
    </row>
    <row r="33" spans="1:18" ht="18" customHeight="1">
      <c r="A33" s="982" t="s">
        <v>399</v>
      </c>
      <c r="B33" s="302" t="s">
        <v>727</v>
      </c>
      <c r="C33" s="21">
        <f ca="1">IF(项目基本情况!B11="自然人","——",IF(D33="按租金收入计税",ROUND(C6*F33/(1+'数据-取费表'!C42),2),IF(D33="按房产原值计税",ROUND(C29*F33*0.7,2),INDIRECT("'数据-取费表'!Aj"&amp;$G$1))))</f>
        <v>23.77</v>
      </c>
      <c r="D33" s="1370" t="s">
        <v>3320</v>
      </c>
      <c r="E33" s="302" t="s">
        <v>712</v>
      </c>
      <c r="F33" s="322">
        <f>IF(D33="按票据","——",IF(D33="按租金收入计税",'数据-取费表'!B51,'数据-取费表'!B50))</f>
        <v>0.12</v>
      </c>
      <c r="G33" s="1384"/>
      <c r="H33" s="2677"/>
      <c r="I33" s="1398"/>
      <c r="J33" s="1399"/>
      <c r="K33" s="2678"/>
      <c r="L33" s="2677"/>
      <c r="M33" s="2677"/>
    </row>
    <row r="34" spans="1:18" ht="18" customHeight="1">
      <c r="A34" s="1069" t="s">
        <v>680</v>
      </c>
      <c r="B34" s="155" t="s">
        <v>730</v>
      </c>
      <c r="C34" s="22">
        <f ca="1">IF(项目基本情况!B11="自然人","——",ROUND(F34*F35/10000,2))</f>
        <v>0</v>
      </c>
      <c r="D34" s="324" t="s">
        <v>731</v>
      </c>
      <c r="E34" s="302" t="s">
        <v>732</v>
      </c>
      <c r="F34" s="325">
        <f>'数据-取费表'!B52</f>
        <v>12</v>
      </c>
      <c r="G34" s="1384"/>
      <c r="H34" s="2674"/>
      <c r="I34" s="1398">
        <f ca="1">B2/F7</f>
        <v>16.512953367875646</v>
      </c>
      <c r="J34" s="1399"/>
      <c r="K34" s="2679"/>
      <c r="L34" s="2680"/>
      <c r="M34" s="2680"/>
    </row>
    <row r="35" spans="1:18" ht="18" customHeight="1">
      <c r="A35" s="1103"/>
      <c r="B35" s="1101"/>
      <c r="C35" s="26"/>
      <c r="D35" s="327"/>
      <c r="E35" s="302" t="s">
        <v>736</v>
      </c>
      <c r="F35" s="303">
        <f ca="1">INDIRECT("'数据-取费表'!r"&amp;$G$1)</f>
        <v>0</v>
      </c>
      <c r="G35" s="1384"/>
      <c r="H35" s="2674"/>
      <c r="I35" s="1398"/>
      <c r="J35" s="1399"/>
      <c r="K35" s="2678"/>
      <c r="L35" s="2677"/>
      <c r="M35" s="2677"/>
    </row>
    <row r="36" spans="1:18" ht="18" customHeight="1">
      <c r="A36" s="1102" t="s">
        <v>402</v>
      </c>
      <c r="B36" s="302" t="s">
        <v>738</v>
      </c>
      <c r="C36" s="21">
        <f ca="1">ROUND(C29*F36,2)</f>
        <v>19.95</v>
      </c>
      <c r="D36" s="3433" t="s">
        <v>771</v>
      </c>
      <c r="E36" s="302" t="s">
        <v>712</v>
      </c>
      <c r="F36" s="328">
        <f ca="1">INDIRECT("'数据-取费表'!Ak"&amp;$G$1)</f>
        <v>5.0000000000000001E-3</v>
      </c>
      <c r="G36" s="1384"/>
      <c r="H36" s="2677"/>
      <c r="I36" s="1398"/>
      <c r="J36" s="1399"/>
      <c r="K36" s="2522"/>
      <c r="L36" s="2677"/>
      <c r="M36" s="2677"/>
    </row>
    <row r="37" spans="1:18" ht="18" customHeight="1">
      <c r="A37" s="982" t="s">
        <v>437</v>
      </c>
      <c r="B37" s="302" t="s">
        <v>742</v>
      </c>
      <c r="C37" s="21">
        <f ca="1">ROUND(C13*F37,2)</f>
        <v>3.39</v>
      </c>
      <c r="D37" s="3433" t="s">
        <v>743</v>
      </c>
      <c r="E37" s="302" t="s">
        <v>744</v>
      </c>
      <c r="F37" s="330">
        <f ca="1">INDIRECT("'数据-取费表'!Al"&amp;$G$1)</f>
        <v>1E-3</v>
      </c>
      <c r="G37" s="1384"/>
      <c r="H37" s="2677"/>
      <c r="I37" s="1398"/>
      <c r="J37" s="1399"/>
      <c r="K37" s="2522"/>
      <c r="L37" s="2677"/>
      <c r="M37" s="2677"/>
    </row>
    <row r="38" spans="1:18" ht="18" customHeight="1" thickBot="1">
      <c r="A38" s="1089" t="s">
        <v>683</v>
      </c>
      <c r="B38" s="1090" t="s">
        <v>728</v>
      </c>
      <c r="C38" s="1091">
        <f ca="1">ROUND(C5*F38,2)</f>
        <v>1.04</v>
      </c>
      <c r="D38" s="1092" t="s">
        <v>748</v>
      </c>
      <c r="E38" s="1090" t="s">
        <v>744</v>
      </c>
      <c r="F38" s="1086">
        <f ca="1">INDIRECT("'数据-取费表'!Am"&amp;$G$1)</f>
        <v>5.0000000000000001E-3</v>
      </c>
      <c r="G38" s="1384"/>
      <c r="H38" s="2677"/>
      <c r="I38" s="1398"/>
      <c r="J38" s="1399"/>
      <c r="K38" s="2681"/>
      <c r="L38" s="2677"/>
      <c r="M38" s="2677"/>
    </row>
    <row r="39" spans="1:18" ht="24.6" customHeight="1" thickTop="1">
      <c r="A39" s="1079" t="s">
        <v>394</v>
      </c>
      <c r="B39" s="1094" t="s">
        <v>772</v>
      </c>
      <c r="C39" s="310">
        <f ca="1">C5-C30</f>
        <v>149</v>
      </c>
      <c r="D39" s="1095" t="s">
        <v>773</v>
      </c>
      <c r="E39" s="1096"/>
      <c r="F39" s="1097"/>
      <c r="G39" s="1384"/>
      <c r="H39" s="2677"/>
      <c r="I39" s="1398"/>
      <c r="J39" s="1399"/>
      <c r="K39" s="2681"/>
      <c r="L39" s="2677"/>
      <c r="M39" s="2677"/>
    </row>
    <row r="40" spans="1:18" ht="18" customHeight="1">
      <c r="A40" s="299" t="s">
        <v>395</v>
      </c>
      <c r="B40" s="300" t="s">
        <v>774</v>
      </c>
      <c r="C40" s="301">
        <f ca="1">ROUND(C39*(1-((1+F42)/(1+F40))^F41)/(F40-F42),0)</f>
        <v>2990</v>
      </c>
      <c r="D40" s="324" t="s">
        <v>758</v>
      </c>
      <c r="E40" s="302" t="s">
        <v>759</v>
      </c>
      <c r="F40" s="312">
        <f ca="1">INDIRECT("'数据-取费表'!I"&amp;$G$1)</f>
        <v>0.05</v>
      </c>
      <c r="G40" s="1384"/>
      <c r="H40" s="1461"/>
      <c r="I40" s="1398"/>
      <c r="J40" s="1399"/>
      <c r="K40" s="2681"/>
      <c r="L40" s="1461"/>
      <c r="M40" s="1461"/>
    </row>
    <row r="41" spans="1:18" ht="18" customHeight="1">
      <c r="A41" s="304"/>
      <c r="B41" s="305"/>
      <c r="C41" s="306"/>
      <c r="D41" s="332" t="s">
        <v>775</v>
      </c>
      <c r="E41" s="302" t="s">
        <v>763</v>
      </c>
      <c r="F41" s="333">
        <f ca="1">IF(INDIRECT("'数据-取费表'!af"&amp;$G$1)=0,INDIRECT("'数据-取费表'!ae"&amp;$G$1),INDIRECT("'数据-取费表'!af"&amp;$G$1))</f>
        <v>28.91</v>
      </c>
      <c r="G41" s="1384"/>
      <c r="H41" s="1191"/>
      <c r="I41" s="1398"/>
      <c r="J41" s="1399"/>
      <c r="K41" s="2522"/>
      <c r="L41" s="1191"/>
      <c r="M41" s="1191"/>
    </row>
    <row r="42" spans="1:18" ht="18" customHeight="1">
      <c r="A42" s="308"/>
      <c r="B42" s="309"/>
      <c r="C42" s="310"/>
      <c r="D42" s="327"/>
      <c r="E42" s="302" t="s">
        <v>766</v>
      </c>
      <c r="F42" s="312">
        <f ca="1">INDIRECT("'数据-取费表'!v"&amp;$G$1)</f>
        <v>2.5000000000000001E-2</v>
      </c>
      <c r="G42" s="1384"/>
      <c r="H42" s="1191"/>
      <c r="I42" s="1398"/>
      <c r="J42" s="1399"/>
      <c r="K42" s="2522"/>
      <c r="L42" s="1191"/>
      <c r="M42" s="1191"/>
    </row>
    <row r="43" spans="1:18" ht="18" customHeight="1" thickBot="1">
      <c r="A43" s="334" t="s">
        <v>396</v>
      </c>
      <c r="B43" s="335" t="s">
        <v>776</v>
      </c>
      <c r="C43" s="336">
        <f ca="1">ROUND(C40*10000/F43,0)</f>
        <v>4862</v>
      </c>
      <c r="D43" s="337" t="s">
        <v>777</v>
      </c>
      <c r="E43" s="338" t="s">
        <v>778</v>
      </c>
      <c r="F43" s="339">
        <f ca="1">INDIRECT("'数据-取费表'!k"&amp;$G$1)</f>
        <v>6149.2</v>
      </c>
      <c r="G43" s="1384"/>
      <c r="H43" s="1191"/>
      <c r="I43" s="1191"/>
      <c r="J43" s="1191"/>
      <c r="K43" s="252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82" t="s">
        <v>808</v>
      </c>
      <c r="P45" s="1461"/>
      <c r="Q45" s="1461"/>
      <c r="R45" s="1461"/>
    </row>
    <row r="46" spans="1:18" s="1384" customFormat="1" ht="13.5" thickBot="1">
      <c r="A46" s="1404" t="s">
        <v>809</v>
      </c>
      <c r="C46" s="1405">
        <f ca="1">C68-C40</f>
        <v>-3338</v>
      </c>
      <c r="D46" s="1406" t="str">
        <f>C2</f>
        <v>万元</v>
      </c>
      <c r="E46" s="1400"/>
      <c r="F46" s="1400"/>
      <c r="I46" s="1407" t="s">
        <v>810</v>
      </c>
      <c r="J46" s="1408"/>
      <c r="K46" s="1409"/>
      <c r="L46" s="1410">
        <f ca="1">IF(M47="住宅",0,IF(L48&gt;J51,L60,J60))</f>
        <v>197</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3423</v>
      </c>
      <c r="K47" s="1416" t="s">
        <v>816</v>
      </c>
      <c r="L47" s="1417">
        <f ca="1">INDIRECT("'数据-取费表'!d"&amp;$G$1)</f>
        <v>50</v>
      </c>
      <c r="M47" s="1380" t="str">
        <f>IF(ISNUMBER(FIND("住宅",C1)),"住宅","非住宅")</f>
        <v>非住宅</v>
      </c>
      <c r="O47" s="1418" t="s">
        <v>403</v>
      </c>
      <c r="P47" s="1419" t="s">
        <v>817</v>
      </c>
      <c r="Q47" s="1420">
        <f ca="1">C40+J29</f>
        <v>2990</v>
      </c>
      <c r="R47" s="1420" t="s">
        <v>818</v>
      </c>
    </row>
    <row r="48" spans="1:18" s="1384" customFormat="1" ht="28.5" thickBot="1">
      <c r="A48" s="1110" t="s">
        <v>438</v>
      </c>
      <c r="B48" s="300" t="s">
        <v>692</v>
      </c>
      <c r="C48" s="3435">
        <f ca="1">C49+C53+C55</f>
        <v>0</v>
      </c>
      <c r="D48" s="1112"/>
      <c r="E48" s="1113"/>
      <c r="F48" s="962"/>
      <c r="G48" s="722"/>
      <c r="H48" s="723"/>
      <c r="I48" s="1421" t="s">
        <v>819</v>
      </c>
      <c r="J48" s="1422" t="s">
        <v>3424</v>
      </c>
      <c r="K48" s="1423" t="s">
        <v>820</v>
      </c>
      <c r="L48" s="1424">
        <f ca="1">INDIRECT("'数据-取费表'!f"&amp;$G$1)</f>
        <v>28.91</v>
      </c>
      <c r="O48" s="1418" t="s">
        <v>404</v>
      </c>
      <c r="P48" s="1419" t="s">
        <v>821</v>
      </c>
      <c r="Q48" s="1420">
        <f ca="1">J60</f>
        <v>197</v>
      </c>
      <c r="R48" s="1420" t="s">
        <v>822</v>
      </c>
    </row>
    <row r="49" spans="1:18" s="1384" customFormat="1" ht="13.5" thickBot="1">
      <c r="A49" s="975" t="s">
        <v>439</v>
      </c>
      <c r="B49" s="1371" t="s">
        <v>779</v>
      </c>
      <c r="C49" s="1114">
        <f ca="1">ROUND(F49*F51*F50*(1-F52)/10000,0)</f>
        <v>0</v>
      </c>
      <c r="D49" s="1055" t="s">
        <v>2094</v>
      </c>
      <c r="E49" s="1372" t="s">
        <v>780</v>
      </c>
      <c r="F49" s="1060"/>
      <c r="G49" s="1425"/>
      <c r="H49" s="723"/>
      <c r="I49" s="1421" t="s">
        <v>823</v>
      </c>
      <c r="J49" s="1426">
        <v>2008</v>
      </c>
      <c r="K49" s="1423" t="s">
        <v>824</v>
      </c>
      <c r="L49" s="1427"/>
      <c r="O49" s="1428" t="s">
        <v>405</v>
      </c>
      <c r="P49" s="1419" t="s">
        <v>825</v>
      </c>
      <c r="Q49" s="1420">
        <f ca="1">C29</f>
        <v>3989</v>
      </c>
      <c r="R49" s="1420" t="s">
        <v>818</v>
      </c>
    </row>
    <row r="50" spans="1:18" s="1384" customFormat="1" ht="13.5" thickBot="1">
      <c r="A50" s="976"/>
      <c r="B50" s="979"/>
      <c r="C50" s="1118"/>
      <c r="D50" s="953"/>
      <c r="E50" s="1056" t="s">
        <v>697</v>
      </c>
      <c r="F50" s="1057">
        <f ca="1">F7</f>
        <v>193</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12</v>
      </c>
      <c r="I51" s="1432" t="s">
        <v>829</v>
      </c>
      <c r="J51" s="1433">
        <f>IF(J49="",J50,J49+J50-YEAR('数据-取费表'!B2))</f>
        <v>45</v>
      </c>
      <c r="K51" s="1434" t="s">
        <v>830</v>
      </c>
      <c r="L51" s="1435">
        <f ca="1">ROUND(-PV(INDIRECT("'数据-取费表'!h"&amp;$G$1),J51,(C39-C13*C76),0),0)</f>
        <v>-1693</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'收益法-地上'!J52</f>
        <v>7.5000000000000011E-2</v>
      </c>
      <c r="K52" s="1437" t="s">
        <v>833</v>
      </c>
      <c r="L52" s="1438"/>
      <c r="O52" s="1428" t="s">
        <v>408</v>
      </c>
      <c r="P52" s="1419" t="s">
        <v>834</v>
      </c>
      <c r="Q52" s="1420">
        <f ca="1">J53</f>
        <v>28.91</v>
      </c>
      <c r="R52" s="1420" t="s">
        <v>835</v>
      </c>
    </row>
    <row r="53" spans="1:18" s="1384" customFormat="1" ht="24.75" thickBot="1">
      <c r="A53" s="1152" t="s">
        <v>440</v>
      </c>
      <c r="B53" s="1373" t="s">
        <v>700</v>
      </c>
      <c r="C53" s="316">
        <f ca="1">ROUND(IF(F53="押一",C49/12*F11,IF(F53="押二",C49/12*2*F11,IF(F53="押三",C49/12*3*F11,C54*F11))),0)</f>
        <v>0</v>
      </c>
      <c r="D53" s="1366" t="s">
        <v>2100</v>
      </c>
      <c r="E53" s="313" t="s">
        <v>701</v>
      </c>
      <c r="F53" s="1116"/>
      <c r="I53" s="1439" t="s">
        <v>836</v>
      </c>
      <c r="J53" s="2168">
        <f ca="1">IF(M47="住宅",IF(D1="——",MAX(J51,L48),MAX(J51,L48-'数据-取费表'!B24)),IF(D1="——",MIN(J51,L48),MIN(J51,L48-'数据-取费表'!B24)))</f>
        <v>28.91</v>
      </c>
      <c r="K53" s="3883" t="s">
        <v>837</v>
      </c>
      <c r="L53" s="3884"/>
      <c r="O53" s="1418" t="s">
        <v>409</v>
      </c>
      <c r="P53" s="1419" t="s">
        <v>838</v>
      </c>
      <c r="Q53" s="1420">
        <f ca="1">Q47+Q48</f>
        <v>3187</v>
      </c>
      <c r="R53" s="1420" t="s">
        <v>410</v>
      </c>
    </row>
    <row r="54" spans="1:18" s="1384" customFormat="1" ht="13.5" thickBot="1">
      <c r="A54" s="1153"/>
      <c r="B54" s="1367" t="s">
        <v>679</v>
      </c>
      <c r="C54" s="959"/>
      <c r="D54" s="1366"/>
      <c r="E54" s="3430"/>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30"/>
      <c r="F55" s="1440"/>
      <c r="I55" s="1443" t="s">
        <v>840</v>
      </c>
      <c r="J55" s="1444">
        <f ca="1">ROUND(IF(J47="钢混",J57/J50,1-(1-2%)*(J50-J57)/J50),3)</f>
        <v>0.26800000000000002</v>
      </c>
      <c r="K55" s="1445" t="s">
        <v>841</v>
      </c>
      <c r="L55" s="1446"/>
      <c r="O55" s="1411" t="s">
        <v>811</v>
      </c>
      <c r="P55" s="1412" t="s">
        <v>812</v>
      </c>
      <c r="Q55" s="1413" t="s">
        <v>813</v>
      </c>
      <c r="R55" s="1413" t="s">
        <v>814</v>
      </c>
    </row>
    <row r="56" spans="1:18" s="1384" customFormat="1" ht="25.5" thickTop="1" thickBot="1">
      <c r="A56" s="957">
        <v>2</v>
      </c>
      <c r="B56" s="958" t="s">
        <v>704</v>
      </c>
      <c r="C56" s="232">
        <f ca="1">C13</f>
        <v>3391</v>
      </c>
      <c r="D56" s="1447"/>
      <c r="E56" s="1448"/>
      <c r="F56" s="1440"/>
      <c r="I56" s="1449" t="s">
        <v>842</v>
      </c>
      <c r="J56" s="1450" t="s">
        <v>3425</v>
      </c>
      <c r="K56" s="1421" t="s">
        <v>843</v>
      </c>
      <c r="L56" s="1424" t="str">
        <f ca="1">IF(L48&lt;J51,"——",L48-J53)</f>
        <v>——</v>
      </c>
      <c r="O56" s="1418" t="s">
        <v>403</v>
      </c>
      <c r="P56" s="1419" t="s">
        <v>817</v>
      </c>
      <c r="Q56" s="1420">
        <f ca="1">C40+J29</f>
        <v>2990</v>
      </c>
      <c r="R56" s="1420" t="s">
        <v>818</v>
      </c>
    </row>
    <row r="57" spans="1:18" s="1384" customFormat="1" ht="24.75" thickBot="1">
      <c r="A57" s="1451"/>
      <c r="B57" s="950" t="s">
        <v>767</v>
      </c>
      <c r="C57" s="238">
        <f ca="1">C29</f>
        <v>3989</v>
      </c>
      <c r="D57" s="1452"/>
      <c r="E57" s="1453"/>
      <c r="F57" s="1454"/>
      <c r="I57" s="1455" t="s">
        <v>844</v>
      </c>
      <c r="J57" s="1456">
        <f ca="1">IF(OR(M47="住宅",J51&lt;L48,J56="是"),"——",J51-L48)</f>
        <v>16.09</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23</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1596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197</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3320</v>
      </c>
      <c r="E61" s="950" t="s">
        <v>744</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12</v>
      </c>
      <c r="I62" s="1462" t="s">
        <v>858</v>
      </c>
      <c r="J62" s="1463" t="s">
        <v>859</v>
      </c>
      <c r="K62" s="1463" t="s">
        <v>860</v>
      </c>
      <c r="L62" s="1463" t="s">
        <v>861</v>
      </c>
      <c r="M62" s="1464" t="s">
        <v>862</v>
      </c>
      <c r="O62" s="1418" t="s">
        <v>409</v>
      </c>
      <c r="P62" s="1419" t="s">
        <v>838</v>
      </c>
      <c r="Q62" s="1420">
        <f ca="1">Q56+Q57</f>
        <v>2990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19.95</v>
      </c>
      <c r="D64" s="964" t="s">
        <v>791</v>
      </c>
      <c r="E64" s="950" t="s">
        <v>744</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3.39</v>
      </c>
      <c r="D65" s="964" t="s">
        <v>743</v>
      </c>
      <c r="E65" s="950" t="s">
        <v>744</v>
      </c>
      <c r="F65" s="330">
        <f t="shared" ca="1" si="0"/>
        <v>1E-3</v>
      </c>
      <c r="I65" s="1462" t="s">
        <v>867</v>
      </c>
      <c r="J65" s="1463">
        <v>40</v>
      </c>
      <c r="K65" s="1463">
        <v>30</v>
      </c>
      <c r="L65" s="1463">
        <v>50</v>
      </c>
      <c r="M65" s="1465">
        <v>0.02</v>
      </c>
      <c r="O65" s="1418" t="s">
        <v>403</v>
      </c>
      <c r="P65" s="1419" t="s">
        <v>868</v>
      </c>
      <c r="Q65" s="1420">
        <f ca="1">C40+J29</f>
        <v>2990</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-23</v>
      </c>
      <c r="D67" s="963" t="s">
        <v>753</v>
      </c>
      <c r="E67" s="968"/>
      <c r="F67" s="969"/>
      <c r="O67" s="1428" t="s">
        <v>405</v>
      </c>
      <c r="P67" s="1419" t="s">
        <v>850</v>
      </c>
      <c r="Q67" s="1466">
        <f ca="1">L51</f>
        <v>-1693</v>
      </c>
      <c r="R67" s="1420" t="s">
        <v>870</v>
      </c>
    </row>
    <row r="68" spans="1:18" s="1384" customFormat="1" ht="16.5" thickBot="1">
      <c r="A68" s="947" t="s">
        <v>395</v>
      </c>
      <c r="B68" s="948" t="s">
        <v>774</v>
      </c>
      <c r="C68" s="301">
        <f ca="1">ROUND(C67*(1-((1+F70)/(1+F68))^F69)/(F68-F70),0)</f>
        <v>-348</v>
      </c>
      <c r="D68" s="965" t="s">
        <v>758</v>
      </c>
      <c r="E68" s="950" t="s">
        <v>759</v>
      </c>
      <c r="F68" s="312">
        <f ca="1">F40</f>
        <v>0.05</v>
      </c>
      <c r="O68" s="1428" t="s">
        <v>406</v>
      </c>
      <c r="P68" s="1467" t="s">
        <v>871</v>
      </c>
      <c r="Q68" s="1420">
        <f ca="1">ROUND(Q69-Q70*Q71,0)</f>
        <v>-88</v>
      </c>
      <c r="R68" s="1420" t="s">
        <v>414</v>
      </c>
    </row>
    <row r="69" spans="1:18" s="1384" customFormat="1" ht="13.5" thickBot="1">
      <c r="A69" s="951"/>
      <c r="B69" s="952"/>
      <c r="C69" s="306"/>
      <c r="D69" s="970" t="s">
        <v>762</v>
      </c>
      <c r="E69" s="950" t="s">
        <v>763</v>
      </c>
      <c r="F69" s="333">
        <f ca="1">F41</f>
        <v>28.91</v>
      </c>
      <c r="O69" s="1428" t="s">
        <v>411</v>
      </c>
      <c r="P69" s="1467" t="s">
        <v>872</v>
      </c>
      <c r="Q69" s="1420">
        <f ca="1">C39</f>
        <v>149</v>
      </c>
      <c r="R69" s="1420" t="s">
        <v>818</v>
      </c>
    </row>
    <row r="70" spans="1:18" s="1384" customFormat="1" ht="13.5" thickBot="1">
      <c r="A70" s="954"/>
      <c r="B70" s="955"/>
      <c r="C70" s="310"/>
      <c r="D70" s="966"/>
      <c r="E70" s="950" t="s">
        <v>766</v>
      </c>
      <c r="F70" s="1054"/>
      <c r="O70" s="1428" t="s">
        <v>412</v>
      </c>
      <c r="P70" s="1467" t="s">
        <v>873</v>
      </c>
      <c r="Q70" s="1420">
        <f ca="1">C13</f>
        <v>3391</v>
      </c>
      <c r="R70" s="1420" t="s">
        <v>818</v>
      </c>
    </row>
    <row r="71" spans="1:18" s="1384" customFormat="1" ht="13.5" thickBot="1">
      <c r="A71" s="971" t="s">
        <v>396</v>
      </c>
      <c r="B71" s="972" t="s">
        <v>776</v>
      </c>
      <c r="C71" s="336">
        <f ca="1">ROUND(C68*10000/F71,0)</f>
        <v>-566</v>
      </c>
      <c r="D71" s="973" t="s">
        <v>777</v>
      </c>
      <c r="E71" s="974" t="s">
        <v>778</v>
      </c>
      <c r="F71" s="339">
        <f ca="1">F43</f>
        <v>6149.2</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237</v>
      </c>
      <c r="D75" s="1384"/>
      <c r="E75" s="1384"/>
      <c r="F75" s="1384"/>
      <c r="K75" s="1402"/>
      <c r="L75" s="1384"/>
      <c r="O75" s="1418" t="s">
        <v>409</v>
      </c>
      <c r="P75" s="1419" t="s">
        <v>838</v>
      </c>
      <c r="Q75" s="1420">
        <f ca="1">Q65+Q66</f>
        <v>2990</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-0.59099999999999997</v>
      </c>
    </row>
    <row r="80" spans="1:18">
      <c r="B80" s="340" t="s">
        <v>800</v>
      </c>
      <c r="C80" s="274">
        <f ca="1">ROUND(C75/C39,3)</f>
        <v>1.591</v>
      </c>
    </row>
    <row r="81" spans="2:3">
      <c r="B81" s="270" t="s">
        <v>801</v>
      </c>
      <c r="C81" s="238"/>
    </row>
    <row r="82" spans="2:3">
      <c r="B82" s="273" t="s">
        <v>802</v>
      </c>
      <c r="C82" s="275">
        <f ca="1">1-C83</f>
        <v>-0.1339999999999999</v>
      </c>
    </row>
    <row r="83" spans="2:3">
      <c r="B83" s="273" t="s">
        <v>803</v>
      </c>
      <c r="C83" s="274">
        <f ca="1">ROUND(C13/C40,3)</f>
        <v>1.1339999999999999</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8" priority="4">
      <formula>$L$48&gt;$J$51</formula>
    </cfRule>
  </conditionalFormatting>
  <conditionalFormatting sqref="I55 I60">
    <cfRule type="expression" dxfId="27" priority="5">
      <formula>$J$51&gt;$L$48</formula>
    </cfRule>
  </conditionalFormatting>
  <conditionalFormatting sqref="C11">
    <cfRule type="expression" dxfId="26" priority="3">
      <formula>$F$10="自定义"</formula>
    </cfRule>
  </conditionalFormatting>
  <conditionalFormatting sqref="J11">
    <cfRule type="expression" dxfId="25" priority="2">
      <formula>$M$10="自定义"</formula>
    </cfRule>
  </conditionalFormatting>
  <conditionalFormatting sqref="C54">
    <cfRule type="expression" dxfId="2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51" customWidth="1"/>
    <col min="14" max="14" width="10" style="3051" customWidth="1"/>
    <col min="15" max="16" width="8.25" style="3051"/>
    <col min="17" max="17" width="34.125" style="3051" customWidth="1"/>
    <col min="18" max="18" width="8.25" style="3051" customWidth="1"/>
    <col min="19" max="19" width="8.25" style="3051"/>
    <col min="20" max="20" width="11.625" style="3051" customWidth="1"/>
    <col min="21" max="16384" width="8.25" style="3051"/>
  </cols>
  <sheetData>
    <row r="1" spans="1:13" ht="19.5" customHeight="1" thickBot="1">
      <c r="A1" s="3048" t="s">
        <v>2578</v>
      </c>
      <c r="B1" s="3049" t="s">
        <v>2579</v>
      </c>
      <c r="C1" s="3049" t="s">
        <v>2580</v>
      </c>
      <c r="D1" s="3049" t="s">
        <v>2581</v>
      </c>
      <c r="E1" s="3049" t="s">
        <v>2582</v>
      </c>
      <c r="F1" s="3049" t="s">
        <v>2583</v>
      </c>
      <c r="G1" s="3049" t="s">
        <v>2584</v>
      </c>
      <c r="H1" s="3049" t="s">
        <v>2585</v>
      </c>
      <c r="I1" s="3049" t="s">
        <v>2586</v>
      </c>
      <c r="J1" s="3049" t="s">
        <v>2587</v>
      </c>
      <c r="K1" s="3049" t="s">
        <v>2588</v>
      </c>
      <c r="L1" s="3049" t="s">
        <v>2589</v>
      </c>
      <c r="M1" s="3050" t="s">
        <v>2590</v>
      </c>
    </row>
    <row r="2" spans="1:13" ht="19.5" customHeight="1">
      <c r="A2" s="3052" t="s">
        <v>2591</v>
      </c>
      <c r="B2" s="3053">
        <v>3.5</v>
      </c>
      <c r="C2" s="3053">
        <v>3.5</v>
      </c>
      <c r="D2" s="3054">
        <v>2.5</v>
      </c>
      <c r="E2" s="3054">
        <v>2.5</v>
      </c>
      <c r="F2" s="3054">
        <v>2.5</v>
      </c>
      <c r="G2" s="3054">
        <v>2.5</v>
      </c>
      <c r="H2" s="3054">
        <v>2.5</v>
      </c>
      <c r="I2" s="3053">
        <v>2</v>
      </c>
      <c r="J2" s="3053">
        <v>2</v>
      </c>
      <c r="K2" s="3053">
        <v>2</v>
      </c>
      <c r="L2" s="3053">
        <v>2</v>
      </c>
      <c r="M2" s="3055">
        <v>2</v>
      </c>
    </row>
    <row r="3" spans="1:13" ht="19.5" customHeight="1">
      <c r="A3" s="2997" t="s">
        <v>2592</v>
      </c>
      <c r="B3" s="3000">
        <v>3.5</v>
      </c>
      <c r="C3" s="3000">
        <v>3.5</v>
      </c>
      <c r="D3" s="3056">
        <v>2.5</v>
      </c>
      <c r="E3" s="3056">
        <v>2.5</v>
      </c>
      <c r="F3" s="3056">
        <v>2.5</v>
      </c>
      <c r="G3" s="3056">
        <v>2.5</v>
      </c>
      <c r="H3" s="3056">
        <v>2.5</v>
      </c>
      <c r="I3" s="3000">
        <v>2</v>
      </c>
      <c r="J3" s="3000">
        <v>2</v>
      </c>
      <c r="K3" s="3000">
        <v>2</v>
      </c>
      <c r="L3" s="3000">
        <v>2</v>
      </c>
      <c r="M3" s="3004">
        <v>2</v>
      </c>
    </row>
    <row r="4" spans="1:13" ht="19.5" customHeight="1">
      <c r="A4" s="2997" t="s">
        <v>2593</v>
      </c>
      <c r="B4" s="3056">
        <v>2.5</v>
      </c>
      <c r="C4" s="3056">
        <v>2.5</v>
      </c>
      <c r="D4" s="3056">
        <v>2.5</v>
      </c>
      <c r="E4" s="3056">
        <v>2.5</v>
      </c>
      <c r="F4" s="3056">
        <v>2.5</v>
      </c>
      <c r="G4" s="3056">
        <v>2.5</v>
      </c>
      <c r="H4" s="3056">
        <v>2.5</v>
      </c>
      <c r="I4" s="3000">
        <v>1.5</v>
      </c>
      <c r="J4" s="3000">
        <v>1.5</v>
      </c>
      <c r="K4" s="3000">
        <v>1.5</v>
      </c>
      <c r="L4" s="3000">
        <v>1.5</v>
      </c>
      <c r="M4" s="3004">
        <v>1.5</v>
      </c>
    </row>
    <row r="5" spans="1:13" ht="19.5" customHeight="1">
      <c r="A5" s="3057" t="s">
        <v>2594</v>
      </c>
      <c r="B5" s="3000">
        <v>1.5</v>
      </c>
      <c r="C5" s="3000">
        <v>1.5</v>
      </c>
      <c r="D5" s="3000">
        <v>1.5</v>
      </c>
      <c r="E5" s="3000">
        <v>1.5</v>
      </c>
      <c r="F5" s="3000">
        <v>1.5</v>
      </c>
      <c r="G5" s="3000">
        <v>1.2</v>
      </c>
      <c r="H5" s="3000">
        <v>1.2</v>
      </c>
      <c r="I5" s="3000">
        <v>1</v>
      </c>
      <c r="J5" s="3000">
        <v>1</v>
      </c>
      <c r="K5" s="3000">
        <v>1</v>
      </c>
      <c r="L5" s="3000">
        <v>1</v>
      </c>
      <c r="M5" s="3004">
        <v>1</v>
      </c>
    </row>
    <row r="6" spans="1:13" ht="19.5" customHeight="1">
      <c r="A6" s="3058" t="s">
        <v>2595</v>
      </c>
      <c r="B6" s="3059">
        <v>2.5</v>
      </c>
      <c r="C6" s="3059">
        <v>2.5</v>
      </c>
      <c r="D6" s="3059">
        <v>2</v>
      </c>
      <c r="E6" s="3059">
        <v>2</v>
      </c>
      <c r="F6" s="3059">
        <v>2</v>
      </c>
      <c r="G6" s="3059">
        <v>2</v>
      </c>
      <c r="H6" s="3059">
        <v>2</v>
      </c>
      <c r="I6" s="3060">
        <v>1.5</v>
      </c>
      <c r="J6" s="3060">
        <v>1.5</v>
      </c>
      <c r="K6" s="3060">
        <v>1.5</v>
      </c>
      <c r="L6" s="3060">
        <v>1.5</v>
      </c>
      <c r="M6" s="3061">
        <v>1.5</v>
      </c>
    </row>
    <row r="7" spans="1:13" ht="19.5" customHeight="1" thickBot="1">
      <c r="A7" s="3062" t="s">
        <v>2596</v>
      </c>
      <c r="B7" s="3063">
        <v>2.5</v>
      </c>
      <c r="C7" s="3063">
        <v>2.5</v>
      </c>
      <c r="D7" s="3063">
        <v>2</v>
      </c>
      <c r="E7" s="3063">
        <v>2</v>
      </c>
      <c r="F7" s="3063">
        <v>2</v>
      </c>
      <c r="G7" s="3063">
        <v>2</v>
      </c>
      <c r="H7" s="3063">
        <v>2</v>
      </c>
      <c r="I7" s="3009">
        <v>1.5</v>
      </c>
      <c r="J7" s="3009">
        <v>1.5</v>
      </c>
      <c r="K7" s="3009">
        <v>1.5</v>
      </c>
      <c r="L7" s="3009">
        <v>1.5</v>
      </c>
      <c r="M7" s="3064">
        <v>1.5</v>
      </c>
    </row>
    <row r="8" spans="1:13" ht="19.5" customHeight="1">
      <c r="A8" s="3065" t="s">
        <v>2597</v>
      </c>
      <c r="B8" s="3066">
        <v>80</v>
      </c>
      <c r="C8" s="3066">
        <v>80</v>
      </c>
      <c r="D8" s="3066">
        <v>70</v>
      </c>
      <c r="E8" s="3066">
        <v>70</v>
      </c>
      <c r="F8" s="3066">
        <v>70</v>
      </c>
      <c r="G8" s="3066">
        <v>70</v>
      </c>
      <c r="H8" s="3066">
        <v>70</v>
      </c>
      <c r="I8" s="3066">
        <v>60</v>
      </c>
      <c r="J8" s="3066">
        <v>60</v>
      </c>
      <c r="K8" s="3066">
        <v>60</v>
      </c>
      <c r="L8" s="3066">
        <v>60</v>
      </c>
      <c r="M8" s="3067">
        <v>60</v>
      </c>
    </row>
    <row r="9" spans="1:13" ht="19.5" customHeight="1">
      <c r="A9" s="3068" t="s">
        <v>2598</v>
      </c>
      <c r="B9" s="3069">
        <v>70</v>
      </c>
      <c r="C9" s="3069">
        <v>70</v>
      </c>
      <c r="D9" s="3069">
        <v>60</v>
      </c>
      <c r="E9" s="3069">
        <v>60</v>
      </c>
      <c r="F9" s="3069">
        <v>60</v>
      </c>
      <c r="G9" s="3069">
        <v>60</v>
      </c>
      <c r="H9" s="3069">
        <v>60</v>
      </c>
      <c r="I9" s="3069">
        <v>50</v>
      </c>
      <c r="J9" s="3069">
        <v>50</v>
      </c>
      <c r="K9" s="3069">
        <v>50</v>
      </c>
      <c r="L9" s="3069">
        <v>50</v>
      </c>
      <c r="M9" s="3070">
        <v>50</v>
      </c>
    </row>
    <row r="10" spans="1:13" ht="19.5" customHeight="1">
      <c r="A10" s="3068" t="s">
        <v>2599</v>
      </c>
      <c r="B10" s="3069">
        <v>20</v>
      </c>
      <c r="C10" s="3069">
        <v>20</v>
      </c>
      <c r="D10" s="3069">
        <v>15</v>
      </c>
      <c r="E10" s="3069">
        <v>15</v>
      </c>
      <c r="F10" s="3069">
        <v>15</v>
      </c>
      <c r="G10" s="3069">
        <v>15</v>
      </c>
      <c r="H10" s="3069">
        <v>15</v>
      </c>
      <c r="I10" s="3069">
        <v>10</v>
      </c>
      <c r="J10" s="3069">
        <v>10</v>
      </c>
      <c r="K10" s="3069">
        <v>10</v>
      </c>
      <c r="L10" s="3069">
        <v>10</v>
      </c>
      <c r="M10" s="3070">
        <v>10</v>
      </c>
    </row>
    <row r="11" spans="1:13" ht="19.5" customHeight="1">
      <c r="A11" s="3068" t="s">
        <v>2600</v>
      </c>
      <c r="B11" s="3069">
        <v>30</v>
      </c>
      <c r="C11" s="3069">
        <v>30</v>
      </c>
      <c r="D11" s="3069">
        <v>25</v>
      </c>
      <c r="E11" s="3069">
        <v>25</v>
      </c>
      <c r="F11" s="3069">
        <v>25</v>
      </c>
      <c r="G11" s="3069">
        <v>25</v>
      </c>
      <c r="H11" s="3069">
        <v>25</v>
      </c>
      <c r="I11" s="3069">
        <v>20</v>
      </c>
      <c r="J11" s="3069">
        <v>20</v>
      </c>
      <c r="K11" s="3069">
        <v>20</v>
      </c>
      <c r="L11" s="3069">
        <v>20</v>
      </c>
      <c r="M11" s="3070">
        <v>20</v>
      </c>
    </row>
    <row r="12" spans="1:13" ht="19.5" customHeight="1">
      <c r="A12" s="3068" t="s">
        <v>2601</v>
      </c>
      <c r="B12" s="3069">
        <v>45</v>
      </c>
      <c r="C12" s="3069">
        <v>45</v>
      </c>
      <c r="D12" s="3069">
        <v>40</v>
      </c>
      <c r="E12" s="3069">
        <v>40</v>
      </c>
      <c r="F12" s="3069">
        <v>40</v>
      </c>
      <c r="G12" s="3069">
        <v>40</v>
      </c>
      <c r="H12" s="3069">
        <v>40</v>
      </c>
      <c r="I12" s="3069">
        <v>35</v>
      </c>
      <c r="J12" s="3069">
        <v>35</v>
      </c>
      <c r="K12" s="3069">
        <v>35</v>
      </c>
      <c r="L12" s="3069">
        <v>35</v>
      </c>
      <c r="M12" s="3070">
        <v>35</v>
      </c>
    </row>
    <row r="13" spans="1:13" ht="19.5" customHeight="1">
      <c r="A13" s="3068" t="s">
        <v>2602</v>
      </c>
      <c r="B13" s="3069">
        <v>60</v>
      </c>
      <c r="C13" s="3069">
        <v>60</v>
      </c>
      <c r="D13" s="3069">
        <v>50</v>
      </c>
      <c r="E13" s="3069">
        <v>50</v>
      </c>
      <c r="F13" s="3069">
        <v>50</v>
      </c>
      <c r="G13" s="3069">
        <v>50</v>
      </c>
      <c r="H13" s="3069">
        <v>50</v>
      </c>
      <c r="I13" s="3069">
        <v>40</v>
      </c>
      <c r="J13" s="3069">
        <v>40</v>
      </c>
      <c r="K13" s="3069">
        <v>40</v>
      </c>
      <c r="L13" s="3069">
        <v>40</v>
      </c>
      <c r="M13" s="3070">
        <v>40</v>
      </c>
    </row>
    <row r="14" spans="1:13" ht="19.5" customHeight="1">
      <c r="A14" s="3068" t="s">
        <v>2603</v>
      </c>
      <c r="B14" s="3069">
        <v>50</v>
      </c>
      <c r="C14" s="3069">
        <v>50</v>
      </c>
      <c r="D14" s="3069">
        <v>40</v>
      </c>
      <c r="E14" s="3069">
        <v>40</v>
      </c>
      <c r="F14" s="3069">
        <v>40</v>
      </c>
      <c r="G14" s="3069">
        <v>40</v>
      </c>
      <c r="H14" s="3069">
        <v>40</v>
      </c>
      <c r="I14" s="3069">
        <v>30</v>
      </c>
      <c r="J14" s="3069">
        <v>30</v>
      </c>
      <c r="K14" s="3069">
        <v>30</v>
      </c>
      <c r="L14" s="3069">
        <v>30</v>
      </c>
      <c r="M14" s="3070">
        <v>30</v>
      </c>
    </row>
    <row r="15" spans="1:13" ht="19.5" customHeight="1">
      <c r="A15" s="3071" t="s">
        <v>2604</v>
      </c>
      <c r="B15" s="3072">
        <v>20</v>
      </c>
      <c r="C15" s="3072">
        <v>20</v>
      </c>
      <c r="D15" s="3072">
        <v>15</v>
      </c>
      <c r="E15" s="3072">
        <v>15</v>
      </c>
      <c r="F15" s="3072">
        <v>15</v>
      </c>
      <c r="G15" s="3072">
        <v>15</v>
      </c>
      <c r="H15" s="3072">
        <v>15</v>
      </c>
      <c r="I15" s="3072">
        <v>10</v>
      </c>
      <c r="J15" s="3072">
        <v>10</v>
      </c>
      <c r="K15" s="3072">
        <v>10</v>
      </c>
      <c r="L15" s="3072">
        <v>10</v>
      </c>
      <c r="M15" s="3073">
        <v>10</v>
      </c>
    </row>
    <row r="16" spans="1:13" ht="19.5" customHeight="1">
      <c r="A16" s="3069" t="s">
        <v>2605</v>
      </c>
      <c r="B16" s="3000">
        <v>0</v>
      </c>
      <c r="C16" s="3000">
        <v>0</v>
      </c>
      <c r="D16" s="3000">
        <v>0</v>
      </c>
      <c r="E16" s="3000">
        <v>0</v>
      </c>
      <c r="F16" s="3000">
        <v>0</v>
      </c>
      <c r="G16" s="3000">
        <v>0</v>
      </c>
      <c r="H16" s="3000">
        <v>0</v>
      </c>
      <c r="I16" s="3000">
        <v>0</v>
      </c>
      <c r="J16" s="3000">
        <v>0</v>
      </c>
      <c r="K16" s="3000">
        <v>0</v>
      </c>
      <c r="L16" s="3000">
        <v>0</v>
      </c>
      <c r="M16" s="3000">
        <v>0</v>
      </c>
    </row>
    <row r="17" spans="1:13" ht="19.5" customHeight="1">
      <c r="A17" s="3069" t="s">
        <v>2606</v>
      </c>
      <c r="B17" s="3000">
        <f>SUM(B8:B15)</f>
        <v>375</v>
      </c>
      <c r="C17" s="3000">
        <f t="shared" ref="C17:H17" si="0">SUM(C8:C15)</f>
        <v>375</v>
      </c>
      <c r="D17" s="3000">
        <f t="shared" si="0"/>
        <v>315</v>
      </c>
      <c r="E17" s="3000">
        <f t="shared" si="0"/>
        <v>315</v>
      </c>
      <c r="F17" s="3000">
        <f t="shared" si="0"/>
        <v>315</v>
      </c>
      <c r="G17" s="3000">
        <f t="shared" si="0"/>
        <v>315</v>
      </c>
      <c r="H17" s="3000">
        <f t="shared" si="0"/>
        <v>315</v>
      </c>
      <c r="I17" s="3000">
        <f>SUM(I8:I15)-I13-I14</f>
        <v>185</v>
      </c>
      <c r="J17" s="3000">
        <f t="shared" ref="J17:M17" si="1">SUM(J8:J15)-J13-J14</f>
        <v>185</v>
      </c>
      <c r="K17" s="3000">
        <f t="shared" si="1"/>
        <v>185</v>
      </c>
      <c r="L17" s="3000">
        <f t="shared" si="1"/>
        <v>185</v>
      </c>
      <c r="M17" s="3000">
        <f t="shared" si="1"/>
        <v>185</v>
      </c>
    </row>
    <row r="18" spans="1:13" s="3076" customFormat="1" ht="19.5" customHeight="1">
      <c r="A18" s="3074" t="s">
        <v>2607</v>
      </c>
      <c r="B18" s="3074"/>
      <c r="C18" s="3075"/>
      <c r="D18" s="3075"/>
      <c r="E18" s="3074"/>
      <c r="F18" s="3075"/>
      <c r="G18" s="3075"/>
    </row>
    <row r="19" spans="1:13" ht="19.5" customHeight="1" thickBot="1">
      <c r="A19" s="3072" t="s">
        <v>2608</v>
      </c>
      <c r="B19" s="3077" t="s">
        <v>2609</v>
      </c>
      <c r="C19" s="3077" t="s">
        <v>2610</v>
      </c>
      <c r="D19" s="3078"/>
      <c r="E19" s="3072" t="s">
        <v>2611</v>
      </c>
      <c r="F19" s="3079"/>
      <c r="G19" s="3079"/>
    </row>
    <row r="20" spans="1:13" ht="19.5" customHeight="1">
      <c r="A20" s="3993" t="s">
        <v>2591</v>
      </c>
      <c r="B20" s="3988" t="s">
        <v>2612</v>
      </c>
      <c r="C20" s="3080" t="s">
        <v>2423</v>
      </c>
      <c r="D20" s="3081"/>
      <c r="E20" s="3082">
        <v>1</v>
      </c>
      <c r="F20" s="3083" t="s">
        <v>2424</v>
      </c>
      <c r="G20" s="3083"/>
    </row>
    <row r="21" spans="1:13" ht="19.5" customHeight="1">
      <c r="A21" s="3994"/>
      <c r="B21" s="3987"/>
      <c r="C21" s="3084" t="s">
        <v>2425</v>
      </c>
      <c r="D21" s="3085"/>
      <c r="E21" s="3086">
        <v>1</v>
      </c>
      <c r="F21" s="3083" t="s">
        <v>2426</v>
      </c>
      <c r="G21" s="3083"/>
    </row>
    <row r="22" spans="1:13" ht="19.5" customHeight="1">
      <c r="A22" s="3994"/>
      <c r="B22" s="3987"/>
      <c r="C22" s="3084" t="s">
        <v>2427</v>
      </c>
      <c r="D22" s="3085"/>
      <c r="E22" s="3086">
        <v>0.9</v>
      </c>
      <c r="F22" s="3083" t="s">
        <v>2428</v>
      </c>
      <c r="G22" s="3083"/>
    </row>
    <row r="23" spans="1:13" ht="19.5" customHeight="1">
      <c r="A23" s="3994"/>
      <c r="B23" s="3987"/>
      <c r="C23" s="3084" t="s">
        <v>2429</v>
      </c>
      <c r="D23" s="3085"/>
      <c r="E23" s="3086">
        <v>0.9</v>
      </c>
      <c r="F23" s="3083" t="s">
        <v>2430</v>
      </c>
      <c r="G23" s="3083"/>
    </row>
    <row r="24" spans="1:13" ht="19.5" customHeight="1">
      <c r="A24" s="3994"/>
      <c r="B24" s="3987"/>
      <c r="C24" s="3084" t="s">
        <v>2431</v>
      </c>
      <c r="D24" s="3085"/>
      <c r="E24" s="3086">
        <v>0.8</v>
      </c>
      <c r="F24" s="3083" t="s">
        <v>2432</v>
      </c>
      <c r="G24" s="3083"/>
    </row>
    <row r="25" spans="1:13" ht="19.5" customHeight="1" thickBot="1">
      <c r="A25" s="3995"/>
      <c r="B25" s="3989"/>
      <c r="C25" s="3087" t="s">
        <v>2433</v>
      </c>
      <c r="D25" s="3088"/>
      <c r="E25" s="3089">
        <v>0.8</v>
      </c>
      <c r="F25" s="3083" t="s">
        <v>2434</v>
      </c>
      <c r="G25" s="3083"/>
    </row>
    <row r="26" spans="1:13" ht="19.5" customHeight="1" thickBot="1">
      <c r="A26" s="3090" t="s">
        <v>2613</v>
      </c>
      <c r="B26" s="3091" t="s">
        <v>2612</v>
      </c>
      <c r="C26" s="3092" t="s">
        <v>2614</v>
      </c>
      <c r="D26" s="3093"/>
      <c r="E26" s="3094">
        <v>1</v>
      </c>
      <c r="F26" s="3083" t="s">
        <v>2435</v>
      </c>
      <c r="G26" s="3083"/>
    </row>
    <row r="27" spans="1:13" ht="19.5" customHeight="1">
      <c r="A27" s="3990" t="s">
        <v>2615</v>
      </c>
      <c r="B27" s="3988" t="s">
        <v>2596</v>
      </c>
      <c r="C27" s="3080" t="s">
        <v>2436</v>
      </c>
      <c r="D27" s="3081"/>
      <c r="E27" s="3082">
        <v>1</v>
      </c>
      <c r="F27" s="3083" t="s">
        <v>2437</v>
      </c>
      <c r="G27" s="3083"/>
    </row>
    <row r="28" spans="1:13" ht="19.5" customHeight="1">
      <c r="A28" s="3991"/>
      <c r="B28" s="3987"/>
      <c r="C28" s="3084" t="s">
        <v>2438</v>
      </c>
      <c r="D28" s="3085"/>
      <c r="E28" s="3086">
        <v>1</v>
      </c>
      <c r="F28" s="3083" t="s">
        <v>2439</v>
      </c>
      <c r="G28" s="3083"/>
    </row>
    <row r="29" spans="1:13" ht="19.5" customHeight="1">
      <c r="A29" s="3991"/>
      <c r="B29" s="3987"/>
      <c r="C29" s="3084" t="s">
        <v>2440</v>
      </c>
      <c r="D29" s="3085"/>
      <c r="E29" s="3086">
        <v>0.8</v>
      </c>
      <c r="F29" s="3083" t="s">
        <v>2441</v>
      </c>
      <c r="G29" s="3083"/>
    </row>
    <row r="30" spans="1:13" ht="19.5" customHeight="1">
      <c r="A30" s="3991"/>
      <c r="B30" s="3987"/>
      <c r="C30" s="3084" t="s">
        <v>2442</v>
      </c>
      <c r="D30" s="3085"/>
      <c r="E30" s="3086">
        <v>0.8</v>
      </c>
      <c r="F30" s="3083" t="s">
        <v>2443</v>
      </c>
      <c r="G30" s="3083"/>
    </row>
    <row r="31" spans="1:13" ht="19.5" customHeight="1">
      <c r="A31" s="3991"/>
      <c r="B31" s="3987"/>
      <c r="C31" s="3084" t="s">
        <v>2444</v>
      </c>
      <c r="D31" s="3085"/>
      <c r="E31" s="3086">
        <v>0.8</v>
      </c>
      <c r="F31" s="3083" t="s">
        <v>2445</v>
      </c>
      <c r="G31" s="3083"/>
    </row>
    <row r="32" spans="1:13" ht="19.5" customHeight="1">
      <c r="A32" s="3991"/>
      <c r="B32" s="3987"/>
      <c r="C32" s="3084" t="s">
        <v>2446</v>
      </c>
      <c r="D32" s="3085"/>
      <c r="E32" s="3086">
        <v>0.7</v>
      </c>
      <c r="F32" s="3083" t="s">
        <v>2447</v>
      </c>
      <c r="G32" s="3083"/>
    </row>
    <row r="33" spans="1:7" ht="19.5" customHeight="1">
      <c r="A33" s="3991"/>
      <c r="B33" s="3987"/>
      <c r="C33" s="3084" t="s">
        <v>2448</v>
      </c>
      <c r="D33" s="3085"/>
      <c r="E33" s="3086">
        <v>0.8</v>
      </c>
      <c r="F33" s="3083" t="s">
        <v>2449</v>
      </c>
      <c r="G33" s="3083"/>
    </row>
    <row r="34" spans="1:7" ht="19.5" customHeight="1">
      <c r="A34" s="3991"/>
      <c r="B34" s="3987"/>
      <c r="C34" s="3084" t="s">
        <v>2450</v>
      </c>
      <c r="D34" s="3085"/>
      <c r="E34" s="3086">
        <v>0.6</v>
      </c>
      <c r="F34" s="3083" t="s">
        <v>2451</v>
      </c>
      <c r="G34" s="3083"/>
    </row>
    <row r="35" spans="1:7" ht="19.5" customHeight="1">
      <c r="A35" s="3991"/>
      <c r="B35" s="3987"/>
      <c r="C35" s="3084" t="s">
        <v>2452</v>
      </c>
      <c r="D35" s="3085"/>
      <c r="E35" s="3086">
        <v>0.2</v>
      </c>
      <c r="F35" s="3083" t="s">
        <v>2453</v>
      </c>
      <c r="G35" s="3083"/>
    </row>
    <row r="36" spans="1:7" ht="19.5" customHeight="1">
      <c r="A36" s="3991"/>
      <c r="B36" s="3987"/>
      <c r="C36" s="3084" t="s">
        <v>2454</v>
      </c>
      <c r="D36" s="3085"/>
      <c r="E36" s="3086">
        <v>0.2</v>
      </c>
      <c r="F36" s="3083" t="s">
        <v>2455</v>
      </c>
      <c r="G36" s="3083"/>
    </row>
    <row r="37" spans="1:7" ht="19.5" customHeight="1">
      <c r="A37" s="3991"/>
      <c r="B37" s="3985" t="s">
        <v>2616</v>
      </c>
      <c r="C37" s="3084" t="s">
        <v>2456</v>
      </c>
      <c r="D37" s="3085"/>
      <c r="E37" s="3086">
        <v>0.6</v>
      </c>
      <c r="F37" s="3083" t="s">
        <v>2457</v>
      </c>
      <c r="G37" s="3083"/>
    </row>
    <row r="38" spans="1:7" ht="19.5" customHeight="1">
      <c r="A38" s="3991"/>
      <c r="B38" s="3987"/>
      <c r="C38" s="3084" t="s">
        <v>2458</v>
      </c>
      <c r="D38" s="3085"/>
      <c r="E38" s="3086">
        <v>0.6</v>
      </c>
      <c r="F38" s="3083" t="s">
        <v>2459</v>
      </c>
      <c r="G38" s="3083"/>
    </row>
    <row r="39" spans="1:7" ht="19.5" customHeight="1" thickBot="1">
      <c r="A39" s="3992"/>
      <c r="B39" s="3989"/>
      <c r="C39" s="3087" t="s">
        <v>2460</v>
      </c>
      <c r="D39" s="3088"/>
      <c r="E39" s="3089">
        <v>0.6</v>
      </c>
      <c r="F39" s="3083" t="s">
        <v>2461</v>
      </c>
      <c r="G39" s="3083"/>
    </row>
    <row r="40" spans="1:7" ht="19.5" customHeight="1" thickBot="1">
      <c r="A40" s="3090" t="s">
        <v>2593</v>
      </c>
      <c r="B40" s="3091" t="s">
        <v>2593</v>
      </c>
      <c r="C40" s="3092" t="s">
        <v>2617</v>
      </c>
      <c r="D40" s="3093"/>
      <c r="E40" s="3094">
        <v>1</v>
      </c>
      <c r="F40" s="3083" t="s">
        <v>2462</v>
      </c>
      <c r="G40" s="3083"/>
    </row>
    <row r="41" spans="1:7" ht="19.5" customHeight="1">
      <c r="A41" s="3993" t="s">
        <v>2594</v>
      </c>
      <c r="B41" s="3988" t="s">
        <v>2618</v>
      </c>
      <c r="C41" s="3080" t="s">
        <v>2463</v>
      </c>
      <c r="D41" s="3081"/>
      <c r="E41" s="3082">
        <v>1</v>
      </c>
      <c r="F41" s="3083" t="s">
        <v>2464</v>
      </c>
      <c r="G41" s="3083"/>
    </row>
    <row r="42" spans="1:7" ht="19.5" customHeight="1">
      <c r="A42" s="3994"/>
      <c r="B42" s="3987"/>
      <c r="C42" s="3084" t="s">
        <v>2465</v>
      </c>
      <c r="D42" s="3085"/>
      <c r="E42" s="3086">
        <v>1</v>
      </c>
      <c r="F42" s="3083" t="s">
        <v>2466</v>
      </c>
      <c r="G42" s="3083"/>
    </row>
    <row r="43" spans="1:7" ht="19.5" customHeight="1">
      <c r="A43" s="3994"/>
      <c r="B43" s="3986"/>
      <c r="C43" s="3084" t="s">
        <v>2467</v>
      </c>
      <c r="D43" s="3085"/>
      <c r="E43" s="3086">
        <v>1.5</v>
      </c>
      <c r="F43" s="3083" t="s">
        <v>2468</v>
      </c>
      <c r="G43" s="3083"/>
    </row>
    <row r="44" spans="1:7" ht="19.5" customHeight="1">
      <c r="A44" s="3994"/>
      <c r="B44" s="3095" t="s">
        <v>2619</v>
      </c>
      <c r="C44" s="3084" t="s">
        <v>2620</v>
      </c>
      <c r="D44" s="3085"/>
      <c r="E44" s="3086">
        <v>2</v>
      </c>
      <c r="F44" s="3083" t="s">
        <v>2469</v>
      </c>
      <c r="G44" s="3083"/>
    </row>
    <row r="45" spans="1:7" ht="19.5" customHeight="1">
      <c r="A45" s="3994"/>
      <c r="B45" s="3985" t="s">
        <v>2621</v>
      </c>
      <c r="C45" s="3084" t="s">
        <v>2470</v>
      </c>
      <c r="D45" s="3085"/>
      <c r="E45" s="3086">
        <v>1</v>
      </c>
      <c r="F45" s="3083" t="s">
        <v>2471</v>
      </c>
      <c r="G45" s="3083"/>
    </row>
    <row r="46" spans="1:7" ht="19.5" customHeight="1">
      <c r="A46" s="3994"/>
      <c r="B46" s="3987"/>
      <c r="C46" s="3084" t="s">
        <v>2472</v>
      </c>
      <c r="D46" s="3085"/>
      <c r="E46" s="3086">
        <v>1</v>
      </c>
      <c r="F46" s="3083" t="s">
        <v>2473</v>
      </c>
      <c r="G46" s="3083"/>
    </row>
    <row r="47" spans="1:7" ht="19.5" customHeight="1">
      <c r="A47" s="3994"/>
      <c r="B47" s="3987"/>
      <c r="C47" s="3084" t="s">
        <v>2474</v>
      </c>
      <c r="D47" s="3085"/>
      <c r="E47" s="3086">
        <v>1</v>
      </c>
      <c r="F47" s="3083" t="s">
        <v>2475</v>
      </c>
      <c r="G47" s="3083"/>
    </row>
    <row r="48" spans="1:7" ht="19.5" customHeight="1">
      <c r="A48" s="3994"/>
      <c r="B48" s="3987"/>
      <c r="C48" s="3084" t="s">
        <v>2476</v>
      </c>
      <c r="D48" s="3085"/>
      <c r="E48" s="3086">
        <v>1</v>
      </c>
      <c r="F48" s="3083" t="s">
        <v>2477</v>
      </c>
      <c r="G48" s="3083"/>
    </row>
    <row r="49" spans="1:7" ht="19.5" customHeight="1">
      <c r="A49" s="3994"/>
      <c r="B49" s="3987"/>
      <c r="C49" s="3084" t="s">
        <v>2478</v>
      </c>
      <c r="D49" s="3085"/>
      <c r="E49" s="3086">
        <v>1</v>
      </c>
      <c r="F49" s="3083" t="s">
        <v>2479</v>
      </c>
      <c r="G49" s="3083"/>
    </row>
    <row r="50" spans="1:7" ht="19.5" customHeight="1">
      <c r="A50" s="3994"/>
      <c r="B50" s="3987"/>
      <c r="C50" s="3084" t="s">
        <v>2480</v>
      </c>
      <c r="D50" s="3085"/>
      <c r="E50" s="3086">
        <v>1</v>
      </c>
      <c r="F50" s="3083" t="s">
        <v>2481</v>
      </c>
      <c r="G50" s="3083"/>
    </row>
    <row r="51" spans="1:7" ht="19.5" customHeight="1" thickBot="1">
      <c r="A51" s="3995"/>
      <c r="B51" s="3989"/>
      <c r="C51" s="3087" t="s">
        <v>2482</v>
      </c>
      <c r="D51" s="3088"/>
      <c r="E51" s="3089">
        <v>1</v>
      </c>
      <c r="F51" s="3083" t="s">
        <v>2483</v>
      </c>
      <c r="G51" s="3083"/>
    </row>
    <row r="52" spans="1:7" ht="19.5" customHeight="1">
      <c r="A52" s="3096"/>
      <c r="B52" s="3096"/>
      <c r="C52" s="3096"/>
      <c r="D52" s="3096"/>
      <c r="E52" s="3096"/>
      <c r="F52" s="3096"/>
      <c r="G52" s="3096"/>
    </row>
    <row r="54" spans="1:7" ht="19.5" customHeight="1">
      <c r="A54" s="3097"/>
      <c r="B54" s="3069" t="s">
        <v>2622</v>
      </c>
      <c r="C54" s="3069" t="s">
        <v>2622</v>
      </c>
      <c r="D54" s="3069" t="s">
        <v>2622</v>
      </c>
      <c r="E54" s="3072" t="s">
        <v>2622</v>
      </c>
      <c r="F54" s="3072" t="s">
        <v>2623</v>
      </c>
      <c r="G54" s="3072" t="s">
        <v>2624</v>
      </c>
    </row>
    <row r="55" spans="1:7" ht="19.5" customHeight="1">
      <c r="A55" s="3098"/>
      <c r="B55" s="3072" t="s">
        <v>2591</v>
      </c>
      <c r="C55" s="3072" t="s">
        <v>2591</v>
      </c>
      <c r="D55" s="3072" t="s">
        <v>2591</v>
      </c>
      <c r="E55" s="3069" t="s">
        <v>2592</v>
      </c>
      <c r="F55" s="3069" t="s">
        <v>2594</v>
      </c>
      <c r="G55" s="3069" t="s">
        <v>2625</v>
      </c>
    </row>
    <row r="56" spans="1:7" ht="19.5" customHeight="1">
      <c r="A56" s="3099"/>
      <c r="B56" s="3069">
        <v>1</v>
      </c>
      <c r="C56" s="3069">
        <v>2</v>
      </c>
      <c r="D56" s="3069">
        <v>3</v>
      </c>
      <c r="E56" s="3100" t="s">
        <v>2626</v>
      </c>
      <c r="F56" s="3100" t="s">
        <v>2626</v>
      </c>
      <c r="G56" s="3100" t="s">
        <v>2626</v>
      </c>
    </row>
    <row r="57" spans="1:7" ht="19.5" customHeight="1">
      <c r="A57" s="3101" t="s">
        <v>2579</v>
      </c>
      <c r="B57" s="3069">
        <v>0.7</v>
      </c>
      <c r="C57" s="3069">
        <v>0.4</v>
      </c>
      <c r="D57" s="3069">
        <v>0.3</v>
      </c>
      <c r="E57" s="3100">
        <v>0.3</v>
      </c>
      <c r="F57" s="3069">
        <v>0.3</v>
      </c>
      <c r="G57" s="3069">
        <v>0.2</v>
      </c>
    </row>
    <row r="58" spans="1:7" ht="19.5" customHeight="1">
      <c r="A58" s="3101" t="s">
        <v>2580</v>
      </c>
      <c r="B58" s="3069">
        <v>0.7</v>
      </c>
      <c r="C58" s="3069">
        <v>0.4</v>
      </c>
      <c r="D58" s="3069">
        <v>0.3</v>
      </c>
      <c r="E58" s="3069">
        <v>0.3</v>
      </c>
      <c r="F58" s="3069">
        <v>0.3</v>
      </c>
      <c r="G58" s="3069">
        <v>0.2</v>
      </c>
    </row>
    <row r="59" spans="1:7" ht="19.5" customHeight="1">
      <c r="A59" s="3101" t="s">
        <v>2581</v>
      </c>
      <c r="B59" s="3069">
        <v>0.6</v>
      </c>
      <c r="C59" s="3069">
        <v>0.3</v>
      </c>
      <c r="D59" s="3069">
        <v>0.25</v>
      </c>
      <c r="E59" s="3069">
        <v>0.25</v>
      </c>
      <c r="F59" s="3069">
        <v>0.25</v>
      </c>
      <c r="G59" s="3069">
        <v>0.15</v>
      </c>
    </row>
    <row r="60" spans="1:7" ht="19.5" customHeight="1">
      <c r="A60" s="3101" t="s">
        <v>2582</v>
      </c>
      <c r="B60" s="3069">
        <v>0.6</v>
      </c>
      <c r="C60" s="3069">
        <v>0.3</v>
      </c>
      <c r="D60" s="3069">
        <v>0.25</v>
      </c>
      <c r="E60" s="3069">
        <v>0.25</v>
      </c>
      <c r="F60" s="3069">
        <v>0.25</v>
      </c>
      <c r="G60" s="3069">
        <v>0.15</v>
      </c>
    </row>
    <row r="61" spans="1:7" ht="19.5" customHeight="1">
      <c r="A61" s="3101" t="s">
        <v>2583</v>
      </c>
      <c r="B61" s="3069">
        <v>0.6</v>
      </c>
      <c r="C61" s="3069">
        <v>0.3</v>
      </c>
      <c r="D61" s="3069">
        <v>0.25</v>
      </c>
      <c r="E61" s="3069">
        <v>0.25</v>
      </c>
      <c r="F61" s="3069">
        <v>0.25</v>
      </c>
      <c r="G61" s="3069">
        <v>0.15</v>
      </c>
    </row>
    <row r="62" spans="1:7" ht="19.5" customHeight="1">
      <c r="A62" s="3101" t="s">
        <v>2584</v>
      </c>
      <c r="B62" s="3069">
        <v>0.6</v>
      </c>
      <c r="C62" s="3069">
        <v>0.3</v>
      </c>
      <c r="D62" s="3069">
        <v>0.25</v>
      </c>
      <c r="E62" s="3069">
        <v>0.25</v>
      </c>
      <c r="F62" s="3069">
        <v>0.25</v>
      </c>
      <c r="G62" s="3069">
        <v>0.15</v>
      </c>
    </row>
    <row r="63" spans="1:7" ht="19.5" customHeight="1">
      <c r="A63" s="3101" t="s">
        <v>2585</v>
      </c>
      <c r="B63" s="3069">
        <v>0.6</v>
      </c>
      <c r="C63" s="3069">
        <v>0.3</v>
      </c>
      <c r="D63" s="3069">
        <v>0.25</v>
      </c>
      <c r="E63" s="3069">
        <v>0.25</v>
      </c>
      <c r="F63" s="3069">
        <v>0.25</v>
      </c>
      <c r="G63" s="3069">
        <v>0.15</v>
      </c>
    </row>
    <row r="64" spans="1:7" ht="19.5" customHeight="1">
      <c r="A64" s="3101" t="s">
        <v>2586</v>
      </c>
      <c r="B64" s="3069">
        <v>0.5</v>
      </c>
      <c r="C64" s="3069">
        <v>0.2</v>
      </c>
      <c r="D64" s="3069">
        <v>0.2</v>
      </c>
      <c r="E64" s="3069">
        <v>0.2</v>
      </c>
      <c r="F64" s="3069">
        <v>0.2</v>
      </c>
      <c r="G64" s="3069">
        <v>0.1</v>
      </c>
    </row>
    <row r="65" spans="1:7" ht="19.5" customHeight="1">
      <c r="A65" s="3101" t="s">
        <v>2587</v>
      </c>
      <c r="B65" s="3069">
        <v>0.5</v>
      </c>
      <c r="C65" s="3069">
        <v>0.2</v>
      </c>
      <c r="D65" s="3069">
        <v>0.2</v>
      </c>
      <c r="E65" s="3069">
        <v>0.2</v>
      </c>
      <c r="F65" s="3069">
        <v>0.2</v>
      </c>
      <c r="G65" s="3069">
        <v>0.1</v>
      </c>
    </row>
    <row r="66" spans="1:7" ht="19.5" customHeight="1">
      <c r="A66" s="3101" t="s">
        <v>2588</v>
      </c>
      <c r="B66" s="3069">
        <v>0.5</v>
      </c>
      <c r="C66" s="3069">
        <v>0.2</v>
      </c>
      <c r="D66" s="3069">
        <v>0.2</v>
      </c>
      <c r="E66" s="3069">
        <v>0.2</v>
      </c>
      <c r="F66" s="3069">
        <v>0.2</v>
      </c>
      <c r="G66" s="3069">
        <v>0.1</v>
      </c>
    </row>
    <row r="67" spans="1:7" ht="19.5" customHeight="1">
      <c r="A67" s="3101" t="s">
        <v>2589</v>
      </c>
      <c r="B67" s="3069">
        <v>0.5</v>
      </c>
      <c r="C67" s="3069">
        <v>0.2</v>
      </c>
      <c r="D67" s="3069">
        <v>0.2</v>
      </c>
      <c r="E67" s="3069">
        <v>0.2</v>
      </c>
      <c r="F67" s="3069">
        <v>0.2</v>
      </c>
      <c r="G67" s="3069">
        <v>0.1</v>
      </c>
    </row>
    <row r="68" spans="1:7" ht="19.5" customHeight="1">
      <c r="A68" s="3101" t="s">
        <v>2590</v>
      </c>
      <c r="B68" s="3069">
        <v>0.5</v>
      </c>
      <c r="C68" s="3069">
        <v>0.2</v>
      </c>
      <c r="D68" s="3069">
        <v>0.2</v>
      </c>
      <c r="E68" s="3069">
        <v>0.2</v>
      </c>
      <c r="F68" s="3069">
        <v>0.2</v>
      </c>
      <c r="G68" s="3069">
        <v>0.1</v>
      </c>
    </row>
    <row r="70" spans="1:7" ht="19.5" customHeight="1">
      <c r="A70" s="3102"/>
      <c r="B70" s="3103"/>
      <c r="C70" s="3103"/>
      <c r="D70" s="3103" t="s">
        <v>2627</v>
      </c>
      <c r="E70" s="3103"/>
      <c r="F70" s="3103"/>
    </row>
    <row r="71" spans="1:7" ht="19.5" customHeight="1">
      <c r="A71" s="3095" t="s">
        <v>2628</v>
      </c>
      <c r="B71" s="3095" t="s">
        <v>2629</v>
      </c>
      <c r="C71" s="3095" t="s">
        <v>2630</v>
      </c>
      <c r="D71" s="3095" t="s">
        <v>2631</v>
      </c>
      <c r="E71" s="3095" t="s">
        <v>2632</v>
      </c>
      <c r="F71" s="3095" t="s">
        <v>2633</v>
      </c>
    </row>
    <row r="72" spans="1:7" ht="13.5">
      <c r="A72" s="3095"/>
      <c r="B72" s="3095"/>
      <c r="C72" s="3095" t="s">
        <v>2634</v>
      </c>
      <c r="D72" s="3095"/>
      <c r="E72" s="3095" t="s">
        <v>2605</v>
      </c>
      <c r="F72" s="3095" t="s">
        <v>2605</v>
      </c>
    </row>
    <row r="73" spans="1:7" ht="13.5">
      <c r="A73" s="3095">
        <v>1</v>
      </c>
      <c r="B73" s="3985" t="s">
        <v>2635</v>
      </c>
      <c r="C73" s="3069" t="s">
        <v>2636</v>
      </c>
      <c r="D73" s="3069" t="s">
        <v>2637</v>
      </c>
      <c r="E73" s="3095">
        <v>0.2</v>
      </c>
      <c r="F73" s="3095">
        <v>25</v>
      </c>
    </row>
    <row r="74" spans="1:7" ht="24">
      <c r="A74" s="3095">
        <v>2</v>
      </c>
      <c r="B74" s="3987"/>
      <c r="C74" s="3069" t="s">
        <v>2638</v>
      </c>
      <c r="D74" s="3069" t="s">
        <v>2639</v>
      </c>
      <c r="E74" s="3095">
        <v>0.2</v>
      </c>
      <c r="F74" s="3095">
        <v>25</v>
      </c>
    </row>
    <row r="75" spans="1:7" ht="24">
      <c r="A75" s="3095">
        <v>3</v>
      </c>
      <c r="B75" s="3987"/>
      <c r="C75" s="3069" t="s">
        <v>2640</v>
      </c>
      <c r="D75" s="3069" t="s">
        <v>2641</v>
      </c>
      <c r="E75" s="3095">
        <v>0.2</v>
      </c>
      <c r="F75" s="3095">
        <v>25</v>
      </c>
    </row>
    <row r="76" spans="1:7" ht="13.5">
      <c r="A76" s="3095">
        <v>4</v>
      </c>
      <c r="B76" s="3987"/>
      <c r="C76" s="3069" t="s">
        <v>2642</v>
      </c>
      <c r="D76" s="3069" t="s">
        <v>2643</v>
      </c>
      <c r="E76" s="3095">
        <v>0.15</v>
      </c>
      <c r="F76" s="3095">
        <v>20</v>
      </c>
    </row>
    <row r="77" spans="1:7" ht="24">
      <c r="A77" s="3095">
        <v>5</v>
      </c>
      <c r="B77" s="3987"/>
      <c r="C77" s="3069" t="s">
        <v>2644</v>
      </c>
      <c r="D77" s="3069" t="s">
        <v>2645</v>
      </c>
      <c r="E77" s="3095">
        <v>0.15</v>
      </c>
      <c r="F77" s="3095">
        <v>20</v>
      </c>
    </row>
    <row r="78" spans="1:7" ht="24">
      <c r="A78" s="3095">
        <v>6</v>
      </c>
      <c r="B78" s="3987"/>
      <c r="C78" s="3069" t="s">
        <v>2646</v>
      </c>
      <c r="D78" s="3069" t="s">
        <v>2647</v>
      </c>
      <c r="E78" s="3095">
        <v>0.15</v>
      </c>
      <c r="F78" s="3095">
        <v>20</v>
      </c>
    </row>
    <row r="79" spans="1:7" ht="24">
      <c r="A79" s="3095">
        <v>7</v>
      </c>
      <c r="B79" s="3987"/>
      <c r="C79" s="3069" t="s">
        <v>2648</v>
      </c>
      <c r="D79" s="3069" t="s">
        <v>2649</v>
      </c>
      <c r="E79" s="3095">
        <v>0.15</v>
      </c>
      <c r="F79" s="3095">
        <v>20</v>
      </c>
    </row>
    <row r="80" spans="1:7" ht="24">
      <c r="A80" s="3095">
        <v>8</v>
      </c>
      <c r="B80" s="3987"/>
      <c r="C80" s="3069" t="s">
        <v>2650</v>
      </c>
      <c r="D80" s="3069" t="s">
        <v>2651</v>
      </c>
      <c r="E80" s="3095">
        <v>0.1</v>
      </c>
      <c r="F80" s="3095">
        <v>15</v>
      </c>
    </row>
    <row r="81" spans="1:6" ht="24">
      <c r="A81" s="3095">
        <v>9</v>
      </c>
      <c r="B81" s="3987"/>
      <c r="C81" s="3069" t="s">
        <v>2652</v>
      </c>
      <c r="D81" s="3069" t="s">
        <v>2653</v>
      </c>
      <c r="E81" s="3095">
        <v>0.1</v>
      </c>
      <c r="F81" s="3095">
        <v>15</v>
      </c>
    </row>
    <row r="82" spans="1:6" ht="24">
      <c r="A82" s="3095">
        <v>10</v>
      </c>
      <c r="B82" s="3987"/>
      <c r="C82" s="3069" t="s">
        <v>2654</v>
      </c>
      <c r="D82" s="3069" t="s">
        <v>2655</v>
      </c>
      <c r="E82" s="3095">
        <v>0.1</v>
      </c>
      <c r="F82" s="3095">
        <v>15</v>
      </c>
    </row>
    <row r="83" spans="1:6" ht="24">
      <c r="A83" s="3095">
        <v>11</v>
      </c>
      <c r="B83" s="3987"/>
      <c r="C83" s="3069" t="s">
        <v>2656</v>
      </c>
      <c r="D83" s="3069" t="s">
        <v>2657</v>
      </c>
      <c r="E83" s="3095">
        <v>0.1</v>
      </c>
      <c r="F83" s="3095">
        <v>15</v>
      </c>
    </row>
    <row r="84" spans="1:6" ht="24">
      <c r="A84" s="3095">
        <v>12</v>
      </c>
      <c r="B84" s="3987"/>
      <c r="C84" s="3069" t="s">
        <v>2658</v>
      </c>
      <c r="D84" s="3069" t="s">
        <v>2659</v>
      </c>
      <c r="E84" s="3095">
        <v>0.1</v>
      </c>
      <c r="F84" s="3095">
        <v>15</v>
      </c>
    </row>
    <row r="85" spans="1:6" ht="13.5">
      <c r="A85" s="3095">
        <v>13</v>
      </c>
      <c r="B85" s="3987"/>
      <c r="C85" s="3069" t="s">
        <v>2660</v>
      </c>
      <c r="D85" s="3069" t="s">
        <v>2661</v>
      </c>
      <c r="E85" s="3095">
        <v>0.1</v>
      </c>
      <c r="F85" s="3095">
        <v>15</v>
      </c>
    </row>
    <row r="86" spans="1:6" ht="13.5">
      <c r="A86" s="3095">
        <v>14</v>
      </c>
      <c r="B86" s="3987"/>
      <c r="C86" s="3069" t="s">
        <v>2662</v>
      </c>
      <c r="D86" s="3069" t="s">
        <v>2663</v>
      </c>
      <c r="E86" s="3095">
        <v>0.1</v>
      </c>
      <c r="F86" s="3095">
        <v>15</v>
      </c>
    </row>
    <row r="87" spans="1:6" ht="13.5">
      <c r="A87" s="3095">
        <v>15</v>
      </c>
      <c r="B87" s="3987"/>
      <c r="C87" s="3069" t="s">
        <v>2664</v>
      </c>
      <c r="D87" s="3069" t="s">
        <v>2665</v>
      </c>
      <c r="E87" s="3095">
        <v>0.1</v>
      </c>
      <c r="F87" s="3095">
        <v>15</v>
      </c>
    </row>
    <row r="88" spans="1:6" ht="24">
      <c r="A88" s="3095">
        <v>16</v>
      </c>
      <c r="B88" s="3987"/>
      <c r="C88" s="3069" t="s">
        <v>2666</v>
      </c>
      <c r="D88" s="3069" t="s">
        <v>2667</v>
      </c>
      <c r="E88" s="3095">
        <v>0.1</v>
      </c>
      <c r="F88" s="3095">
        <v>15</v>
      </c>
    </row>
    <row r="89" spans="1:6" ht="24">
      <c r="A89" s="3095">
        <v>17</v>
      </c>
      <c r="B89" s="3986"/>
      <c r="C89" s="3069" t="s">
        <v>2668</v>
      </c>
      <c r="D89" s="3069" t="s">
        <v>2669</v>
      </c>
      <c r="E89" s="3095">
        <v>0.1</v>
      </c>
      <c r="F89" s="3095">
        <v>15</v>
      </c>
    </row>
    <row r="90" spans="1:6" ht="13.5">
      <c r="A90" s="3095">
        <v>18</v>
      </c>
      <c r="B90" s="3985" t="s">
        <v>2670</v>
      </c>
      <c r="C90" s="3069" t="s">
        <v>2671</v>
      </c>
      <c r="D90" s="3069" t="s">
        <v>2672</v>
      </c>
      <c r="E90" s="3095">
        <v>0.2</v>
      </c>
      <c r="F90" s="3095">
        <v>25</v>
      </c>
    </row>
    <row r="91" spans="1:6" ht="24">
      <c r="A91" s="3095">
        <v>19</v>
      </c>
      <c r="B91" s="3987"/>
      <c r="C91" s="3069" t="s">
        <v>2673</v>
      </c>
      <c r="D91" s="3069" t="s">
        <v>2674</v>
      </c>
      <c r="E91" s="3095">
        <v>0.2</v>
      </c>
      <c r="F91" s="3095">
        <v>25</v>
      </c>
    </row>
    <row r="92" spans="1:6" ht="13.5">
      <c r="A92" s="3095">
        <v>20</v>
      </c>
      <c r="B92" s="3987"/>
      <c r="C92" s="3069" t="s">
        <v>2675</v>
      </c>
      <c r="D92" s="3069" t="s">
        <v>2676</v>
      </c>
      <c r="E92" s="3095">
        <v>0.15</v>
      </c>
      <c r="F92" s="3095">
        <v>20</v>
      </c>
    </row>
    <row r="93" spans="1:6" ht="13.5">
      <c r="A93" s="3095">
        <v>21</v>
      </c>
      <c r="B93" s="3987"/>
      <c r="C93" s="3069" t="s">
        <v>2677</v>
      </c>
      <c r="D93" s="3069" t="s">
        <v>2678</v>
      </c>
      <c r="E93" s="3095">
        <v>0.15</v>
      </c>
      <c r="F93" s="3095">
        <v>20</v>
      </c>
    </row>
    <row r="94" spans="1:6" ht="13.5">
      <c r="A94" s="3095">
        <v>22</v>
      </c>
      <c r="B94" s="3987"/>
      <c r="C94" s="3069" t="s">
        <v>2679</v>
      </c>
      <c r="D94" s="3069" t="s">
        <v>2680</v>
      </c>
      <c r="E94" s="3095">
        <v>0.15</v>
      </c>
      <c r="F94" s="3095">
        <v>20</v>
      </c>
    </row>
    <row r="95" spans="1:6" ht="36">
      <c r="A95" s="3095">
        <v>23</v>
      </c>
      <c r="B95" s="3987"/>
      <c r="C95" s="3069" t="s">
        <v>2681</v>
      </c>
      <c r="D95" s="3069" t="s">
        <v>2682</v>
      </c>
      <c r="E95" s="3095">
        <v>0.15</v>
      </c>
      <c r="F95" s="3095">
        <v>20</v>
      </c>
    </row>
    <row r="96" spans="1:6" ht="13.5">
      <c r="A96" s="3095">
        <v>24</v>
      </c>
      <c r="B96" s="3987"/>
      <c r="C96" s="3069" t="s">
        <v>2683</v>
      </c>
      <c r="D96" s="3069" t="s">
        <v>2684</v>
      </c>
      <c r="E96" s="3095">
        <v>0.1</v>
      </c>
      <c r="F96" s="3095">
        <v>15</v>
      </c>
    </row>
    <row r="97" spans="1:6" ht="13.5">
      <c r="A97" s="3095">
        <v>25</v>
      </c>
      <c r="B97" s="3987"/>
      <c r="C97" s="3069" t="s">
        <v>2685</v>
      </c>
      <c r="D97" s="3069" t="s">
        <v>2686</v>
      </c>
      <c r="E97" s="3095">
        <v>0.1</v>
      </c>
      <c r="F97" s="3095">
        <v>15</v>
      </c>
    </row>
    <row r="98" spans="1:6" ht="24">
      <c r="A98" s="3095">
        <v>26</v>
      </c>
      <c r="B98" s="3987"/>
      <c r="C98" s="3069" t="s">
        <v>2687</v>
      </c>
      <c r="D98" s="3069" t="s">
        <v>2688</v>
      </c>
      <c r="E98" s="3095">
        <v>0.1</v>
      </c>
      <c r="F98" s="3095">
        <v>15</v>
      </c>
    </row>
    <row r="99" spans="1:6" ht="24">
      <c r="A99" s="3095">
        <v>27</v>
      </c>
      <c r="B99" s="3987"/>
      <c r="C99" s="3069" t="s">
        <v>2689</v>
      </c>
      <c r="D99" s="3069" t="s">
        <v>2690</v>
      </c>
      <c r="E99" s="3095">
        <v>0.1</v>
      </c>
      <c r="F99" s="3095">
        <v>15</v>
      </c>
    </row>
    <row r="100" spans="1:6" ht="13.5">
      <c r="A100" s="3095">
        <v>28</v>
      </c>
      <c r="B100" s="3987"/>
      <c r="C100" s="3069" t="s">
        <v>2691</v>
      </c>
      <c r="D100" s="3069" t="s">
        <v>2692</v>
      </c>
      <c r="E100" s="3095">
        <v>0.1</v>
      </c>
      <c r="F100" s="3095">
        <v>15</v>
      </c>
    </row>
    <row r="101" spans="1:6" ht="13.5">
      <c r="A101" s="3095">
        <v>29</v>
      </c>
      <c r="B101" s="3987"/>
      <c r="C101" s="3069" t="s">
        <v>2693</v>
      </c>
      <c r="D101" s="3069" t="s">
        <v>2694</v>
      </c>
      <c r="E101" s="3095">
        <v>0.1</v>
      </c>
      <c r="F101" s="3095">
        <v>15</v>
      </c>
    </row>
    <row r="102" spans="1:6" ht="13.5">
      <c r="A102" s="3095">
        <v>30</v>
      </c>
      <c r="B102" s="3987"/>
      <c r="C102" s="3069" t="s">
        <v>2695</v>
      </c>
      <c r="D102" s="3069" t="s">
        <v>2696</v>
      </c>
      <c r="E102" s="3095">
        <v>0.1</v>
      </c>
      <c r="F102" s="3095">
        <v>15</v>
      </c>
    </row>
    <row r="103" spans="1:6" ht="24">
      <c r="A103" s="3095">
        <v>31</v>
      </c>
      <c r="B103" s="3987"/>
      <c r="C103" s="3069" t="s">
        <v>2697</v>
      </c>
      <c r="D103" s="3069" t="s">
        <v>2698</v>
      </c>
      <c r="E103" s="3095">
        <v>0.1</v>
      </c>
      <c r="F103" s="3095">
        <v>15</v>
      </c>
    </row>
    <row r="104" spans="1:6" ht="24">
      <c r="A104" s="3095">
        <v>32</v>
      </c>
      <c r="B104" s="3987"/>
      <c r="C104" s="3069" t="s">
        <v>2699</v>
      </c>
      <c r="D104" s="3069" t="s">
        <v>2700</v>
      </c>
      <c r="E104" s="3095">
        <v>0.1</v>
      </c>
      <c r="F104" s="3095">
        <v>15</v>
      </c>
    </row>
    <row r="105" spans="1:6" ht="24">
      <c r="A105" s="3095">
        <v>33</v>
      </c>
      <c r="B105" s="3987"/>
      <c r="C105" s="3069" t="s">
        <v>2701</v>
      </c>
      <c r="D105" s="3069" t="s">
        <v>2702</v>
      </c>
      <c r="E105" s="3095">
        <v>0.1</v>
      </c>
      <c r="F105" s="3095">
        <v>15</v>
      </c>
    </row>
    <row r="106" spans="1:6" ht="24">
      <c r="A106" s="3095">
        <v>34</v>
      </c>
      <c r="B106" s="3986"/>
      <c r="C106" s="3069" t="s">
        <v>2703</v>
      </c>
      <c r="D106" s="3069" t="s">
        <v>2704</v>
      </c>
      <c r="E106" s="3095">
        <v>0.1</v>
      </c>
      <c r="F106" s="3095">
        <v>15</v>
      </c>
    </row>
    <row r="107" spans="1:6" ht="24">
      <c r="A107" s="3095">
        <v>35</v>
      </c>
      <c r="B107" s="3985" t="s">
        <v>2705</v>
      </c>
      <c r="C107" s="3095" t="s">
        <v>2706</v>
      </c>
      <c r="D107" s="3069" t="s">
        <v>2707</v>
      </c>
      <c r="E107" s="3095">
        <v>0.15</v>
      </c>
      <c r="F107" s="3095">
        <v>20</v>
      </c>
    </row>
    <row r="108" spans="1:6" ht="13.5">
      <c r="A108" s="3095">
        <v>36</v>
      </c>
      <c r="B108" s="3987"/>
      <c r="C108" s="3095" t="s">
        <v>2708</v>
      </c>
      <c r="D108" s="3069" t="s">
        <v>2709</v>
      </c>
      <c r="E108" s="3095">
        <v>0.15</v>
      </c>
      <c r="F108" s="3095">
        <v>20</v>
      </c>
    </row>
    <row r="109" spans="1:6" ht="13.5">
      <c r="A109" s="3095">
        <v>37</v>
      </c>
      <c r="B109" s="3987"/>
      <c r="C109" s="3095" t="s">
        <v>2710</v>
      </c>
      <c r="D109" s="3069" t="s">
        <v>2711</v>
      </c>
      <c r="E109" s="3095">
        <v>0.15</v>
      </c>
      <c r="F109" s="3095">
        <v>20</v>
      </c>
    </row>
    <row r="110" spans="1:6" ht="13.5">
      <c r="A110" s="3095">
        <v>38</v>
      </c>
      <c r="B110" s="3987"/>
      <c r="C110" s="3095" t="s">
        <v>2712</v>
      </c>
      <c r="D110" s="3069" t="s">
        <v>2713</v>
      </c>
      <c r="E110" s="3095">
        <v>0.1</v>
      </c>
      <c r="F110" s="3095">
        <v>15</v>
      </c>
    </row>
    <row r="111" spans="1:6" ht="24">
      <c r="A111" s="3095">
        <v>39</v>
      </c>
      <c r="B111" s="3987"/>
      <c r="C111" s="3095" t="s">
        <v>2714</v>
      </c>
      <c r="D111" s="3069" t="s">
        <v>2715</v>
      </c>
      <c r="E111" s="3095">
        <v>0.1</v>
      </c>
      <c r="F111" s="3095">
        <v>15</v>
      </c>
    </row>
    <row r="112" spans="1:6" ht="24">
      <c r="A112" s="3095">
        <v>40</v>
      </c>
      <c r="B112" s="3986"/>
      <c r="C112" s="3095" t="s">
        <v>2716</v>
      </c>
      <c r="D112" s="3069" t="s">
        <v>2717</v>
      </c>
      <c r="E112" s="3095">
        <v>0.1</v>
      </c>
      <c r="F112" s="3095">
        <v>15</v>
      </c>
    </row>
    <row r="113" spans="1:6" ht="13.5">
      <c r="A113" s="3095">
        <v>41</v>
      </c>
      <c r="B113" s="3984" t="s">
        <v>2718</v>
      </c>
      <c r="C113" s="3095" t="s">
        <v>2719</v>
      </c>
      <c r="D113" s="3069" t="s">
        <v>2720</v>
      </c>
      <c r="E113" s="3095">
        <v>0.1</v>
      </c>
      <c r="F113" s="3095">
        <v>15</v>
      </c>
    </row>
    <row r="114" spans="1:6" ht="13.5">
      <c r="A114" s="3095">
        <v>42</v>
      </c>
      <c r="B114" s="3984"/>
      <c r="C114" s="3095" t="s">
        <v>2721</v>
      </c>
      <c r="D114" s="3069" t="s">
        <v>2722</v>
      </c>
      <c r="E114" s="3095">
        <v>0.1</v>
      </c>
      <c r="F114" s="3095">
        <v>15</v>
      </c>
    </row>
    <row r="115" spans="1:6" ht="24">
      <c r="A115" s="3095">
        <v>43</v>
      </c>
      <c r="B115" s="3984"/>
      <c r="C115" s="3095" t="s">
        <v>2723</v>
      </c>
      <c r="D115" s="3069" t="s">
        <v>2724</v>
      </c>
      <c r="E115" s="3095">
        <v>0.1</v>
      </c>
      <c r="F115" s="3095">
        <v>15</v>
      </c>
    </row>
    <row r="116" spans="1:6" ht="13.5">
      <c r="A116" s="3095">
        <v>44</v>
      </c>
      <c r="B116" s="3985" t="s">
        <v>2725</v>
      </c>
      <c r="C116" s="3095" t="s">
        <v>2726</v>
      </c>
      <c r="D116" s="3069" t="s">
        <v>2727</v>
      </c>
      <c r="E116" s="3095">
        <v>0.1</v>
      </c>
      <c r="F116" s="3095">
        <v>15</v>
      </c>
    </row>
    <row r="117" spans="1:6" ht="24">
      <c r="A117" s="3095">
        <v>45</v>
      </c>
      <c r="B117" s="3986"/>
      <c r="C117" s="3069" t="s">
        <v>2728</v>
      </c>
      <c r="D117" s="3069" t="s">
        <v>2729</v>
      </c>
      <c r="E117" s="3095">
        <v>0.1</v>
      </c>
      <c r="F117" s="3095">
        <v>15</v>
      </c>
    </row>
    <row r="118" spans="1:6" ht="24">
      <c r="A118" s="3095">
        <v>46</v>
      </c>
      <c r="B118" s="3985" t="s">
        <v>2730</v>
      </c>
      <c r="C118" s="3095" t="s">
        <v>2731</v>
      </c>
      <c r="D118" s="3069" t="s">
        <v>2732</v>
      </c>
      <c r="E118" s="3095">
        <v>0.1</v>
      </c>
      <c r="F118" s="3095">
        <v>15</v>
      </c>
    </row>
    <row r="119" spans="1:6" ht="24">
      <c r="A119" s="3095">
        <v>47</v>
      </c>
      <c r="B119" s="3986"/>
      <c r="C119" s="3095" t="s">
        <v>2733</v>
      </c>
      <c r="D119" s="3069" t="s">
        <v>2734</v>
      </c>
      <c r="E119" s="3095">
        <v>0.1</v>
      </c>
      <c r="F119" s="3095">
        <v>15</v>
      </c>
    </row>
    <row r="120" spans="1:6" ht="13.5">
      <c r="A120" s="3095">
        <v>48</v>
      </c>
      <c r="B120" s="3985" t="s">
        <v>2735</v>
      </c>
      <c r="C120" s="3095" t="s">
        <v>2736</v>
      </c>
      <c r="D120" s="3069" t="s">
        <v>2737</v>
      </c>
      <c r="E120" s="3095">
        <v>0.1</v>
      </c>
      <c r="F120" s="3095">
        <v>15</v>
      </c>
    </row>
    <row r="121" spans="1:6" ht="13.5">
      <c r="A121" s="3095">
        <v>49</v>
      </c>
      <c r="B121" s="3986"/>
      <c r="C121" s="3095" t="s">
        <v>2738</v>
      </c>
      <c r="D121" s="3069" t="s">
        <v>2739</v>
      </c>
      <c r="E121" s="3095">
        <v>0.1</v>
      </c>
      <c r="F121" s="3095">
        <v>15</v>
      </c>
    </row>
    <row r="122" spans="1:6" ht="24">
      <c r="A122" s="3095">
        <v>50</v>
      </c>
      <c r="B122" s="3984" t="s">
        <v>2740</v>
      </c>
      <c r="C122" s="3095" t="s">
        <v>2741</v>
      </c>
      <c r="D122" s="3069" t="s">
        <v>2742</v>
      </c>
      <c r="E122" s="3095">
        <v>0.1</v>
      </c>
      <c r="F122" s="3095">
        <v>15</v>
      </c>
    </row>
    <row r="123" spans="1:6" ht="24">
      <c r="A123" s="3095">
        <v>51</v>
      </c>
      <c r="B123" s="3984"/>
      <c r="C123" s="3095" t="s">
        <v>2743</v>
      </c>
      <c r="D123" s="3069" t="s">
        <v>2744</v>
      </c>
      <c r="E123" s="3095">
        <v>0.1</v>
      </c>
      <c r="F123" s="3095">
        <v>15</v>
      </c>
    </row>
    <row r="124" spans="1:6" ht="24">
      <c r="A124" s="3095">
        <v>52</v>
      </c>
      <c r="B124" s="3984" t="s">
        <v>2745</v>
      </c>
      <c r="C124" s="3095" t="s">
        <v>2746</v>
      </c>
      <c r="D124" s="3069" t="s">
        <v>2747</v>
      </c>
      <c r="E124" s="3095">
        <v>0.1</v>
      </c>
      <c r="F124" s="3095">
        <v>15</v>
      </c>
    </row>
    <row r="125" spans="1:6" ht="24">
      <c r="A125" s="3095">
        <v>53</v>
      </c>
      <c r="B125" s="3984"/>
      <c r="C125" s="3095" t="s">
        <v>2748</v>
      </c>
      <c r="D125" s="3069" t="s">
        <v>2749</v>
      </c>
      <c r="E125" s="3095">
        <v>0.1</v>
      </c>
      <c r="F125" s="3095">
        <v>15</v>
      </c>
    </row>
    <row r="126" spans="1:6" ht="13.5">
      <c r="A126" s="3095">
        <v>54</v>
      </c>
      <c r="B126" s="3095" t="s">
        <v>2750</v>
      </c>
      <c r="C126" s="3095" t="s">
        <v>2751</v>
      </c>
      <c r="D126" s="3069" t="s">
        <v>2752</v>
      </c>
      <c r="E126" s="3095">
        <v>0.1</v>
      </c>
      <c r="F126" s="3095">
        <v>15</v>
      </c>
    </row>
    <row r="127" spans="1:6" ht="13.5">
      <c r="A127" s="3095">
        <v>55</v>
      </c>
      <c r="B127" s="3984" t="s">
        <v>2753</v>
      </c>
      <c r="C127" s="3095" t="s">
        <v>2754</v>
      </c>
      <c r="D127" s="3069" t="s">
        <v>2755</v>
      </c>
      <c r="E127" s="3095">
        <v>0.1</v>
      </c>
      <c r="F127" s="3095">
        <v>15</v>
      </c>
    </row>
    <row r="128" spans="1:6" ht="13.5">
      <c r="A128" s="3095">
        <v>56</v>
      </c>
      <c r="B128" s="3984"/>
      <c r="C128" s="3095" t="s">
        <v>2756</v>
      </c>
      <c r="D128" s="3069" t="s">
        <v>2757</v>
      </c>
      <c r="E128" s="3095">
        <v>0.1</v>
      </c>
      <c r="F128" s="3095">
        <v>15</v>
      </c>
    </row>
    <row r="129" spans="1:6" ht="24">
      <c r="A129" s="3095">
        <v>57</v>
      </c>
      <c r="B129" s="3984"/>
      <c r="C129" s="3095" t="s">
        <v>2758</v>
      </c>
      <c r="D129" s="3069" t="s">
        <v>2759</v>
      </c>
      <c r="E129" s="3095">
        <v>0.1</v>
      </c>
      <c r="F129" s="3095">
        <v>15</v>
      </c>
    </row>
    <row r="130" spans="1:6" ht="24">
      <c r="A130" s="3095">
        <v>58</v>
      </c>
      <c r="B130" s="3984" t="s">
        <v>2760</v>
      </c>
      <c r="C130" s="3095" t="s">
        <v>2761</v>
      </c>
      <c r="D130" s="3069" t="s">
        <v>2762</v>
      </c>
      <c r="E130" s="3095">
        <v>0.1</v>
      </c>
      <c r="F130" s="3095">
        <v>15</v>
      </c>
    </row>
    <row r="131" spans="1:6" ht="13.5">
      <c r="A131" s="3095">
        <v>59</v>
      </c>
      <c r="B131" s="3984"/>
      <c r="C131" s="3095" t="s">
        <v>2763</v>
      </c>
      <c r="D131" s="3069" t="s">
        <v>2764</v>
      </c>
      <c r="E131" s="3095">
        <v>0.1</v>
      </c>
      <c r="F131" s="3095">
        <v>15</v>
      </c>
    </row>
    <row r="132" spans="1:6" ht="13.5">
      <c r="A132" s="3095">
        <v>60</v>
      </c>
      <c r="B132" s="3985" t="s">
        <v>2765</v>
      </c>
      <c r="C132" s="3095" t="s">
        <v>2766</v>
      </c>
      <c r="D132" s="3069" t="s">
        <v>2767</v>
      </c>
      <c r="E132" s="3095">
        <v>0.1</v>
      </c>
      <c r="F132" s="3095">
        <v>15</v>
      </c>
    </row>
    <row r="133" spans="1:6" ht="13.5">
      <c r="A133" s="3095">
        <v>61</v>
      </c>
      <c r="B133" s="3986"/>
      <c r="C133" s="3095" t="s">
        <v>2768</v>
      </c>
      <c r="D133" s="3069" t="s">
        <v>2769</v>
      </c>
      <c r="E133" s="3095">
        <v>0.1</v>
      </c>
      <c r="F133" s="3095">
        <v>15</v>
      </c>
    </row>
    <row r="134" spans="1:6" ht="24">
      <c r="A134" s="3095">
        <v>62</v>
      </c>
      <c r="B134" s="3095" t="s">
        <v>2770</v>
      </c>
      <c r="C134" s="3095" t="s">
        <v>2771</v>
      </c>
      <c r="D134" s="3069" t="s">
        <v>2772</v>
      </c>
      <c r="E134" s="3095">
        <v>0.1</v>
      </c>
      <c r="F134" s="3095">
        <v>15</v>
      </c>
    </row>
    <row r="135" spans="1:6" ht="13.5">
      <c r="A135" s="3095">
        <v>63</v>
      </c>
      <c r="B135" s="3984" t="s">
        <v>2773</v>
      </c>
      <c r="C135" s="3095" t="s">
        <v>2774</v>
      </c>
      <c r="D135" s="3069" t="s">
        <v>2775</v>
      </c>
      <c r="E135" s="3095">
        <v>0.1</v>
      </c>
      <c r="F135" s="3095">
        <v>15</v>
      </c>
    </row>
    <row r="136" spans="1:6" ht="13.5">
      <c r="A136" s="3095">
        <v>64</v>
      </c>
      <c r="B136" s="3984"/>
      <c r="C136" s="3095" t="s">
        <v>2776</v>
      </c>
      <c r="D136" s="3069" t="s">
        <v>2777</v>
      </c>
      <c r="E136" s="3095">
        <v>0.1</v>
      </c>
      <c r="F136" s="3095">
        <v>15</v>
      </c>
    </row>
    <row r="137" spans="1:6" ht="13.5">
      <c r="A137" s="3095">
        <v>65</v>
      </c>
      <c r="B137" s="3095" t="s">
        <v>2778</v>
      </c>
      <c r="C137" s="3095" t="s">
        <v>2779</v>
      </c>
      <c r="D137" s="3069" t="s">
        <v>2780</v>
      </c>
      <c r="E137" s="3095">
        <v>0.1</v>
      </c>
      <c r="F137" s="3095">
        <v>15</v>
      </c>
    </row>
    <row r="138" spans="1:6" ht="13.5">
      <c r="A138" s="3095"/>
      <c r="B138" s="3095"/>
      <c r="C138" s="3095"/>
      <c r="D138" s="3095"/>
      <c r="E138" s="3095" t="s">
        <v>2781</v>
      </c>
      <c r="F138" s="3095" t="s">
        <v>2781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18"/>
    <col min="14" max="16384" width="9" style="750"/>
  </cols>
  <sheetData>
    <row r="1" spans="1:20" ht="15" thickBot="1">
      <c r="A1" s="3104" t="s">
        <v>2782</v>
      </c>
      <c r="B1" s="3104"/>
      <c r="C1" s="3104"/>
      <c r="D1" s="3104"/>
      <c r="E1" s="3104"/>
      <c r="F1" s="3104"/>
      <c r="G1" s="3104"/>
      <c r="H1" s="3104"/>
      <c r="I1" s="3104"/>
      <c r="J1" s="3104"/>
      <c r="K1" s="3104"/>
      <c r="L1" s="3104"/>
      <c r="M1" s="3104"/>
      <c r="N1" s="749"/>
    </row>
    <row r="2" spans="1:20">
      <c r="A2" s="3105" t="s">
        <v>2783</v>
      </c>
      <c r="B2" s="3106" t="s">
        <v>2579</v>
      </c>
      <c r="C2" s="3106" t="s">
        <v>2580</v>
      </c>
      <c r="D2" s="3106" t="s">
        <v>2581</v>
      </c>
      <c r="E2" s="3106" t="s">
        <v>2582</v>
      </c>
      <c r="F2" s="3106" t="s">
        <v>2583</v>
      </c>
      <c r="G2" s="3106" t="s">
        <v>2584</v>
      </c>
      <c r="H2" s="3107" t="s">
        <v>2585</v>
      </c>
      <c r="I2" s="3107" t="s">
        <v>2586</v>
      </c>
      <c r="J2" s="3108" t="s">
        <v>2587</v>
      </c>
      <c r="K2" s="3108" t="s">
        <v>2588</v>
      </c>
      <c r="L2" s="3108" t="s">
        <v>2589</v>
      </c>
      <c r="M2" s="3109" t="s">
        <v>2590</v>
      </c>
      <c r="Q2" s="3119" t="s">
        <v>2788</v>
      </c>
      <c r="R2" s="3119" t="s">
        <v>2789</v>
      </c>
      <c r="S2" s="3119" t="s">
        <v>2790</v>
      </c>
      <c r="T2" s="3119" t="s">
        <v>2791</v>
      </c>
    </row>
    <row r="3" spans="1:20">
      <c r="A3" s="3110">
        <v>1</v>
      </c>
      <c r="B3" s="3111">
        <v>1.2574000000000001</v>
      </c>
      <c r="C3" s="3111">
        <v>1.2574000000000001</v>
      </c>
      <c r="D3" s="3111">
        <v>1.2299</v>
      </c>
      <c r="E3" s="3111">
        <v>1.2299</v>
      </c>
      <c r="F3" s="3111">
        <v>1.2299</v>
      </c>
      <c r="G3" s="3111">
        <v>1.2299</v>
      </c>
      <c r="H3" s="3111">
        <v>1.2299</v>
      </c>
      <c r="I3" s="3111">
        <v>1.2333000000000001</v>
      </c>
      <c r="J3" s="3111">
        <v>1.2333000000000001</v>
      </c>
      <c r="K3" s="3111">
        <v>1.2333000000000001</v>
      </c>
      <c r="L3" s="3111">
        <v>1.2333000000000001</v>
      </c>
      <c r="M3" s="3112">
        <v>1.2333000000000001</v>
      </c>
      <c r="N3" s="751"/>
      <c r="Q3" s="3119">
        <v>10</v>
      </c>
      <c r="R3" s="3119">
        <f>ROUND(0.9968-0.011*Q3,4)</f>
        <v>0.88680000000000003</v>
      </c>
      <c r="S3" s="3119">
        <f>ROUND(0.949-0.014*Q3,4)</f>
        <v>0.80900000000000005</v>
      </c>
      <c r="T3" s="3119">
        <f>ROUND(0.8486-0.018*Q3,4)</f>
        <v>0.66859999999999997</v>
      </c>
    </row>
    <row r="4" spans="1:20">
      <c r="A4" s="3110">
        <v>1.1000000000000001</v>
      </c>
      <c r="B4" s="3111">
        <v>1.2283999999999999</v>
      </c>
      <c r="C4" s="3111">
        <v>1.2283999999999999</v>
      </c>
      <c r="D4" s="3111">
        <v>1.1984999999999999</v>
      </c>
      <c r="E4" s="3111">
        <v>1.1984999999999999</v>
      </c>
      <c r="F4" s="3111">
        <v>1.1984999999999999</v>
      </c>
      <c r="G4" s="3111">
        <v>1.1984999999999999</v>
      </c>
      <c r="H4" s="3111">
        <v>1.1984999999999999</v>
      </c>
      <c r="I4" s="3111">
        <v>1.1899</v>
      </c>
      <c r="J4" s="3111">
        <v>1.1899</v>
      </c>
      <c r="K4" s="3111">
        <v>1.1899</v>
      </c>
      <c r="L4" s="3111">
        <v>1.1899</v>
      </c>
      <c r="M4" s="3112">
        <v>1.1899</v>
      </c>
    </row>
    <row r="5" spans="1:20">
      <c r="A5" s="3110">
        <v>1.2</v>
      </c>
      <c r="B5" s="3111">
        <v>1.2031000000000001</v>
      </c>
      <c r="C5" s="3111">
        <v>1.2031000000000001</v>
      </c>
      <c r="D5" s="3111">
        <v>1.1711</v>
      </c>
      <c r="E5" s="3111">
        <v>1.1711</v>
      </c>
      <c r="F5" s="3111">
        <v>1.1711</v>
      </c>
      <c r="G5" s="3111">
        <v>1.1711</v>
      </c>
      <c r="H5" s="3111">
        <v>1.1711</v>
      </c>
      <c r="I5" s="3111">
        <v>1.1528</v>
      </c>
      <c r="J5" s="3111">
        <v>1.1528</v>
      </c>
      <c r="K5" s="3111">
        <v>1.1528</v>
      </c>
      <c r="L5" s="3111">
        <v>1.1528</v>
      </c>
      <c r="M5" s="3112">
        <v>1.1528</v>
      </c>
    </row>
    <row r="6" spans="1:20">
      <c r="A6" s="3110">
        <v>1.3</v>
      </c>
      <c r="B6" s="3111">
        <v>1.1811</v>
      </c>
      <c r="C6" s="3111">
        <v>1.1811</v>
      </c>
      <c r="D6" s="3111">
        <v>1.1472</v>
      </c>
      <c r="E6" s="3111">
        <v>1.1472</v>
      </c>
      <c r="F6" s="3111">
        <v>1.1472</v>
      </c>
      <c r="G6" s="3111">
        <v>1.1472</v>
      </c>
      <c r="H6" s="3111">
        <v>1.1472</v>
      </c>
      <c r="I6" s="3111">
        <v>1.1214</v>
      </c>
      <c r="J6" s="3111">
        <v>1.1214</v>
      </c>
      <c r="K6" s="3111">
        <v>1.1214</v>
      </c>
      <c r="L6" s="3111">
        <v>1.1214</v>
      </c>
      <c r="M6" s="3112">
        <v>1.1214</v>
      </c>
    </row>
    <row r="7" spans="1:20">
      <c r="A7" s="3110">
        <v>1.4</v>
      </c>
      <c r="B7" s="3111">
        <v>1.1619999999999999</v>
      </c>
      <c r="C7" s="3111">
        <v>1.1619999999999999</v>
      </c>
      <c r="D7" s="3111">
        <v>1.1265000000000001</v>
      </c>
      <c r="E7" s="3111">
        <v>1.1265000000000001</v>
      </c>
      <c r="F7" s="3111">
        <v>1.1265000000000001</v>
      </c>
      <c r="G7" s="3111">
        <v>1.1265000000000001</v>
      </c>
      <c r="H7" s="3111">
        <v>1.1265000000000001</v>
      </c>
      <c r="I7" s="3111">
        <v>1.0948</v>
      </c>
      <c r="J7" s="3111">
        <v>1.0948</v>
      </c>
      <c r="K7" s="3111">
        <v>1.0948</v>
      </c>
      <c r="L7" s="3111">
        <v>1.0948</v>
      </c>
      <c r="M7" s="3112">
        <v>1.0948</v>
      </c>
    </row>
    <row r="8" spans="1:20">
      <c r="A8" s="3110">
        <v>1.5</v>
      </c>
      <c r="B8" s="3111">
        <v>1.1453</v>
      </c>
      <c r="C8" s="3111">
        <v>1.1453</v>
      </c>
      <c r="D8" s="3111">
        <v>1.1084000000000001</v>
      </c>
      <c r="E8" s="3111">
        <v>1.1084000000000001</v>
      </c>
      <c r="F8" s="3111">
        <v>1.1084000000000001</v>
      </c>
      <c r="G8" s="3111">
        <v>1.1084000000000001</v>
      </c>
      <c r="H8" s="3111">
        <v>1.1084000000000001</v>
      </c>
      <c r="I8" s="3111">
        <v>1.0725</v>
      </c>
      <c r="J8" s="3111">
        <v>1.0725</v>
      </c>
      <c r="K8" s="3111">
        <v>1.0725</v>
      </c>
      <c r="L8" s="3111">
        <v>1.0725</v>
      </c>
      <c r="M8" s="3112">
        <v>1.0725</v>
      </c>
    </row>
    <row r="9" spans="1:20">
      <c r="A9" s="3110">
        <v>1.6</v>
      </c>
      <c r="B9" s="3111">
        <v>1.1306</v>
      </c>
      <c r="C9" s="3111">
        <v>1.1306</v>
      </c>
      <c r="D9" s="3111">
        <v>1.0924</v>
      </c>
      <c r="E9" s="3111">
        <v>1.0924</v>
      </c>
      <c r="F9" s="3111">
        <v>1.0924</v>
      </c>
      <c r="G9" s="3111">
        <v>1.0924</v>
      </c>
      <c r="H9" s="3111">
        <v>1.0924</v>
      </c>
      <c r="I9" s="3111">
        <v>1.0538000000000001</v>
      </c>
      <c r="J9" s="3111">
        <v>1.0538000000000001</v>
      </c>
      <c r="K9" s="3111">
        <v>1.0538000000000001</v>
      </c>
      <c r="L9" s="3111">
        <v>1.0538000000000001</v>
      </c>
      <c r="M9" s="3112">
        <v>1.0538000000000001</v>
      </c>
    </row>
    <row r="10" spans="1:20">
      <c r="A10" s="3110">
        <v>1.7</v>
      </c>
      <c r="B10" s="3111">
        <v>1.1175999999999999</v>
      </c>
      <c r="C10" s="3111">
        <v>1.1175999999999999</v>
      </c>
      <c r="D10" s="3111">
        <v>1.0783</v>
      </c>
      <c r="E10" s="3111">
        <v>1.0783</v>
      </c>
      <c r="F10" s="3111">
        <v>1.0783</v>
      </c>
      <c r="G10" s="3111">
        <v>1.0783</v>
      </c>
      <c r="H10" s="3111">
        <v>1.0783</v>
      </c>
      <c r="I10" s="3111">
        <v>1.0379</v>
      </c>
      <c r="J10" s="3111">
        <v>1.0379</v>
      </c>
      <c r="K10" s="3111">
        <v>1.0379</v>
      </c>
      <c r="L10" s="3111">
        <v>1.0379</v>
      </c>
      <c r="M10" s="3112">
        <v>1.0379</v>
      </c>
    </row>
    <row r="11" spans="1:20">
      <c r="A11" s="3110">
        <v>1.8</v>
      </c>
      <c r="B11" s="3111">
        <v>1.1057999999999999</v>
      </c>
      <c r="C11" s="3111">
        <v>1.1057999999999999</v>
      </c>
      <c r="D11" s="3111">
        <v>1.0653999999999999</v>
      </c>
      <c r="E11" s="3111">
        <v>1.0653999999999999</v>
      </c>
      <c r="F11" s="3111">
        <v>1.0653999999999999</v>
      </c>
      <c r="G11" s="3111">
        <v>1.0653999999999999</v>
      </c>
      <c r="H11" s="3111">
        <v>1.0653999999999999</v>
      </c>
      <c r="I11" s="3111">
        <v>1.0241</v>
      </c>
      <c r="J11" s="3111">
        <v>1.0241</v>
      </c>
      <c r="K11" s="3111">
        <v>1.0241</v>
      </c>
      <c r="L11" s="3111">
        <v>1.0241</v>
      </c>
      <c r="M11" s="3112">
        <v>1.0241</v>
      </c>
    </row>
    <row r="12" spans="1:20">
      <c r="A12" s="3110">
        <v>1.9</v>
      </c>
      <c r="B12" s="3111">
        <v>1.0949</v>
      </c>
      <c r="C12" s="3111">
        <v>1.0949</v>
      </c>
      <c r="D12" s="3111">
        <v>1.0537000000000001</v>
      </c>
      <c r="E12" s="3111">
        <v>1.0537000000000001</v>
      </c>
      <c r="F12" s="3111">
        <v>1.0537000000000001</v>
      </c>
      <c r="G12" s="3111">
        <v>1.0537000000000001</v>
      </c>
      <c r="H12" s="3111">
        <v>1.0537000000000001</v>
      </c>
      <c r="I12" s="3111">
        <v>1.0117</v>
      </c>
      <c r="J12" s="3111">
        <v>1.0117</v>
      </c>
      <c r="K12" s="3111">
        <v>1.0117</v>
      </c>
      <c r="L12" s="3111">
        <v>1.0117</v>
      </c>
      <c r="M12" s="3112">
        <v>1.0117</v>
      </c>
    </row>
    <row r="13" spans="1:20">
      <c r="A13" s="3110">
        <v>2</v>
      </c>
      <c r="B13" s="3111">
        <v>1.0847</v>
      </c>
      <c r="C13" s="3111">
        <v>1.0847</v>
      </c>
      <c r="D13" s="3111">
        <v>1.0427</v>
      </c>
      <c r="E13" s="3111">
        <v>1.0427</v>
      </c>
      <c r="F13" s="3111">
        <v>1.0427</v>
      </c>
      <c r="G13" s="3111">
        <v>1.0427</v>
      </c>
      <c r="H13" s="3111">
        <v>1.0427</v>
      </c>
      <c r="I13" s="3111">
        <v>1</v>
      </c>
      <c r="J13" s="3111">
        <v>1</v>
      </c>
      <c r="K13" s="3111">
        <v>1</v>
      </c>
      <c r="L13" s="3111">
        <v>1</v>
      </c>
      <c r="M13" s="3112">
        <v>1</v>
      </c>
    </row>
    <row r="14" spans="1:20">
      <c r="A14" s="3113">
        <v>2.1</v>
      </c>
      <c r="B14" s="3111">
        <v>1.0749</v>
      </c>
      <c r="C14" s="3111">
        <v>1.0749</v>
      </c>
      <c r="D14" s="3111">
        <v>1.0327999999999999</v>
      </c>
      <c r="E14" s="3111">
        <v>1.0327999999999999</v>
      </c>
      <c r="F14" s="3111">
        <v>1.0327999999999999</v>
      </c>
      <c r="G14" s="3111">
        <v>1.0327999999999999</v>
      </c>
      <c r="H14" s="3111">
        <v>1.0327999999999999</v>
      </c>
      <c r="I14" s="3111">
        <v>0.98819999999999997</v>
      </c>
      <c r="J14" s="3111">
        <v>0.98819999999999997</v>
      </c>
      <c r="K14" s="3111">
        <v>0.98819999999999997</v>
      </c>
      <c r="L14" s="3111">
        <v>0.98819999999999997</v>
      </c>
      <c r="M14" s="3112">
        <v>0.98819999999999997</v>
      </c>
    </row>
    <row r="15" spans="1:20">
      <c r="A15" s="3113">
        <v>2.2000000000000002</v>
      </c>
      <c r="B15" s="3111">
        <v>1.0663</v>
      </c>
      <c r="C15" s="3111">
        <v>1.0663</v>
      </c>
      <c r="D15" s="3111">
        <v>1.0237000000000001</v>
      </c>
      <c r="E15" s="3111">
        <v>1.0237000000000001</v>
      </c>
      <c r="F15" s="3111">
        <v>1.0237000000000001</v>
      </c>
      <c r="G15" s="3111">
        <v>1.0237000000000001</v>
      </c>
      <c r="H15" s="3111">
        <v>1.0237000000000001</v>
      </c>
      <c r="I15" s="3111">
        <v>0.9768</v>
      </c>
      <c r="J15" s="3111">
        <v>0.9768</v>
      </c>
      <c r="K15" s="3111">
        <v>0.9768</v>
      </c>
      <c r="L15" s="3111">
        <v>0.9768</v>
      </c>
      <c r="M15" s="3112">
        <v>0.9768</v>
      </c>
    </row>
    <row r="16" spans="1:20">
      <c r="A16" s="3113">
        <v>2.2999999999999998</v>
      </c>
      <c r="B16" s="3111">
        <v>1.0584</v>
      </c>
      <c r="C16" s="3111">
        <v>1.0584</v>
      </c>
      <c r="D16" s="3111">
        <v>1.0152000000000001</v>
      </c>
      <c r="E16" s="3111">
        <v>1.0152000000000001</v>
      </c>
      <c r="F16" s="3111">
        <v>1.0152000000000001</v>
      </c>
      <c r="G16" s="3111">
        <v>1.0152000000000001</v>
      </c>
      <c r="H16" s="3111">
        <v>1.0152000000000001</v>
      </c>
      <c r="I16" s="3111">
        <v>0.96609999999999996</v>
      </c>
      <c r="J16" s="3111">
        <v>0.96609999999999996</v>
      </c>
      <c r="K16" s="3111">
        <v>0.96609999999999996</v>
      </c>
      <c r="L16" s="3111">
        <v>0.96609999999999996</v>
      </c>
      <c r="M16" s="3112">
        <v>0.96609999999999996</v>
      </c>
      <c r="N16" s="751"/>
    </row>
    <row r="17" spans="1:14">
      <c r="A17" s="3113">
        <v>2.4</v>
      </c>
      <c r="B17" s="3111">
        <v>1.0511999999999999</v>
      </c>
      <c r="C17" s="3111">
        <v>1.0511999999999999</v>
      </c>
      <c r="D17" s="3111">
        <v>1.0074000000000001</v>
      </c>
      <c r="E17" s="3111">
        <v>1.0074000000000001</v>
      </c>
      <c r="F17" s="3111">
        <v>1.0074000000000001</v>
      </c>
      <c r="G17" s="3111">
        <v>1.0074000000000001</v>
      </c>
      <c r="H17" s="3111">
        <v>1.0074000000000001</v>
      </c>
      <c r="I17" s="3111">
        <v>0.95579999999999998</v>
      </c>
      <c r="J17" s="3111">
        <v>0.95579999999999998</v>
      </c>
      <c r="K17" s="3111">
        <v>0.95579999999999998</v>
      </c>
      <c r="L17" s="3111">
        <v>0.95579999999999998</v>
      </c>
      <c r="M17" s="3112">
        <v>0.95579999999999998</v>
      </c>
      <c r="N17" s="751"/>
    </row>
    <row r="18" spans="1:14">
      <c r="A18" s="3113">
        <v>2.5</v>
      </c>
      <c r="B18" s="3111">
        <v>1.0445</v>
      </c>
      <c r="C18" s="3111">
        <v>1.0445</v>
      </c>
      <c r="D18" s="3111">
        <v>1</v>
      </c>
      <c r="E18" s="3111">
        <v>1</v>
      </c>
      <c r="F18" s="3111">
        <v>1</v>
      </c>
      <c r="G18" s="3111">
        <v>1</v>
      </c>
      <c r="H18" s="3111">
        <v>1</v>
      </c>
      <c r="I18" s="3111">
        <v>0.94620000000000004</v>
      </c>
      <c r="J18" s="3111">
        <v>0.94620000000000004</v>
      </c>
      <c r="K18" s="3111">
        <v>0.94620000000000004</v>
      </c>
      <c r="L18" s="3111">
        <v>0.94620000000000004</v>
      </c>
      <c r="M18" s="3112">
        <v>0.94620000000000004</v>
      </c>
    </row>
    <row r="19" spans="1:14">
      <c r="A19" s="3113">
        <v>2.6</v>
      </c>
      <c r="B19" s="3111">
        <v>1.0386</v>
      </c>
      <c r="C19" s="3111">
        <v>1.0386</v>
      </c>
      <c r="D19" s="3111">
        <v>0.99350000000000005</v>
      </c>
      <c r="E19" s="3111">
        <v>0.99350000000000005</v>
      </c>
      <c r="F19" s="3111">
        <v>0.99350000000000005</v>
      </c>
      <c r="G19" s="3111">
        <v>0.99350000000000005</v>
      </c>
      <c r="H19" s="3111">
        <v>0.99350000000000005</v>
      </c>
      <c r="I19" s="3111">
        <v>0.93710000000000004</v>
      </c>
      <c r="J19" s="3111">
        <v>0.93710000000000004</v>
      </c>
      <c r="K19" s="3111">
        <v>0.93710000000000004</v>
      </c>
      <c r="L19" s="3111">
        <v>0.93710000000000004</v>
      </c>
      <c r="M19" s="3112">
        <v>0.93710000000000004</v>
      </c>
    </row>
    <row r="20" spans="1:14">
      <c r="A20" s="3113">
        <v>2.7</v>
      </c>
      <c r="B20" s="3111">
        <v>1.0331999999999999</v>
      </c>
      <c r="C20" s="3111">
        <v>1.0331999999999999</v>
      </c>
      <c r="D20" s="3111">
        <v>0.98770000000000002</v>
      </c>
      <c r="E20" s="3111">
        <v>0.98770000000000002</v>
      </c>
      <c r="F20" s="3111">
        <v>0.98770000000000002</v>
      </c>
      <c r="G20" s="3111">
        <v>0.98770000000000002</v>
      </c>
      <c r="H20" s="3111">
        <v>0.98770000000000002</v>
      </c>
      <c r="I20" s="3111">
        <v>0.92859999999999998</v>
      </c>
      <c r="J20" s="3111">
        <v>0.92859999999999998</v>
      </c>
      <c r="K20" s="3111">
        <v>0.92859999999999998</v>
      </c>
      <c r="L20" s="3111">
        <v>0.92859999999999998</v>
      </c>
      <c r="M20" s="3112">
        <v>0.92859999999999998</v>
      </c>
    </row>
    <row r="21" spans="1:14">
      <c r="A21" s="3113">
        <v>2.8</v>
      </c>
      <c r="B21" s="3111">
        <v>1.0282</v>
      </c>
      <c r="C21" s="3111">
        <v>1.0282</v>
      </c>
      <c r="D21" s="3111">
        <v>0.98260000000000003</v>
      </c>
      <c r="E21" s="3111">
        <v>0.98260000000000003</v>
      </c>
      <c r="F21" s="3111">
        <v>0.98260000000000003</v>
      </c>
      <c r="G21" s="3111">
        <v>0.98260000000000003</v>
      </c>
      <c r="H21" s="3111">
        <v>0.98260000000000003</v>
      </c>
      <c r="I21" s="3111">
        <v>0.92069999999999996</v>
      </c>
      <c r="J21" s="3111">
        <v>0.92069999999999996</v>
      </c>
      <c r="K21" s="3111">
        <v>0.92069999999999996</v>
      </c>
      <c r="L21" s="3111">
        <v>0.92069999999999996</v>
      </c>
      <c r="M21" s="3112">
        <v>0.92069999999999996</v>
      </c>
    </row>
    <row r="22" spans="1:14">
      <c r="A22" s="3113">
        <v>2.9</v>
      </c>
      <c r="B22" s="3111">
        <v>1.0235000000000001</v>
      </c>
      <c r="C22" s="3111">
        <v>1.0235000000000001</v>
      </c>
      <c r="D22" s="3111">
        <v>0.97770000000000001</v>
      </c>
      <c r="E22" s="3111">
        <v>0.97770000000000001</v>
      </c>
      <c r="F22" s="3111">
        <v>0.97770000000000001</v>
      </c>
      <c r="G22" s="3111">
        <v>0.97770000000000001</v>
      </c>
      <c r="H22" s="3111">
        <v>0.97770000000000001</v>
      </c>
      <c r="I22" s="3111">
        <v>0.9133</v>
      </c>
      <c r="J22" s="3111">
        <v>0.9133</v>
      </c>
      <c r="K22" s="3111">
        <v>0.9133</v>
      </c>
      <c r="L22" s="3111">
        <v>0.9133</v>
      </c>
      <c r="M22" s="3112">
        <v>0.9133</v>
      </c>
    </row>
    <row r="23" spans="1:14">
      <c r="A23" s="3113">
        <v>3</v>
      </c>
      <c r="B23" s="3111">
        <v>1.0190999999999999</v>
      </c>
      <c r="C23" s="3111">
        <v>1.0190999999999999</v>
      </c>
      <c r="D23" s="3111">
        <v>0.97299999999999998</v>
      </c>
      <c r="E23" s="3111">
        <v>0.97299999999999998</v>
      </c>
      <c r="F23" s="3111">
        <v>0.97299999999999998</v>
      </c>
      <c r="G23" s="3111">
        <v>0.97299999999999998</v>
      </c>
      <c r="H23" s="3111">
        <v>0.97299999999999998</v>
      </c>
      <c r="I23" s="3111">
        <v>0.90629999999999999</v>
      </c>
      <c r="J23" s="3111">
        <v>0.90629999999999999</v>
      </c>
      <c r="K23" s="3111">
        <v>0.90629999999999999</v>
      </c>
      <c r="L23" s="3111">
        <v>0.90629999999999999</v>
      </c>
      <c r="M23" s="3112">
        <v>0.90629999999999999</v>
      </c>
    </row>
    <row r="24" spans="1:14">
      <c r="A24" s="3113">
        <v>3.1</v>
      </c>
      <c r="B24" s="3111">
        <v>1.0148999999999999</v>
      </c>
      <c r="C24" s="3111">
        <v>1.0148999999999999</v>
      </c>
      <c r="D24" s="3111">
        <v>0.96840000000000004</v>
      </c>
      <c r="E24" s="3111">
        <v>0.96840000000000004</v>
      </c>
      <c r="F24" s="3111">
        <v>0.96840000000000004</v>
      </c>
      <c r="G24" s="3111">
        <v>0.96840000000000004</v>
      </c>
      <c r="H24" s="3111">
        <v>0.96840000000000004</v>
      </c>
      <c r="I24" s="3111">
        <v>0.89959999999999996</v>
      </c>
      <c r="J24" s="3111">
        <v>0.89959999999999996</v>
      </c>
      <c r="K24" s="3111">
        <v>0.89959999999999996</v>
      </c>
      <c r="L24" s="3111">
        <v>0.89959999999999996</v>
      </c>
      <c r="M24" s="3112">
        <v>0.89959999999999996</v>
      </c>
    </row>
    <row r="25" spans="1:14">
      <c r="A25" s="3113">
        <v>3.2</v>
      </c>
      <c r="B25" s="3111">
        <v>1.0108999999999999</v>
      </c>
      <c r="C25" s="3111">
        <v>1.0108999999999999</v>
      </c>
      <c r="D25" s="3111">
        <v>0.96399999999999997</v>
      </c>
      <c r="E25" s="3111">
        <v>0.96399999999999997</v>
      </c>
      <c r="F25" s="3111">
        <v>0.96399999999999997</v>
      </c>
      <c r="G25" s="3111">
        <v>0.96399999999999997</v>
      </c>
      <c r="H25" s="3111">
        <v>0.96399999999999997</v>
      </c>
      <c r="I25" s="3111">
        <v>0.89319999999999999</v>
      </c>
      <c r="J25" s="3111">
        <v>0.89319999999999999</v>
      </c>
      <c r="K25" s="3111">
        <v>0.89319999999999999</v>
      </c>
      <c r="L25" s="3111">
        <v>0.89319999999999999</v>
      </c>
      <c r="M25" s="3112">
        <v>0.89319999999999999</v>
      </c>
    </row>
    <row r="26" spans="1:14">
      <c r="A26" s="3113">
        <v>3.3</v>
      </c>
      <c r="B26" s="3111">
        <v>1.0071000000000001</v>
      </c>
      <c r="C26" s="3111">
        <v>1.0071000000000001</v>
      </c>
      <c r="D26" s="3111">
        <v>0.95979999999999999</v>
      </c>
      <c r="E26" s="3111">
        <v>0.95979999999999999</v>
      </c>
      <c r="F26" s="3111">
        <v>0.95979999999999999</v>
      </c>
      <c r="G26" s="3111">
        <v>0.95979999999999999</v>
      </c>
      <c r="H26" s="3111">
        <v>0.95979999999999999</v>
      </c>
      <c r="I26" s="3111">
        <v>0.8871</v>
      </c>
      <c r="J26" s="3111">
        <v>0.8871</v>
      </c>
      <c r="K26" s="3111">
        <v>0.8871</v>
      </c>
      <c r="L26" s="3111">
        <v>0.8871</v>
      </c>
      <c r="M26" s="3112">
        <v>0.8871</v>
      </c>
    </row>
    <row r="27" spans="1:14">
      <c r="A27" s="3113">
        <v>3.4</v>
      </c>
      <c r="B27" s="3111">
        <v>1.0035000000000001</v>
      </c>
      <c r="C27" s="3111">
        <v>1.0035000000000001</v>
      </c>
      <c r="D27" s="3111">
        <v>0.95579999999999998</v>
      </c>
      <c r="E27" s="3111">
        <v>0.95579999999999998</v>
      </c>
      <c r="F27" s="3111">
        <v>0.95579999999999998</v>
      </c>
      <c r="G27" s="3111">
        <v>0.95579999999999998</v>
      </c>
      <c r="H27" s="3111">
        <v>0.95579999999999998</v>
      </c>
      <c r="I27" s="3111">
        <v>0.88119999999999998</v>
      </c>
      <c r="J27" s="3111">
        <v>0.88119999999999998</v>
      </c>
      <c r="K27" s="3111">
        <v>0.88119999999999998</v>
      </c>
      <c r="L27" s="3111">
        <v>0.88119999999999998</v>
      </c>
      <c r="M27" s="3112">
        <v>0.88119999999999998</v>
      </c>
    </row>
    <row r="28" spans="1:14">
      <c r="A28" s="3113">
        <v>3.5</v>
      </c>
      <c r="B28" s="3111">
        <v>1</v>
      </c>
      <c r="C28" s="3111">
        <v>1</v>
      </c>
      <c r="D28" s="3111">
        <v>0.95199999999999996</v>
      </c>
      <c r="E28" s="3111">
        <v>0.95199999999999996</v>
      </c>
      <c r="F28" s="3111">
        <v>0.95199999999999996</v>
      </c>
      <c r="G28" s="3111">
        <v>0.95199999999999996</v>
      </c>
      <c r="H28" s="3111">
        <v>0.95199999999999996</v>
      </c>
      <c r="I28" s="3111">
        <v>0.87549999999999994</v>
      </c>
      <c r="J28" s="3111">
        <v>0.87549999999999994</v>
      </c>
      <c r="K28" s="3111">
        <v>0.87549999999999994</v>
      </c>
      <c r="L28" s="3111">
        <v>0.87549999999999994</v>
      </c>
      <c r="M28" s="3112">
        <v>0.87549999999999994</v>
      </c>
    </row>
    <row r="29" spans="1:14">
      <c r="A29" s="3113">
        <v>3.6</v>
      </c>
      <c r="B29" s="3111">
        <v>0.99660000000000004</v>
      </c>
      <c r="C29" s="3111">
        <v>0.99660000000000004</v>
      </c>
      <c r="D29" s="3111">
        <v>0.94840000000000002</v>
      </c>
      <c r="E29" s="3111">
        <v>0.94840000000000002</v>
      </c>
      <c r="F29" s="3111">
        <v>0.94840000000000002</v>
      </c>
      <c r="G29" s="3111">
        <v>0.94840000000000002</v>
      </c>
      <c r="H29" s="3111">
        <v>0.94840000000000002</v>
      </c>
      <c r="I29" s="3111">
        <v>0.87</v>
      </c>
      <c r="J29" s="3111">
        <v>0.87</v>
      </c>
      <c r="K29" s="3111">
        <v>0.87</v>
      </c>
      <c r="L29" s="3111">
        <v>0.87</v>
      </c>
      <c r="M29" s="3112">
        <v>0.87</v>
      </c>
    </row>
    <row r="30" spans="1:14">
      <c r="A30" s="3113">
        <v>3.7</v>
      </c>
      <c r="B30" s="3111">
        <v>0.99329999999999996</v>
      </c>
      <c r="C30" s="3111">
        <v>0.99329999999999996</v>
      </c>
      <c r="D30" s="3111">
        <v>0.94499999999999995</v>
      </c>
      <c r="E30" s="3111">
        <v>0.94499999999999995</v>
      </c>
      <c r="F30" s="3111">
        <v>0.94499999999999995</v>
      </c>
      <c r="G30" s="3111">
        <v>0.94499999999999995</v>
      </c>
      <c r="H30" s="3111">
        <v>0.94499999999999995</v>
      </c>
      <c r="I30" s="3111">
        <v>0.86470000000000002</v>
      </c>
      <c r="J30" s="3111">
        <v>0.86470000000000002</v>
      </c>
      <c r="K30" s="3111">
        <v>0.86470000000000002</v>
      </c>
      <c r="L30" s="3111">
        <v>0.86470000000000002</v>
      </c>
      <c r="M30" s="3112">
        <v>0.86470000000000002</v>
      </c>
    </row>
    <row r="31" spans="1:14">
      <c r="A31" s="3113">
        <v>3.8</v>
      </c>
      <c r="B31" s="3111">
        <v>0.99009999999999998</v>
      </c>
      <c r="C31" s="3111">
        <v>0.99009999999999998</v>
      </c>
      <c r="D31" s="3111">
        <v>0.94169999999999998</v>
      </c>
      <c r="E31" s="3111">
        <v>0.94169999999999998</v>
      </c>
      <c r="F31" s="3111">
        <v>0.94169999999999998</v>
      </c>
      <c r="G31" s="3111">
        <v>0.94169999999999998</v>
      </c>
      <c r="H31" s="3111">
        <v>0.94169999999999998</v>
      </c>
      <c r="I31" s="3111">
        <v>0.85960000000000003</v>
      </c>
      <c r="J31" s="3111">
        <v>0.85960000000000003</v>
      </c>
      <c r="K31" s="3111">
        <v>0.85960000000000003</v>
      </c>
      <c r="L31" s="3111">
        <v>0.85960000000000003</v>
      </c>
      <c r="M31" s="3112">
        <v>0.85960000000000003</v>
      </c>
    </row>
    <row r="32" spans="1:14">
      <c r="A32" s="3113">
        <v>3.9</v>
      </c>
      <c r="B32" s="3111">
        <v>0.98699999999999999</v>
      </c>
      <c r="C32" s="3111">
        <v>0.98699999999999999</v>
      </c>
      <c r="D32" s="3111">
        <v>0.9385</v>
      </c>
      <c r="E32" s="3111">
        <v>0.9385</v>
      </c>
      <c r="F32" s="3111">
        <v>0.9385</v>
      </c>
      <c r="G32" s="3111">
        <v>0.9385</v>
      </c>
      <c r="H32" s="3111">
        <v>0.9385</v>
      </c>
      <c r="I32" s="3111">
        <v>0.85470000000000002</v>
      </c>
      <c r="J32" s="3111">
        <v>0.85470000000000002</v>
      </c>
      <c r="K32" s="3111">
        <v>0.85470000000000002</v>
      </c>
      <c r="L32" s="3111">
        <v>0.85470000000000002</v>
      </c>
      <c r="M32" s="3112">
        <v>0.85470000000000002</v>
      </c>
    </row>
    <row r="33" spans="1:13">
      <c r="A33" s="3113">
        <v>4</v>
      </c>
      <c r="B33" s="3111">
        <v>0.98399999999999999</v>
      </c>
      <c r="C33" s="3111">
        <v>0.98399999999999999</v>
      </c>
      <c r="D33" s="3111">
        <v>0.93540000000000001</v>
      </c>
      <c r="E33" s="3111">
        <v>0.93540000000000001</v>
      </c>
      <c r="F33" s="3111">
        <v>0.93540000000000001</v>
      </c>
      <c r="G33" s="3111">
        <v>0.93540000000000001</v>
      </c>
      <c r="H33" s="3111">
        <v>0.93540000000000001</v>
      </c>
      <c r="I33" s="3111">
        <v>0.84989999999999999</v>
      </c>
      <c r="J33" s="3111">
        <v>0.84989999999999999</v>
      </c>
      <c r="K33" s="3111">
        <v>0.84989999999999999</v>
      </c>
      <c r="L33" s="3111">
        <v>0.84989999999999999</v>
      </c>
      <c r="M33" s="3112">
        <v>0.84989999999999999</v>
      </c>
    </row>
    <row r="34" spans="1:13">
      <c r="A34" s="3113">
        <v>4.0999999999999996</v>
      </c>
      <c r="B34" s="3111">
        <v>0.98109999999999997</v>
      </c>
      <c r="C34" s="3111">
        <v>0.98109999999999997</v>
      </c>
      <c r="D34" s="3111">
        <v>0.93240000000000001</v>
      </c>
      <c r="E34" s="3111">
        <v>0.93240000000000001</v>
      </c>
      <c r="F34" s="3111">
        <v>0.93240000000000001</v>
      </c>
      <c r="G34" s="3111">
        <v>0.93240000000000001</v>
      </c>
      <c r="H34" s="3111">
        <v>0.93240000000000001</v>
      </c>
      <c r="I34" s="3111">
        <v>0.84519999999999995</v>
      </c>
      <c r="J34" s="3111">
        <v>0.84519999999999995</v>
      </c>
      <c r="K34" s="3111">
        <v>0.84519999999999995</v>
      </c>
      <c r="L34" s="3111">
        <v>0.84519999999999995</v>
      </c>
      <c r="M34" s="3112">
        <v>0.84519999999999995</v>
      </c>
    </row>
    <row r="35" spans="1:13">
      <c r="A35" s="3113">
        <v>4.2</v>
      </c>
      <c r="B35" s="3111">
        <v>0.97829999999999995</v>
      </c>
      <c r="C35" s="3111">
        <v>0.97829999999999995</v>
      </c>
      <c r="D35" s="3111">
        <v>0.92949999999999999</v>
      </c>
      <c r="E35" s="3111">
        <v>0.92949999999999999</v>
      </c>
      <c r="F35" s="3111">
        <v>0.92949999999999999</v>
      </c>
      <c r="G35" s="3111">
        <v>0.92949999999999999</v>
      </c>
      <c r="H35" s="3111">
        <v>0.92949999999999999</v>
      </c>
      <c r="I35" s="3111">
        <v>0.84060000000000001</v>
      </c>
      <c r="J35" s="3111">
        <v>0.84060000000000001</v>
      </c>
      <c r="K35" s="3111">
        <v>0.84060000000000001</v>
      </c>
      <c r="L35" s="3111">
        <v>0.84060000000000001</v>
      </c>
      <c r="M35" s="3112">
        <v>0.84060000000000001</v>
      </c>
    </row>
    <row r="36" spans="1:13">
      <c r="A36" s="3113">
        <v>4.3</v>
      </c>
      <c r="B36" s="3111">
        <v>0.97560000000000002</v>
      </c>
      <c r="C36" s="3111">
        <v>0.97560000000000002</v>
      </c>
      <c r="D36" s="3111">
        <v>0.92669999999999997</v>
      </c>
      <c r="E36" s="3111">
        <v>0.92669999999999997</v>
      </c>
      <c r="F36" s="3111">
        <v>0.92669999999999997</v>
      </c>
      <c r="G36" s="3111">
        <v>0.92669999999999997</v>
      </c>
      <c r="H36" s="3111">
        <v>0.92669999999999997</v>
      </c>
      <c r="I36" s="3111">
        <v>0.83609999999999995</v>
      </c>
      <c r="J36" s="3111">
        <v>0.83609999999999995</v>
      </c>
      <c r="K36" s="3111">
        <v>0.83609999999999995</v>
      </c>
      <c r="L36" s="3111">
        <v>0.83609999999999995</v>
      </c>
      <c r="M36" s="3112">
        <v>0.83609999999999995</v>
      </c>
    </row>
    <row r="37" spans="1:13">
      <c r="A37" s="3113">
        <v>4.4000000000000004</v>
      </c>
      <c r="B37" s="3111">
        <v>0.97299999999999998</v>
      </c>
      <c r="C37" s="3111">
        <v>0.97299999999999998</v>
      </c>
      <c r="D37" s="3111">
        <v>0.92400000000000004</v>
      </c>
      <c r="E37" s="3111">
        <v>0.92400000000000004</v>
      </c>
      <c r="F37" s="3111">
        <v>0.92400000000000004</v>
      </c>
      <c r="G37" s="3111">
        <v>0.92400000000000004</v>
      </c>
      <c r="H37" s="3111">
        <v>0.92400000000000004</v>
      </c>
      <c r="I37" s="3111">
        <v>0.83169999999999999</v>
      </c>
      <c r="J37" s="3111">
        <v>0.83169999999999999</v>
      </c>
      <c r="K37" s="3111">
        <v>0.83169999999999999</v>
      </c>
      <c r="L37" s="3111">
        <v>0.83169999999999999</v>
      </c>
      <c r="M37" s="3112">
        <v>0.83169999999999999</v>
      </c>
    </row>
    <row r="38" spans="1:13">
      <c r="A38" s="3113">
        <v>4.5</v>
      </c>
      <c r="B38" s="3111">
        <v>0.97050000000000003</v>
      </c>
      <c r="C38" s="3111">
        <v>0.97050000000000003</v>
      </c>
      <c r="D38" s="3111">
        <v>0.92130000000000001</v>
      </c>
      <c r="E38" s="3111">
        <v>0.92130000000000001</v>
      </c>
      <c r="F38" s="3111">
        <v>0.92130000000000001</v>
      </c>
      <c r="G38" s="3111">
        <v>0.92130000000000001</v>
      </c>
      <c r="H38" s="3111">
        <v>0.92130000000000001</v>
      </c>
      <c r="I38" s="3111">
        <v>0.82740000000000002</v>
      </c>
      <c r="J38" s="3111">
        <v>0.82740000000000002</v>
      </c>
      <c r="K38" s="3111">
        <v>0.82740000000000002</v>
      </c>
      <c r="L38" s="3111">
        <v>0.82740000000000002</v>
      </c>
      <c r="M38" s="3112">
        <v>0.82740000000000002</v>
      </c>
    </row>
    <row r="39" spans="1:13">
      <c r="A39" s="3113">
        <v>4.5999999999999996</v>
      </c>
      <c r="B39" s="3111">
        <v>0.96809999999999996</v>
      </c>
      <c r="C39" s="3111">
        <v>0.96809999999999996</v>
      </c>
      <c r="D39" s="3111">
        <v>0.91869999999999996</v>
      </c>
      <c r="E39" s="3111">
        <v>0.91869999999999996</v>
      </c>
      <c r="F39" s="3111">
        <v>0.91869999999999996</v>
      </c>
      <c r="G39" s="3111">
        <v>0.91869999999999996</v>
      </c>
      <c r="H39" s="3111">
        <v>0.91869999999999996</v>
      </c>
      <c r="I39" s="3111">
        <v>0.82320000000000004</v>
      </c>
      <c r="J39" s="3111">
        <v>0.82320000000000004</v>
      </c>
      <c r="K39" s="3111">
        <v>0.82320000000000004</v>
      </c>
      <c r="L39" s="3111">
        <v>0.82320000000000004</v>
      </c>
      <c r="M39" s="3112">
        <v>0.82320000000000004</v>
      </c>
    </row>
    <row r="40" spans="1:13">
      <c r="A40" s="3113">
        <v>4.7</v>
      </c>
      <c r="B40" s="3111">
        <v>0.96579999999999999</v>
      </c>
      <c r="C40" s="3111">
        <v>0.96579999999999999</v>
      </c>
      <c r="D40" s="3111">
        <v>0.91610000000000003</v>
      </c>
      <c r="E40" s="3111">
        <v>0.91610000000000003</v>
      </c>
      <c r="F40" s="3111">
        <v>0.91610000000000003</v>
      </c>
      <c r="G40" s="3111">
        <v>0.91610000000000003</v>
      </c>
      <c r="H40" s="3111">
        <v>0.91610000000000003</v>
      </c>
      <c r="I40" s="3111">
        <v>0.81910000000000005</v>
      </c>
      <c r="J40" s="3111">
        <v>0.81910000000000005</v>
      </c>
      <c r="K40" s="3111">
        <v>0.81910000000000005</v>
      </c>
      <c r="L40" s="3111">
        <v>0.81910000000000005</v>
      </c>
      <c r="M40" s="3112">
        <v>0.81910000000000005</v>
      </c>
    </row>
    <row r="41" spans="1:13">
      <c r="A41" s="3113">
        <v>4.8</v>
      </c>
      <c r="B41" s="3111">
        <v>0.96360000000000001</v>
      </c>
      <c r="C41" s="3111">
        <v>0.96360000000000001</v>
      </c>
      <c r="D41" s="3111">
        <v>0.91349999999999998</v>
      </c>
      <c r="E41" s="3111">
        <v>0.91349999999999998</v>
      </c>
      <c r="F41" s="3111">
        <v>0.91349999999999998</v>
      </c>
      <c r="G41" s="3111">
        <v>0.91349999999999998</v>
      </c>
      <c r="H41" s="3111">
        <v>0.91349999999999998</v>
      </c>
      <c r="I41" s="3111">
        <v>0.81510000000000005</v>
      </c>
      <c r="J41" s="3111">
        <v>0.81510000000000005</v>
      </c>
      <c r="K41" s="3111">
        <v>0.81510000000000005</v>
      </c>
      <c r="L41" s="3111">
        <v>0.81510000000000005</v>
      </c>
      <c r="M41" s="3112">
        <v>0.81510000000000005</v>
      </c>
    </row>
    <row r="42" spans="1:13">
      <c r="A42" s="3113">
        <v>4.9000000000000004</v>
      </c>
      <c r="B42" s="3111">
        <v>0.96150000000000002</v>
      </c>
      <c r="C42" s="3111">
        <v>0.96150000000000002</v>
      </c>
      <c r="D42" s="3111">
        <v>0.91100000000000003</v>
      </c>
      <c r="E42" s="3111">
        <v>0.91100000000000003</v>
      </c>
      <c r="F42" s="3111">
        <v>0.91100000000000003</v>
      </c>
      <c r="G42" s="3111">
        <v>0.91100000000000003</v>
      </c>
      <c r="H42" s="3111">
        <v>0.91100000000000003</v>
      </c>
      <c r="I42" s="3111">
        <v>0.81110000000000004</v>
      </c>
      <c r="J42" s="3111">
        <v>0.81110000000000004</v>
      </c>
      <c r="K42" s="3111">
        <v>0.81110000000000004</v>
      </c>
      <c r="L42" s="3111">
        <v>0.81110000000000004</v>
      </c>
      <c r="M42" s="3112">
        <v>0.81110000000000004</v>
      </c>
    </row>
    <row r="43" spans="1:13">
      <c r="A43" s="3113">
        <v>5</v>
      </c>
      <c r="B43" s="3111">
        <v>0.95940000000000003</v>
      </c>
      <c r="C43" s="3111">
        <v>0.95940000000000003</v>
      </c>
      <c r="D43" s="3111">
        <v>0.90849999999999997</v>
      </c>
      <c r="E43" s="3111">
        <v>0.90849999999999997</v>
      </c>
      <c r="F43" s="3111">
        <v>0.90849999999999997</v>
      </c>
      <c r="G43" s="3111">
        <v>0.90849999999999997</v>
      </c>
      <c r="H43" s="3111">
        <v>0.90849999999999997</v>
      </c>
      <c r="I43" s="3111">
        <v>0.80720000000000003</v>
      </c>
      <c r="J43" s="3111">
        <v>0.80720000000000003</v>
      </c>
      <c r="K43" s="3111">
        <v>0.80720000000000003</v>
      </c>
      <c r="L43" s="3111">
        <v>0.80720000000000003</v>
      </c>
      <c r="M43" s="3112">
        <v>0.80720000000000003</v>
      </c>
    </row>
    <row r="44" spans="1:13">
      <c r="A44" s="3110">
        <v>5.0999999999999996</v>
      </c>
      <c r="B44" s="3111">
        <v>0.95740000000000003</v>
      </c>
      <c r="C44" s="3111">
        <v>0.95740000000000003</v>
      </c>
      <c r="D44" s="3111">
        <v>0.90600000000000003</v>
      </c>
      <c r="E44" s="3111">
        <v>0.90600000000000003</v>
      </c>
      <c r="F44" s="3111">
        <v>0.90600000000000003</v>
      </c>
      <c r="G44" s="3111">
        <v>0.90600000000000003</v>
      </c>
      <c r="H44" s="3111">
        <v>0.90600000000000003</v>
      </c>
      <c r="I44" s="3111">
        <v>0.80330000000000001</v>
      </c>
      <c r="J44" s="3111">
        <v>0.80330000000000001</v>
      </c>
      <c r="K44" s="3111">
        <v>0.80330000000000001</v>
      </c>
      <c r="L44" s="3111">
        <v>0.80330000000000001</v>
      </c>
      <c r="M44" s="3112">
        <v>0.80330000000000001</v>
      </c>
    </row>
    <row r="45" spans="1:13">
      <c r="A45" s="3110">
        <v>5.2</v>
      </c>
      <c r="B45" s="3111">
        <v>0.95540000000000003</v>
      </c>
      <c r="C45" s="3111">
        <v>0.95540000000000003</v>
      </c>
      <c r="D45" s="3111">
        <v>0.90349999999999997</v>
      </c>
      <c r="E45" s="3111">
        <v>0.90349999999999997</v>
      </c>
      <c r="F45" s="3111">
        <v>0.90349999999999997</v>
      </c>
      <c r="G45" s="3111">
        <v>0.90349999999999997</v>
      </c>
      <c r="H45" s="3111">
        <v>0.90349999999999997</v>
      </c>
      <c r="I45" s="3111">
        <v>0.79949999999999999</v>
      </c>
      <c r="J45" s="3111">
        <v>0.79949999999999999</v>
      </c>
      <c r="K45" s="3111">
        <v>0.79949999999999999</v>
      </c>
      <c r="L45" s="3111">
        <v>0.79949999999999999</v>
      </c>
      <c r="M45" s="3112">
        <v>0.79949999999999999</v>
      </c>
    </row>
    <row r="46" spans="1:13">
      <c r="A46" s="3110">
        <v>5.3</v>
      </c>
      <c r="B46" s="3111">
        <v>0.95350000000000001</v>
      </c>
      <c r="C46" s="3111">
        <v>0.95350000000000001</v>
      </c>
      <c r="D46" s="3111">
        <v>0.90110000000000001</v>
      </c>
      <c r="E46" s="3111">
        <v>0.90110000000000001</v>
      </c>
      <c r="F46" s="3111">
        <v>0.90110000000000001</v>
      </c>
      <c r="G46" s="3111">
        <v>0.90110000000000001</v>
      </c>
      <c r="H46" s="3111">
        <v>0.90110000000000001</v>
      </c>
      <c r="I46" s="3111">
        <v>0.79569999999999996</v>
      </c>
      <c r="J46" s="3111">
        <v>0.79569999999999996</v>
      </c>
      <c r="K46" s="3111">
        <v>0.79569999999999996</v>
      </c>
      <c r="L46" s="3111">
        <v>0.79569999999999996</v>
      </c>
      <c r="M46" s="3112">
        <v>0.79569999999999996</v>
      </c>
    </row>
    <row r="47" spans="1:13">
      <c r="A47" s="3110">
        <v>5.4</v>
      </c>
      <c r="B47" s="3111">
        <v>0.9516</v>
      </c>
      <c r="C47" s="3111">
        <v>0.9516</v>
      </c>
      <c r="D47" s="3111">
        <v>0.89870000000000005</v>
      </c>
      <c r="E47" s="3111">
        <v>0.89870000000000005</v>
      </c>
      <c r="F47" s="3111">
        <v>0.89870000000000005</v>
      </c>
      <c r="G47" s="3111">
        <v>0.89870000000000005</v>
      </c>
      <c r="H47" s="3111">
        <v>0.89870000000000005</v>
      </c>
      <c r="I47" s="3111">
        <v>0.79200000000000004</v>
      </c>
      <c r="J47" s="3111">
        <v>0.79200000000000004</v>
      </c>
      <c r="K47" s="3111">
        <v>0.79200000000000004</v>
      </c>
      <c r="L47" s="3111">
        <v>0.79200000000000004</v>
      </c>
      <c r="M47" s="3112">
        <v>0.79200000000000004</v>
      </c>
    </row>
    <row r="48" spans="1:13">
      <c r="A48" s="3110">
        <v>5.5</v>
      </c>
      <c r="B48" s="3111">
        <v>0.94979999999999998</v>
      </c>
      <c r="C48" s="3111">
        <v>0.94979999999999998</v>
      </c>
      <c r="D48" s="3111">
        <v>0.89629999999999999</v>
      </c>
      <c r="E48" s="3111">
        <v>0.89629999999999999</v>
      </c>
      <c r="F48" s="3111">
        <v>0.89629999999999999</v>
      </c>
      <c r="G48" s="3111">
        <v>0.89629999999999999</v>
      </c>
      <c r="H48" s="3111">
        <v>0.89629999999999999</v>
      </c>
      <c r="I48" s="3111">
        <v>0.7883</v>
      </c>
      <c r="J48" s="3111">
        <v>0.7883</v>
      </c>
      <c r="K48" s="3111">
        <v>0.7883</v>
      </c>
      <c r="L48" s="3111">
        <v>0.7883</v>
      </c>
      <c r="M48" s="3112">
        <v>0.7883</v>
      </c>
    </row>
    <row r="49" spans="1:13">
      <c r="A49" s="3110">
        <v>5.6</v>
      </c>
      <c r="B49" s="3111">
        <v>0.94799999999999995</v>
      </c>
      <c r="C49" s="3111">
        <v>0.94799999999999995</v>
      </c>
      <c r="D49" s="3111">
        <v>0.89390000000000003</v>
      </c>
      <c r="E49" s="3111">
        <v>0.89390000000000003</v>
      </c>
      <c r="F49" s="3111">
        <v>0.89390000000000003</v>
      </c>
      <c r="G49" s="3111">
        <v>0.89390000000000003</v>
      </c>
      <c r="H49" s="3111">
        <v>0.89390000000000003</v>
      </c>
      <c r="I49" s="3111">
        <v>0.78469999999999995</v>
      </c>
      <c r="J49" s="3111">
        <v>0.78469999999999995</v>
      </c>
      <c r="K49" s="3111">
        <v>0.78469999999999995</v>
      </c>
      <c r="L49" s="3111">
        <v>0.78469999999999995</v>
      </c>
      <c r="M49" s="3112">
        <v>0.78469999999999995</v>
      </c>
    </row>
    <row r="50" spans="1:13">
      <c r="A50" s="3113">
        <v>5.7</v>
      </c>
      <c r="B50" s="3111">
        <v>0.94620000000000004</v>
      </c>
      <c r="C50" s="3111">
        <v>0.94620000000000004</v>
      </c>
      <c r="D50" s="3111">
        <v>0.89149999999999996</v>
      </c>
      <c r="E50" s="3111">
        <v>0.89149999999999996</v>
      </c>
      <c r="F50" s="3111">
        <v>0.89149999999999996</v>
      </c>
      <c r="G50" s="3111">
        <v>0.89149999999999996</v>
      </c>
      <c r="H50" s="3111">
        <v>0.89149999999999996</v>
      </c>
      <c r="I50" s="3111">
        <v>0.78110000000000002</v>
      </c>
      <c r="J50" s="3111">
        <v>0.78110000000000002</v>
      </c>
      <c r="K50" s="3111">
        <v>0.78110000000000002</v>
      </c>
      <c r="L50" s="3111">
        <v>0.78110000000000002</v>
      </c>
      <c r="M50" s="3112">
        <v>0.78110000000000002</v>
      </c>
    </row>
    <row r="51" spans="1:13">
      <c r="A51" s="3110">
        <v>5.8</v>
      </c>
      <c r="B51" s="3111">
        <v>0.94450000000000001</v>
      </c>
      <c r="C51" s="3111">
        <v>0.94450000000000001</v>
      </c>
      <c r="D51" s="3111">
        <v>0.88919999999999999</v>
      </c>
      <c r="E51" s="3111">
        <v>0.88919999999999999</v>
      </c>
      <c r="F51" s="3111">
        <v>0.88919999999999999</v>
      </c>
      <c r="G51" s="3111">
        <v>0.88919999999999999</v>
      </c>
      <c r="H51" s="3111">
        <v>0.88919999999999999</v>
      </c>
      <c r="I51" s="3111">
        <v>0.77759999999999996</v>
      </c>
      <c r="J51" s="3111">
        <v>0.77759999999999996</v>
      </c>
      <c r="K51" s="3111">
        <v>0.77759999999999996</v>
      </c>
      <c r="L51" s="3111">
        <v>0.77759999999999996</v>
      </c>
      <c r="M51" s="3112">
        <v>0.77759999999999996</v>
      </c>
    </row>
    <row r="52" spans="1:13">
      <c r="A52" s="3110">
        <v>5.9</v>
      </c>
      <c r="B52" s="3111">
        <v>0.94279999999999997</v>
      </c>
      <c r="C52" s="3111">
        <v>0.94279999999999997</v>
      </c>
      <c r="D52" s="3111">
        <v>0.88690000000000002</v>
      </c>
      <c r="E52" s="3111">
        <v>0.88690000000000002</v>
      </c>
      <c r="F52" s="3111">
        <v>0.88690000000000002</v>
      </c>
      <c r="G52" s="3111">
        <v>0.88690000000000002</v>
      </c>
      <c r="H52" s="3111">
        <v>0.88690000000000002</v>
      </c>
      <c r="I52" s="3111">
        <v>0.77410000000000001</v>
      </c>
      <c r="J52" s="3111">
        <v>0.77410000000000001</v>
      </c>
      <c r="K52" s="3111">
        <v>0.77410000000000001</v>
      </c>
      <c r="L52" s="3111">
        <v>0.77410000000000001</v>
      </c>
      <c r="M52" s="3112">
        <v>0.77410000000000001</v>
      </c>
    </row>
    <row r="53" spans="1:13">
      <c r="A53" s="3110">
        <v>6</v>
      </c>
      <c r="B53" s="3111">
        <v>0.94110000000000005</v>
      </c>
      <c r="C53" s="3111">
        <v>0.94110000000000005</v>
      </c>
      <c r="D53" s="3111">
        <v>0.88460000000000005</v>
      </c>
      <c r="E53" s="3111">
        <v>0.88460000000000005</v>
      </c>
      <c r="F53" s="3111">
        <v>0.88460000000000005</v>
      </c>
      <c r="G53" s="3111">
        <v>0.88460000000000005</v>
      </c>
      <c r="H53" s="3111">
        <v>0.88460000000000005</v>
      </c>
      <c r="I53" s="3111">
        <v>0.77070000000000005</v>
      </c>
      <c r="J53" s="3111">
        <v>0.77070000000000005</v>
      </c>
      <c r="K53" s="3111">
        <v>0.77070000000000005</v>
      </c>
      <c r="L53" s="3111">
        <v>0.77070000000000005</v>
      </c>
      <c r="M53" s="3112">
        <v>0.77070000000000005</v>
      </c>
    </row>
    <row r="54" spans="1:13">
      <c r="A54" s="3110">
        <v>6.1</v>
      </c>
      <c r="B54" s="3111">
        <v>0.93940000000000001</v>
      </c>
      <c r="C54" s="3111">
        <v>0.93940000000000001</v>
      </c>
      <c r="D54" s="3111">
        <v>0.88229999999999997</v>
      </c>
      <c r="E54" s="3111">
        <v>0.88229999999999997</v>
      </c>
      <c r="F54" s="3111">
        <v>0.88229999999999997</v>
      </c>
      <c r="G54" s="3111">
        <v>0.88229999999999997</v>
      </c>
      <c r="H54" s="3111">
        <v>0.88229999999999997</v>
      </c>
      <c r="I54" s="3111">
        <v>0.76729999999999998</v>
      </c>
      <c r="J54" s="3111">
        <v>0.76729999999999998</v>
      </c>
      <c r="K54" s="3111">
        <v>0.76729999999999998</v>
      </c>
      <c r="L54" s="3111">
        <v>0.76729999999999998</v>
      </c>
      <c r="M54" s="3112">
        <v>0.76729999999999998</v>
      </c>
    </row>
    <row r="55" spans="1:13">
      <c r="A55" s="3110">
        <v>6.2</v>
      </c>
      <c r="B55" s="3111">
        <v>0.93769999999999998</v>
      </c>
      <c r="C55" s="3111">
        <v>0.93769999999999998</v>
      </c>
      <c r="D55" s="3111">
        <v>0.88</v>
      </c>
      <c r="E55" s="3111">
        <v>0.88</v>
      </c>
      <c r="F55" s="3111">
        <v>0.88</v>
      </c>
      <c r="G55" s="3111">
        <v>0.88</v>
      </c>
      <c r="H55" s="3111">
        <v>0.88</v>
      </c>
      <c r="I55" s="3111">
        <v>0.76400000000000001</v>
      </c>
      <c r="J55" s="3111">
        <v>0.76400000000000001</v>
      </c>
      <c r="K55" s="3111">
        <v>0.76400000000000001</v>
      </c>
      <c r="L55" s="3111">
        <v>0.76400000000000001</v>
      </c>
      <c r="M55" s="3112">
        <v>0.76400000000000001</v>
      </c>
    </row>
    <row r="56" spans="1:13">
      <c r="A56" s="3110">
        <v>6.3</v>
      </c>
      <c r="B56" s="3111">
        <v>0.93610000000000004</v>
      </c>
      <c r="C56" s="3111">
        <v>0.93610000000000004</v>
      </c>
      <c r="D56" s="3111">
        <v>0.87780000000000002</v>
      </c>
      <c r="E56" s="3111">
        <v>0.87780000000000002</v>
      </c>
      <c r="F56" s="3111">
        <v>0.87780000000000002</v>
      </c>
      <c r="G56" s="3111">
        <v>0.87780000000000002</v>
      </c>
      <c r="H56" s="3111">
        <v>0.87780000000000002</v>
      </c>
      <c r="I56" s="3111">
        <v>0.76070000000000004</v>
      </c>
      <c r="J56" s="3111">
        <v>0.76070000000000004</v>
      </c>
      <c r="K56" s="3111">
        <v>0.76070000000000004</v>
      </c>
      <c r="L56" s="3111">
        <v>0.76070000000000004</v>
      </c>
      <c r="M56" s="3112">
        <v>0.76070000000000004</v>
      </c>
    </row>
    <row r="57" spans="1:13">
      <c r="A57" s="3110">
        <v>6.4</v>
      </c>
      <c r="B57" s="3111">
        <v>0.9345</v>
      </c>
      <c r="C57" s="3111">
        <v>0.9345</v>
      </c>
      <c r="D57" s="3111">
        <v>0.87560000000000004</v>
      </c>
      <c r="E57" s="3111">
        <v>0.87560000000000004</v>
      </c>
      <c r="F57" s="3111">
        <v>0.87560000000000004</v>
      </c>
      <c r="G57" s="3111">
        <v>0.87560000000000004</v>
      </c>
      <c r="H57" s="3111">
        <v>0.87560000000000004</v>
      </c>
      <c r="I57" s="3111">
        <v>0.75749999999999995</v>
      </c>
      <c r="J57" s="3111">
        <v>0.75749999999999995</v>
      </c>
      <c r="K57" s="3111">
        <v>0.75749999999999995</v>
      </c>
      <c r="L57" s="3111">
        <v>0.75749999999999995</v>
      </c>
      <c r="M57" s="3112">
        <v>0.75749999999999995</v>
      </c>
    </row>
    <row r="58" spans="1:13">
      <c r="A58" s="3110">
        <v>6.5</v>
      </c>
      <c r="B58" s="3111">
        <v>0.93289999999999995</v>
      </c>
      <c r="C58" s="3111">
        <v>0.93289999999999995</v>
      </c>
      <c r="D58" s="3111">
        <v>0.87339999999999995</v>
      </c>
      <c r="E58" s="3111">
        <v>0.87339999999999995</v>
      </c>
      <c r="F58" s="3111">
        <v>0.87339999999999995</v>
      </c>
      <c r="G58" s="3111">
        <v>0.87339999999999995</v>
      </c>
      <c r="H58" s="3111">
        <v>0.87339999999999995</v>
      </c>
      <c r="I58" s="3111">
        <v>0.75429999999999997</v>
      </c>
      <c r="J58" s="3111">
        <v>0.75429999999999997</v>
      </c>
      <c r="K58" s="3111">
        <v>0.75429999999999997</v>
      </c>
      <c r="L58" s="3111">
        <v>0.75429999999999997</v>
      </c>
      <c r="M58" s="3112">
        <v>0.75429999999999997</v>
      </c>
    </row>
    <row r="59" spans="1:13">
      <c r="A59" s="3110">
        <v>6.6</v>
      </c>
      <c r="B59" s="3111">
        <v>0.93130000000000002</v>
      </c>
      <c r="C59" s="3111">
        <v>0.93130000000000002</v>
      </c>
      <c r="D59" s="3111">
        <v>0.87119999999999997</v>
      </c>
      <c r="E59" s="3111">
        <v>0.87119999999999997</v>
      </c>
      <c r="F59" s="3111">
        <v>0.87119999999999997</v>
      </c>
      <c r="G59" s="3111">
        <v>0.87119999999999997</v>
      </c>
      <c r="H59" s="3111">
        <v>0.87119999999999997</v>
      </c>
      <c r="I59" s="3111">
        <v>0.75119999999999998</v>
      </c>
      <c r="J59" s="3111">
        <v>0.75119999999999998</v>
      </c>
      <c r="K59" s="3111">
        <v>0.75119999999999998</v>
      </c>
      <c r="L59" s="3111">
        <v>0.75119999999999998</v>
      </c>
      <c r="M59" s="3112">
        <v>0.75119999999999998</v>
      </c>
    </row>
    <row r="60" spans="1:13">
      <c r="A60" s="3110">
        <v>6.7</v>
      </c>
      <c r="B60" s="3111">
        <v>0.92969999999999997</v>
      </c>
      <c r="C60" s="3111">
        <v>0.92969999999999997</v>
      </c>
      <c r="D60" s="3111">
        <v>0.86899999999999999</v>
      </c>
      <c r="E60" s="3111">
        <v>0.86899999999999999</v>
      </c>
      <c r="F60" s="3111">
        <v>0.86899999999999999</v>
      </c>
      <c r="G60" s="3111">
        <v>0.86899999999999999</v>
      </c>
      <c r="H60" s="3111">
        <v>0.86899999999999999</v>
      </c>
      <c r="I60" s="3111">
        <v>0.74809999999999999</v>
      </c>
      <c r="J60" s="3111">
        <v>0.74809999999999999</v>
      </c>
      <c r="K60" s="3111">
        <v>0.74809999999999999</v>
      </c>
      <c r="L60" s="3111">
        <v>0.74809999999999999</v>
      </c>
      <c r="M60" s="3112">
        <v>0.74809999999999999</v>
      </c>
    </row>
    <row r="61" spans="1:13">
      <c r="A61" s="3110">
        <v>6.8</v>
      </c>
      <c r="B61" s="3111">
        <v>0.92820000000000003</v>
      </c>
      <c r="C61" s="3111">
        <v>0.92820000000000003</v>
      </c>
      <c r="D61" s="3111">
        <v>0.8669</v>
      </c>
      <c r="E61" s="3111">
        <v>0.8669</v>
      </c>
      <c r="F61" s="3111">
        <v>0.8669</v>
      </c>
      <c r="G61" s="3111">
        <v>0.8669</v>
      </c>
      <c r="H61" s="3111">
        <v>0.8669</v>
      </c>
      <c r="I61" s="3111">
        <v>0.74509999999999998</v>
      </c>
      <c r="J61" s="3111">
        <v>0.74509999999999998</v>
      </c>
      <c r="K61" s="3111">
        <v>0.74509999999999998</v>
      </c>
      <c r="L61" s="3111">
        <v>0.74509999999999998</v>
      </c>
      <c r="M61" s="3112">
        <v>0.74509999999999998</v>
      </c>
    </row>
    <row r="62" spans="1:13">
      <c r="A62" s="3110">
        <v>6.9</v>
      </c>
      <c r="B62" s="3111">
        <v>0.92669999999999997</v>
      </c>
      <c r="C62" s="3111">
        <v>0.92669999999999997</v>
      </c>
      <c r="D62" s="3111">
        <v>0.86480000000000001</v>
      </c>
      <c r="E62" s="3111">
        <v>0.86480000000000001</v>
      </c>
      <c r="F62" s="3111">
        <v>0.86480000000000001</v>
      </c>
      <c r="G62" s="3111">
        <v>0.86480000000000001</v>
      </c>
      <c r="H62" s="3111">
        <v>0.86480000000000001</v>
      </c>
      <c r="I62" s="3111">
        <v>0.74209999999999998</v>
      </c>
      <c r="J62" s="3111">
        <v>0.74209999999999998</v>
      </c>
      <c r="K62" s="3111">
        <v>0.74209999999999998</v>
      </c>
      <c r="L62" s="3111">
        <v>0.74209999999999998</v>
      </c>
      <c r="M62" s="3112">
        <v>0.74209999999999998</v>
      </c>
    </row>
    <row r="63" spans="1:13">
      <c r="A63" s="3110">
        <v>7</v>
      </c>
      <c r="B63" s="3111">
        <v>0.92520000000000002</v>
      </c>
      <c r="C63" s="3111">
        <v>0.92520000000000002</v>
      </c>
      <c r="D63" s="3111">
        <v>0.86270000000000002</v>
      </c>
      <c r="E63" s="3111">
        <v>0.86270000000000002</v>
      </c>
      <c r="F63" s="3111">
        <v>0.86270000000000002</v>
      </c>
      <c r="G63" s="3111">
        <v>0.86270000000000002</v>
      </c>
      <c r="H63" s="3111">
        <v>0.86270000000000002</v>
      </c>
      <c r="I63" s="3111">
        <v>0.73919999999999997</v>
      </c>
      <c r="J63" s="3111">
        <v>0.73919999999999997</v>
      </c>
      <c r="K63" s="3111">
        <v>0.73919999999999997</v>
      </c>
      <c r="L63" s="3111">
        <v>0.73919999999999997</v>
      </c>
      <c r="M63" s="3112">
        <v>0.73919999999999997</v>
      </c>
    </row>
    <row r="64" spans="1:13">
      <c r="A64" s="3110">
        <v>7.1</v>
      </c>
      <c r="B64" s="3111">
        <v>0.92369999999999997</v>
      </c>
      <c r="C64" s="3111">
        <v>0.92369999999999997</v>
      </c>
      <c r="D64" s="3111">
        <v>0.86060000000000003</v>
      </c>
      <c r="E64" s="3111">
        <v>0.86060000000000003</v>
      </c>
      <c r="F64" s="3111">
        <v>0.86060000000000003</v>
      </c>
      <c r="G64" s="3111">
        <v>0.86060000000000003</v>
      </c>
      <c r="H64" s="3111">
        <v>0.86060000000000003</v>
      </c>
      <c r="I64" s="3111">
        <v>0.73629999999999995</v>
      </c>
      <c r="J64" s="3111">
        <v>0.73629999999999995</v>
      </c>
      <c r="K64" s="3111">
        <v>0.73629999999999995</v>
      </c>
      <c r="L64" s="3111">
        <v>0.73629999999999995</v>
      </c>
      <c r="M64" s="3112">
        <v>0.73629999999999995</v>
      </c>
    </row>
    <row r="65" spans="1:13">
      <c r="A65" s="3110">
        <v>7.2</v>
      </c>
      <c r="B65" s="3111">
        <v>0.92220000000000002</v>
      </c>
      <c r="C65" s="3111">
        <v>0.92220000000000002</v>
      </c>
      <c r="D65" s="3111">
        <v>0.85850000000000004</v>
      </c>
      <c r="E65" s="3111">
        <v>0.85850000000000004</v>
      </c>
      <c r="F65" s="3111">
        <v>0.85850000000000004</v>
      </c>
      <c r="G65" s="3111">
        <v>0.85850000000000004</v>
      </c>
      <c r="H65" s="3111">
        <v>0.85850000000000004</v>
      </c>
      <c r="I65" s="3111">
        <v>0.73350000000000004</v>
      </c>
      <c r="J65" s="3111">
        <v>0.73350000000000004</v>
      </c>
      <c r="K65" s="3111">
        <v>0.73350000000000004</v>
      </c>
      <c r="L65" s="3111">
        <v>0.73350000000000004</v>
      </c>
      <c r="M65" s="3112">
        <v>0.73350000000000004</v>
      </c>
    </row>
    <row r="66" spans="1:13">
      <c r="A66" s="3110">
        <v>7.3</v>
      </c>
      <c r="B66" s="3111">
        <v>0.92069999999999996</v>
      </c>
      <c r="C66" s="3111">
        <v>0.92069999999999996</v>
      </c>
      <c r="D66" s="3111">
        <v>0.85650000000000004</v>
      </c>
      <c r="E66" s="3111">
        <v>0.85650000000000004</v>
      </c>
      <c r="F66" s="3111">
        <v>0.85650000000000004</v>
      </c>
      <c r="G66" s="3111">
        <v>0.85650000000000004</v>
      </c>
      <c r="H66" s="3111">
        <v>0.85650000000000004</v>
      </c>
      <c r="I66" s="3111">
        <v>0.73070000000000002</v>
      </c>
      <c r="J66" s="3111">
        <v>0.73070000000000002</v>
      </c>
      <c r="K66" s="3111">
        <v>0.73070000000000002</v>
      </c>
      <c r="L66" s="3111">
        <v>0.73070000000000002</v>
      </c>
      <c r="M66" s="3112">
        <v>0.73070000000000002</v>
      </c>
    </row>
    <row r="67" spans="1:13">
      <c r="A67" s="3110">
        <v>7.4</v>
      </c>
      <c r="B67" s="3111">
        <v>0.91930000000000001</v>
      </c>
      <c r="C67" s="3111">
        <v>0.91930000000000001</v>
      </c>
      <c r="D67" s="3111">
        <v>0.85450000000000004</v>
      </c>
      <c r="E67" s="3111">
        <v>0.85450000000000004</v>
      </c>
      <c r="F67" s="3111">
        <v>0.85450000000000004</v>
      </c>
      <c r="G67" s="3111">
        <v>0.85450000000000004</v>
      </c>
      <c r="H67" s="3111">
        <v>0.85450000000000004</v>
      </c>
      <c r="I67" s="3111">
        <v>0.72799999999999998</v>
      </c>
      <c r="J67" s="3111">
        <v>0.72799999999999998</v>
      </c>
      <c r="K67" s="3111">
        <v>0.72799999999999998</v>
      </c>
      <c r="L67" s="3111">
        <v>0.72799999999999998</v>
      </c>
      <c r="M67" s="3112">
        <v>0.72799999999999998</v>
      </c>
    </row>
    <row r="68" spans="1:13">
      <c r="A68" s="3110">
        <v>7.5</v>
      </c>
      <c r="B68" s="3111">
        <v>0.91790000000000005</v>
      </c>
      <c r="C68" s="3111">
        <v>0.91790000000000005</v>
      </c>
      <c r="D68" s="3111">
        <v>0.85250000000000004</v>
      </c>
      <c r="E68" s="3111">
        <v>0.85250000000000004</v>
      </c>
      <c r="F68" s="3111">
        <v>0.85250000000000004</v>
      </c>
      <c r="G68" s="3111">
        <v>0.85250000000000004</v>
      </c>
      <c r="H68" s="3111">
        <v>0.85250000000000004</v>
      </c>
      <c r="I68" s="3111">
        <v>0.72529999999999994</v>
      </c>
      <c r="J68" s="3111">
        <v>0.72529999999999994</v>
      </c>
      <c r="K68" s="3111">
        <v>0.72529999999999994</v>
      </c>
      <c r="L68" s="3111">
        <v>0.72529999999999994</v>
      </c>
      <c r="M68" s="3112">
        <v>0.72529999999999994</v>
      </c>
    </row>
    <row r="69" spans="1:13">
      <c r="A69" s="3110">
        <v>7.6</v>
      </c>
      <c r="B69" s="3111">
        <v>0.91649999999999998</v>
      </c>
      <c r="C69" s="3111">
        <v>0.91649999999999998</v>
      </c>
      <c r="D69" s="3111">
        <v>0.85050000000000003</v>
      </c>
      <c r="E69" s="3111">
        <v>0.85050000000000003</v>
      </c>
      <c r="F69" s="3111">
        <v>0.85050000000000003</v>
      </c>
      <c r="G69" s="3111">
        <v>0.85050000000000003</v>
      </c>
      <c r="H69" s="3111">
        <v>0.85050000000000003</v>
      </c>
      <c r="I69" s="3111">
        <v>0.72260000000000002</v>
      </c>
      <c r="J69" s="3111">
        <v>0.72260000000000002</v>
      </c>
      <c r="K69" s="3111">
        <v>0.72260000000000002</v>
      </c>
      <c r="L69" s="3111">
        <v>0.72260000000000002</v>
      </c>
      <c r="M69" s="3112">
        <v>0.72260000000000002</v>
      </c>
    </row>
    <row r="70" spans="1:13">
      <c r="A70" s="3110">
        <v>7.7</v>
      </c>
      <c r="B70" s="3111">
        <v>0.91510000000000002</v>
      </c>
      <c r="C70" s="3111">
        <v>0.91510000000000002</v>
      </c>
      <c r="D70" s="3111">
        <v>0.84850000000000003</v>
      </c>
      <c r="E70" s="3111">
        <v>0.84850000000000003</v>
      </c>
      <c r="F70" s="3111">
        <v>0.84850000000000003</v>
      </c>
      <c r="G70" s="3111">
        <v>0.84850000000000003</v>
      </c>
      <c r="H70" s="3111">
        <v>0.84850000000000003</v>
      </c>
      <c r="I70" s="3111">
        <v>0.72</v>
      </c>
      <c r="J70" s="3111">
        <v>0.72</v>
      </c>
      <c r="K70" s="3111">
        <v>0.72</v>
      </c>
      <c r="L70" s="3111">
        <v>0.72</v>
      </c>
      <c r="M70" s="3112">
        <v>0.72</v>
      </c>
    </row>
    <row r="71" spans="1:13">
      <c r="A71" s="3110">
        <v>7.8</v>
      </c>
      <c r="B71" s="3111">
        <v>0.91369999999999996</v>
      </c>
      <c r="C71" s="3111">
        <v>0.91369999999999996</v>
      </c>
      <c r="D71" s="3111">
        <v>0.84660000000000002</v>
      </c>
      <c r="E71" s="3111">
        <v>0.84660000000000002</v>
      </c>
      <c r="F71" s="3111">
        <v>0.84660000000000002</v>
      </c>
      <c r="G71" s="3111">
        <v>0.84660000000000002</v>
      </c>
      <c r="H71" s="3111">
        <v>0.84660000000000002</v>
      </c>
      <c r="I71" s="3111">
        <v>0.71740000000000004</v>
      </c>
      <c r="J71" s="3111">
        <v>0.71740000000000004</v>
      </c>
      <c r="K71" s="3111">
        <v>0.71740000000000004</v>
      </c>
      <c r="L71" s="3111">
        <v>0.71740000000000004</v>
      </c>
      <c r="M71" s="3112">
        <v>0.71740000000000004</v>
      </c>
    </row>
    <row r="72" spans="1:13">
      <c r="A72" s="3110">
        <v>7.9</v>
      </c>
      <c r="B72" s="3111">
        <v>0.9123</v>
      </c>
      <c r="C72" s="3111">
        <v>0.9123</v>
      </c>
      <c r="D72" s="3111">
        <v>0.84470000000000001</v>
      </c>
      <c r="E72" s="3111">
        <v>0.84470000000000001</v>
      </c>
      <c r="F72" s="3111">
        <v>0.84470000000000001</v>
      </c>
      <c r="G72" s="3111">
        <v>0.84470000000000001</v>
      </c>
      <c r="H72" s="3111">
        <v>0.84470000000000001</v>
      </c>
      <c r="I72" s="3111">
        <v>0.71479999999999999</v>
      </c>
      <c r="J72" s="3111">
        <v>0.71479999999999999</v>
      </c>
      <c r="K72" s="3111">
        <v>0.71479999999999999</v>
      </c>
      <c r="L72" s="3111">
        <v>0.71479999999999999</v>
      </c>
      <c r="M72" s="3112">
        <v>0.71479999999999999</v>
      </c>
    </row>
    <row r="73" spans="1:13">
      <c r="A73" s="3110">
        <v>8</v>
      </c>
      <c r="B73" s="3111">
        <v>0.91090000000000004</v>
      </c>
      <c r="C73" s="3111">
        <v>0.91090000000000004</v>
      </c>
      <c r="D73" s="3111">
        <v>0.84279999999999999</v>
      </c>
      <c r="E73" s="3111">
        <v>0.84279999999999999</v>
      </c>
      <c r="F73" s="3111">
        <v>0.84279999999999999</v>
      </c>
      <c r="G73" s="3111">
        <v>0.84279999999999999</v>
      </c>
      <c r="H73" s="3111">
        <v>0.84279999999999999</v>
      </c>
      <c r="I73" s="3111">
        <v>0.71230000000000004</v>
      </c>
      <c r="J73" s="3111">
        <v>0.71230000000000004</v>
      </c>
      <c r="K73" s="3111">
        <v>0.71230000000000004</v>
      </c>
      <c r="L73" s="3111">
        <v>0.71230000000000004</v>
      </c>
      <c r="M73" s="3112">
        <v>0.71230000000000004</v>
      </c>
    </row>
    <row r="74" spans="1:13">
      <c r="A74" s="3110">
        <v>8.1</v>
      </c>
      <c r="B74" s="3111">
        <v>0.90959999999999996</v>
      </c>
      <c r="C74" s="3111">
        <v>0.90959999999999996</v>
      </c>
      <c r="D74" s="3111">
        <v>0.84089999999999998</v>
      </c>
      <c r="E74" s="3111">
        <v>0.84089999999999998</v>
      </c>
      <c r="F74" s="3111">
        <v>0.84089999999999998</v>
      </c>
      <c r="G74" s="3111">
        <v>0.84089999999999998</v>
      </c>
      <c r="H74" s="3111">
        <v>0.84089999999999998</v>
      </c>
      <c r="I74" s="3111">
        <v>0.70979999999999999</v>
      </c>
      <c r="J74" s="3111">
        <v>0.70979999999999999</v>
      </c>
      <c r="K74" s="3111">
        <v>0.70979999999999999</v>
      </c>
      <c r="L74" s="3111">
        <v>0.70979999999999999</v>
      </c>
      <c r="M74" s="3112">
        <v>0.70979999999999999</v>
      </c>
    </row>
    <row r="75" spans="1:13">
      <c r="A75" s="3110">
        <v>8.1999999999999993</v>
      </c>
      <c r="B75" s="3111">
        <v>0.9083</v>
      </c>
      <c r="C75" s="3111">
        <v>0.9083</v>
      </c>
      <c r="D75" s="3111">
        <v>0.83899999999999997</v>
      </c>
      <c r="E75" s="3111">
        <v>0.83899999999999997</v>
      </c>
      <c r="F75" s="3111">
        <v>0.83899999999999997</v>
      </c>
      <c r="G75" s="3111">
        <v>0.83899999999999997</v>
      </c>
      <c r="H75" s="3111">
        <v>0.83899999999999997</v>
      </c>
      <c r="I75" s="3111">
        <v>0.70730000000000004</v>
      </c>
      <c r="J75" s="3111">
        <v>0.70730000000000004</v>
      </c>
      <c r="K75" s="3111">
        <v>0.70730000000000004</v>
      </c>
      <c r="L75" s="3111">
        <v>0.70730000000000004</v>
      </c>
      <c r="M75" s="3112">
        <v>0.70730000000000004</v>
      </c>
    </row>
    <row r="76" spans="1:13">
      <c r="A76" s="3110">
        <v>8.3000000000000007</v>
      </c>
      <c r="B76" s="3111">
        <v>0.90700000000000003</v>
      </c>
      <c r="C76" s="3111">
        <v>0.90700000000000003</v>
      </c>
      <c r="D76" s="3111">
        <v>0.83720000000000006</v>
      </c>
      <c r="E76" s="3111">
        <v>0.83720000000000006</v>
      </c>
      <c r="F76" s="3111">
        <v>0.83720000000000006</v>
      </c>
      <c r="G76" s="3111">
        <v>0.83720000000000006</v>
      </c>
      <c r="H76" s="3111">
        <v>0.83720000000000006</v>
      </c>
      <c r="I76" s="3111">
        <v>0.70489999999999997</v>
      </c>
      <c r="J76" s="3111">
        <v>0.70489999999999997</v>
      </c>
      <c r="K76" s="3111">
        <v>0.70489999999999997</v>
      </c>
      <c r="L76" s="3111">
        <v>0.70489999999999997</v>
      </c>
      <c r="M76" s="3112">
        <v>0.70489999999999997</v>
      </c>
    </row>
    <row r="77" spans="1:13">
      <c r="A77" s="3110">
        <v>8.4</v>
      </c>
      <c r="B77" s="3111">
        <v>0.90569999999999995</v>
      </c>
      <c r="C77" s="3111">
        <v>0.90569999999999995</v>
      </c>
      <c r="D77" s="3111">
        <v>0.83540000000000003</v>
      </c>
      <c r="E77" s="3111">
        <v>0.83540000000000003</v>
      </c>
      <c r="F77" s="3111">
        <v>0.83540000000000003</v>
      </c>
      <c r="G77" s="3111">
        <v>0.83540000000000003</v>
      </c>
      <c r="H77" s="3111">
        <v>0.83540000000000003</v>
      </c>
      <c r="I77" s="3111">
        <v>0.70250000000000001</v>
      </c>
      <c r="J77" s="3111">
        <v>0.70250000000000001</v>
      </c>
      <c r="K77" s="3111">
        <v>0.70250000000000001</v>
      </c>
      <c r="L77" s="3111">
        <v>0.70250000000000001</v>
      </c>
      <c r="M77" s="3112">
        <v>0.70250000000000001</v>
      </c>
    </row>
    <row r="78" spans="1:13">
      <c r="A78" s="3110">
        <v>8.5</v>
      </c>
      <c r="B78" s="3111">
        <v>0.90439999999999998</v>
      </c>
      <c r="C78" s="3111">
        <v>0.90439999999999998</v>
      </c>
      <c r="D78" s="3111">
        <v>0.83360000000000001</v>
      </c>
      <c r="E78" s="3111">
        <v>0.83360000000000001</v>
      </c>
      <c r="F78" s="3111">
        <v>0.83360000000000001</v>
      </c>
      <c r="G78" s="3111">
        <v>0.83360000000000001</v>
      </c>
      <c r="H78" s="3111">
        <v>0.83360000000000001</v>
      </c>
      <c r="I78" s="3111">
        <v>0.70009999999999994</v>
      </c>
      <c r="J78" s="3111">
        <v>0.70009999999999994</v>
      </c>
      <c r="K78" s="3111">
        <v>0.70009999999999994</v>
      </c>
      <c r="L78" s="3111">
        <v>0.70009999999999994</v>
      </c>
      <c r="M78" s="3112">
        <v>0.70009999999999994</v>
      </c>
    </row>
    <row r="79" spans="1:13">
      <c r="A79" s="3110">
        <v>8.6</v>
      </c>
      <c r="B79" s="3111">
        <v>0.90310000000000001</v>
      </c>
      <c r="C79" s="3111">
        <v>0.90310000000000001</v>
      </c>
      <c r="D79" s="3111">
        <v>0.83179999999999998</v>
      </c>
      <c r="E79" s="3111">
        <v>0.83179999999999998</v>
      </c>
      <c r="F79" s="3111">
        <v>0.83179999999999998</v>
      </c>
      <c r="G79" s="3111">
        <v>0.83179999999999998</v>
      </c>
      <c r="H79" s="3111">
        <v>0.83179999999999998</v>
      </c>
      <c r="I79" s="3111">
        <v>0.69779999999999998</v>
      </c>
      <c r="J79" s="3111">
        <v>0.69779999999999998</v>
      </c>
      <c r="K79" s="3111">
        <v>0.69779999999999998</v>
      </c>
      <c r="L79" s="3111">
        <v>0.69779999999999998</v>
      </c>
      <c r="M79" s="3112">
        <v>0.69779999999999998</v>
      </c>
    </row>
    <row r="80" spans="1:13">
      <c r="A80" s="3110">
        <v>8.6999999999999993</v>
      </c>
      <c r="B80" s="3111">
        <v>0.90180000000000005</v>
      </c>
      <c r="C80" s="3111">
        <v>0.90180000000000005</v>
      </c>
      <c r="D80" s="3111">
        <v>0.83</v>
      </c>
      <c r="E80" s="3111">
        <v>0.83</v>
      </c>
      <c r="F80" s="3111">
        <v>0.83</v>
      </c>
      <c r="G80" s="3111">
        <v>0.83</v>
      </c>
      <c r="H80" s="3111">
        <v>0.83</v>
      </c>
      <c r="I80" s="3111">
        <v>0.69550000000000001</v>
      </c>
      <c r="J80" s="3111">
        <v>0.69550000000000001</v>
      </c>
      <c r="K80" s="3111">
        <v>0.69550000000000001</v>
      </c>
      <c r="L80" s="3111">
        <v>0.69550000000000001</v>
      </c>
      <c r="M80" s="3112">
        <v>0.69550000000000001</v>
      </c>
    </row>
    <row r="81" spans="1:20">
      <c r="A81" s="3110">
        <v>8.8000000000000007</v>
      </c>
      <c r="B81" s="3111">
        <v>0.90059999999999996</v>
      </c>
      <c r="C81" s="3111">
        <v>0.90059999999999996</v>
      </c>
      <c r="D81" s="3111">
        <v>0.82830000000000004</v>
      </c>
      <c r="E81" s="3111">
        <v>0.82830000000000004</v>
      </c>
      <c r="F81" s="3111">
        <v>0.82830000000000004</v>
      </c>
      <c r="G81" s="3111">
        <v>0.82830000000000004</v>
      </c>
      <c r="H81" s="3111">
        <v>0.82830000000000004</v>
      </c>
      <c r="I81" s="3111">
        <v>0.69320000000000004</v>
      </c>
      <c r="J81" s="3111">
        <v>0.69320000000000004</v>
      </c>
      <c r="K81" s="3111">
        <v>0.69320000000000004</v>
      </c>
      <c r="L81" s="3111">
        <v>0.69320000000000004</v>
      </c>
      <c r="M81" s="3112">
        <v>0.69320000000000004</v>
      </c>
    </row>
    <row r="82" spans="1:20">
      <c r="A82" s="3110">
        <v>8.9</v>
      </c>
      <c r="B82" s="3111">
        <v>0.89939999999999998</v>
      </c>
      <c r="C82" s="3111">
        <v>0.89939999999999998</v>
      </c>
      <c r="D82" s="3111">
        <v>0.8266</v>
      </c>
      <c r="E82" s="3111">
        <v>0.8266</v>
      </c>
      <c r="F82" s="3111">
        <v>0.8266</v>
      </c>
      <c r="G82" s="3111">
        <v>0.8266</v>
      </c>
      <c r="H82" s="3111">
        <v>0.8266</v>
      </c>
      <c r="I82" s="3111">
        <v>0.69099999999999995</v>
      </c>
      <c r="J82" s="3111">
        <v>0.69099999999999995</v>
      </c>
      <c r="K82" s="3111">
        <v>0.69099999999999995</v>
      </c>
      <c r="L82" s="3111">
        <v>0.69099999999999995</v>
      </c>
      <c r="M82" s="3112">
        <v>0.69099999999999995</v>
      </c>
    </row>
    <row r="83" spans="1:20">
      <c r="A83" s="3113">
        <v>9</v>
      </c>
      <c r="B83" s="3111">
        <v>0.8982</v>
      </c>
      <c r="C83" s="3111">
        <v>0.8982</v>
      </c>
      <c r="D83" s="3111">
        <v>0.82489999999999997</v>
      </c>
      <c r="E83" s="3111">
        <v>0.82489999999999997</v>
      </c>
      <c r="F83" s="3111">
        <v>0.82489999999999997</v>
      </c>
      <c r="G83" s="3111">
        <v>0.82489999999999997</v>
      </c>
      <c r="H83" s="3111">
        <v>0.82489999999999997</v>
      </c>
      <c r="I83" s="3111">
        <v>0.68879999999999997</v>
      </c>
      <c r="J83" s="3111">
        <v>0.68879999999999997</v>
      </c>
      <c r="K83" s="3111">
        <v>0.68879999999999997</v>
      </c>
      <c r="L83" s="3111">
        <v>0.68879999999999997</v>
      </c>
      <c r="M83" s="3112">
        <v>0.68879999999999997</v>
      </c>
    </row>
    <row r="84" spans="1:20">
      <c r="A84" s="3113">
        <v>9.1</v>
      </c>
      <c r="B84" s="3111">
        <v>0.89700000000000002</v>
      </c>
      <c r="C84" s="3111">
        <v>0.89700000000000002</v>
      </c>
      <c r="D84" s="3111">
        <v>0.82320000000000004</v>
      </c>
      <c r="E84" s="3111">
        <v>0.82320000000000004</v>
      </c>
      <c r="F84" s="3111">
        <v>0.82320000000000004</v>
      </c>
      <c r="G84" s="3111">
        <v>0.82320000000000004</v>
      </c>
      <c r="H84" s="3111">
        <v>0.82320000000000004</v>
      </c>
      <c r="I84" s="3111">
        <v>0.68659999999999999</v>
      </c>
      <c r="J84" s="3111">
        <v>0.68659999999999999</v>
      </c>
      <c r="K84" s="3111">
        <v>0.68659999999999999</v>
      </c>
      <c r="L84" s="3111">
        <v>0.68659999999999999</v>
      </c>
      <c r="M84" s="3112">
        <v>0.68659999999999999</v>
      </c>
    </row>
    <row r="85" spans="1:20">
      <c r="A85" s="3113">
        <v>9.1999999999999993</v>
      </c>
      <c r="B85" s="3111">
        <v>0.89580000000000004</v>
      </c>
      <c r="C85" s="3111">
        <v>0.89580000000000004</v>
      </c>
      <c r="D85" s="3111">
        <v>0.82150000000000001</v>
      </c>
      <c r="E85" s="3111">
        <v>0.82150000000000001</v>
      </c>
      <c r="F85" s="3111">
        <v>0.82150000000000001</v>
      </c>
      <c r="G85" s="3111">
        <v>0.82150000000000001</v>
      </c>
      <c r="H85" s="3111">
        <v>0.82150000000000001</v>
      </c>
      <c r="I85" s="3111">
        <v>0.6845</v>
      </c>
      <c r="J85" s="3111">
        <v>0.6845</v>
      </c>
      <c r="K85" s="3111">
        <v>0.6845</v>
      </c>
      <c r="L85" s="3111">
        <v>0.6845</v>
      </c>
      <c r="M85" s="3112">
        <v>0.6845</v>
      </c>
    </row>
    <row r="86" spans="1:20">
      <c r="A86" s="3113">
        <v>9.3000000000000007</v>
      </c>
      <c r="B86" s="3111">
        <v>0.89459999999999995</v>
      </c>
      <c r="C86" s="3111">
        <v>0.89459999999999995</v>
      </c>
      <c r="D86" s="3111">
        <v>0.81989999999999996</v>
      </c>
      <c r="E86" s="3111">
        <v>0.81989999999999996</v>
      </c>
      <c r="F86" s="3111">
        <v>0.81989999999999996</v>
      </c>
      <c r="G86" s="3111">
        <v>0.81989999999999996</v>
      </c>
      <c r="H86" s="3111">
        <v>0.81989999999999996</v>
      </c>
      <c r="I86" s="3111">
        <v>0.68240000000000001</v>
      </c>
      <c r="J86" s="3111">
        <v>0.68240000000000001</v>
      </c>
      <c r="K86" s="3111">
        <v>0.68240000000000001</v>
      </c>
      <c r="L86" s="3111">
        <v>0.68240000000000001</v>
      </c>
      <c r="M86" s="3112">
        <v>0.68240000000000001</v>
      </c>
    </row>
    <row r="87" spans="1:20">
      <c r="A87" s="3113">
        <v>9.4</v>
      </c>
      <c r="B87" s="3111">
        <v>0.89339999999999997</v>
      </c>
      <c r="C87" s="3111">
        <v>0.89339999999999997</v>
      </c>
      <c r="D87" s="3111">
        <v>0.81830000000000003</v>
      </c>
      <c r="E87" s="3111">
        <v>0.81830000000000003</v>
      </c>
      <c r="F87" s="3111">
        <v>0.81830000000000003</v>
      </c>
      <c r="G87" s="3111">
        <v>0.81830000000000003</v>
      </c>
      <c r="H87" s="3111">
        <v>0.81830000000000003</v>
      </c>
      <c r="I87" s="3111">
        <v>0.68030000000000002</v>
      </c>
      <c r="J87" s="3111">
        <v>0.68030000000000002</v>
      </c>
      <c r="K87" s="3111">
        <v>0.68030000000000002</v>
      </c>
      <c r="L87" s="3111">
        <v>0.68030000000000002</v>
      </c>
      <c r="M87" s="3112">
        <v>0.68030000000000002</v>
      </c>
    </row>
    <row r="88" spans="1:20">
      <c r="A88" s="3113">
        <v>9.5</v>
      </c>
      <c r="B88" s="3111">
        <v>0.89229999999999998</v>
      </c>
      <c r="C88" s="3111">
        <v>0.89229999999999998</v>
      </c>
      <c r="D88" s="3111">
        <v>0.81669999999999998</v>
      </c>
      <c r="E88" s="3111">
        <v>0.81669999999999998</v>
      </c>
      <c r="F88" s="3111">
        <v>0.81669999999999998</v>
      </c>
      <c r="G88" s="3111">
        <v>0.81669999999999998</v>
      </c>
      <c r="H88" s="3111">
        <v>0.81669999999999998</v>
      </c>
      <c r="I88" s="3111">
        <v>0.67830000000000001</v>
      </c>
      <c r="J88" s="3111">
        <v>0.67830000000000001</v>
      </c>
      <c r="K88" s="3111">
        <v>0.67830000000000001</v>
      </c>
      <c r="L88" s="3111">
        <v>0.67830000000000001</v>
      </c>
      <c r="M88" s="3112">
        <v>0.67830000000000001</v>
      </c>
    </row>
    <row r="89" spans="1:20">
      <c r="A89" s="3113">
        <v>9.6</v>
      </c>
      <c r="B89" s="3111">
        <v>0.89119999999999999</v>
      </c>
      <c r="C89" s="3111">
        <v>0.89119999999999999</v>
      </c>
      <c r="D89" s="3111">
        <v>0.81510000000000005</v>
      </c>
      <c r="E89" s="3111">
        <v>0.81510000000000005</v>
      </c>
      <c r="F89" s="3111">
        <v>0.81510000000000005</v>
      </c>
      <c r="G89" s="3111">
        <v>0.81510000000000005</v>
      </c>
      <c r="H89" s="3111">
        <v>0.81510000000000005</v>
      </c>
      <c r="I89" s="3111">
        <v>0.67630000000000001</v>
      </c>
      <c r="J89" s="3111">
        <v>0.67630000000000001</v>
      </c>
      <c r="K89" s="3111">
        <v>0.67630000000000001</v>
      </c>
      <c r="L89" s="3111">
        <v>0.67630000000000001</v>
      </c>
      <c r="M89" s="3112">
        <v>0.67630000000000001</v>
      </c>
    </row>
    <row r="90" spans="1:20">
      <c r="A90" s="3113">
        <v>9.6999999999999993</v>
      </c>
      <c r="B90" s="3111">
        <v>0.8901</v>
      </c>
      <c r="C90" s="3111">
        <v>0.8901</v>
      </c>
      <c r="D90" s="3111">
        <v>0.8135</v>
      </c>
      <c r="E90" s="3111">
        <v>0.8135</v>
      </c>
      <c r="F90" s="3111">
        <v>0.8135</v>
      </c>
      <c r="G90" s="3111">
        <v>0.8135</v>
      </c>
      <c r="H90" s="3111">
        <v>0.8135</v>
      </c>
      <c r="I90" s="3111">
        <v>0.67430000000000001</v>
      </c>
      <c r="J90" s="3111">
        <v>0.67430000000000001</v>
      </c>
      <c r="K90" s="3111">
        <v>0.67430000000000001</v>
      </c>
      <c r="L90" s="3111">
        <v>0.67430000000000001</v>
      </c>
      <c r="M90" s="3112">
        <v>0.67430000000000001</v>
      </c>
    </row>
    <row r="91" spans="1:20">
      <c r="A91" s="3113">
        <v>9.8000000000000007</v>
      </c>
      <c r="B91" s="3111">
        <v>0.88900000000000001</v>
      </c>
      <c r="C91" s="3111">
        <v>0.88900000000000001</v>
      </c>
      <c r="D91" s="3111">
        <v>0.81200000000000006</v>
      </c>
      <c r="E91" s="3111">
        <v>0.81200000000000006</v>
      </c>
      <c r="F91" s="3111">
        <v>0.81200000000000006</v>
      </c>
      <c r="G91" s="3111">
        <v>0.81200000000000006</v>
      </c>
      <c r="H91" s="3111">
        <v>0.81200000000000006</v>
      </c>
      <c r="I91" s="3111">
        <v>0.6724</v>
      </c>
      <c r="J91" s="3111">
        <v>0.6724</v>
      </c>
      <c r="K91" s="3111">
        <v>0.6724</v>
      </c>
      <c r="L91" s="3111">
        <v>0.6724</v>
      </c>
      <c r="M91" s="3112">
        <v>0.6724</v>
      </c>
    </row>
    <row r="92" spans="1:20" ht="14.25" thickBot="1">
      <c r="A92" s="3114">
        <v>9.9</v>
      </c>
      <c r="B92" s="3115">
        <v>0.88790000000000002</v>
      </c>
      <c r="C92" s="3115">
        <v>0.88790000000000002</v>
      </c>
      <c r="D92" s="3115">
        <v>0.8105</v>
      </c>
      <c r="E92" s="3115">
        <v>0.8105</v>
      </c>
      <c r="F92" s="3115">
        <v>0.8105</v>
      </c>
      <c r="G92" s="3115">
        <v>0.8105</v>
      </c>
      <c r="H92" s="3115">
        <v>0.8105</v>
      </c>
      <c r="I92" s="3115">
        <v>0.67049999999999998</v>
      </c>
      <c r="J92" s="3115">
        <v>0.67049999999999998</v>
      </c>
      <c r="K92" s="3115">
        <v>0.67049999999999998</v>
      </c>
      <c r="L92" s="3115">
        <v>0.67049999999999998</v>
      </c>
      <c r="M92" s="3116">
        <v>0.67049999999999998</v>
      </c>
    </row>
    <row r="93" spans="1:20" ht="15" thickBot="1">
      <c r="A93" s="3104" t="s">
        <v>2784</v>
      </c>
      <c r="B93" s="3104"/>
      <c r="C93" s="3104"/>
      <c r="D93" s="3104"/>
      <c r="E93" s="3104"/>
      <c r="F93" s="3104"/>
      <c r="G93" s="3104"/>
      <c r="H93" s="3104"/>
      <c r="I93" s="3104"/>
      <c r="J93" s="3104"/>
      <c r="K93" s="3104"/>
      <c r="L93" s="3104"/>
      <c r="M93" s="3104"/>
    </row>
    <row r="94" spans="1:20">
      <c r="A94" s="3105" t="s">
        <v>2783</v>
      </c>
      <c r="B94" s="3106" t="s">
        <v>2579</v>
      </c>
      <c r="C94" s="3106" t="s">
        <v>2580</v>
      </c>
      <c r="D94" s="3106" t="s">
        <v>2581</v>
      </c>
      <c r="E94" s="3106" t="s">
        <v>2582</v>
      </c>
      <c r="F94" s="3106" t="s">
        <v>2583</v>
      </c>
      <c r="G94" s="3106" t="s">
        <v>2584</v>
      </c>
      <c r="H94" s="3107" t="s">
        <v>2585</v>
      </c>
      <c r="I94" s="3107" t="s">
        <v>2586</v>
      </c>
      <c r="J94" s="3108" t="s">
        <v>2587</v>
      </c>
      <c r="K94" s="3108" t="s">
        <v>2588</v>
      </c>
      <c r="L94" s="3108" t="s">
        <v>2589</v>
      </c>
      <c r="M94" s="3109" t="s">
        <v>2590</v>
      </c>
      <c r="N94" s="750" t="e">
        <f>SUMPRODUCT((A95:A184=ROUNDDOWN(基准地价修正!G3,1))*(B94:M94=基准地价修正!G2)*(B95:M184))</f>
        <v>#DIV/0!</v>
      </c>
      <c r="Q94" s="3119" t="s">
        <v>2788</v>
      </c>
      <c r="R94" s="3119" t="s">
        <v>2789</v>
      </c>
      <c r="S94" s="3119" t="s">
        <v>2790</v>
      </c>
      <c r="T94" s="3119" t="s">
        <v>2791</v>
      </c>
    </row>
    <row r="95" spans="1:20">
      <c r="A95" s="3110">
        <v>1</v>
      </c>
      <c r="B95" s="3111">
        <v>1.2501</v>
      </c>
      <c r="C95" s="3111">
        <v>1.2501</v>
      </c>
      <c r="D95" s="3111">
        <v>1.2158</v>
      </c>
      <c r="E95" s="3111">
        <v>1.2158</v>
      </c>
      <c r="F95" s="3111">
        <v>1.2158</v>
      </c>
      <c r="G95" s="3111">
        <v>1.2158</v>
      </c>
      <c r="H95" s="3111">
        <v>1.2158</v>
      </c>
      <c r="I95" s="3111">
        <v>1.2302</v>
      </c>
      <c r="J95" s="3111">
        <v>1.2302</v>
      </c>
      <c r="K95" s="3111">
        <v>1.2302</v>
      </c>
      <c r="L95" s="3111">
        <v>1.2302</v>
      </c>
      <c r="M95" s="3112">
        <v>1.2302</v>
      </c>
      <c r="Q95" s="3119">
        <v>10</v>
      </c>
      <c r="R95" s="3119">
        <f>ROUND(0.993-0.0112*Q95,4)</f>
        <v>0.88100000000000001</v>
      </c>
      <c r="S95" s="3119">
        <f>ROUND(0.9415-0.0142*Q95,4)</f>
        <v>0.79949999999999999</v>
      </c>
      <c r="T95" s="3119">
        <f>ROUND(0.8438-0.0182*Q95,4)</f>
        <v>0.66180000000000005</v>
      </c>
    </row>
    <row r="96" spans="1:20">
      <c r="A96" s="3110">
        <v>1.1000000000000001</v>
      </c>
      <c r="B96" s="3111">
        <v>1.2310000000000001</v>
      </c>
      <c r="C96" s="3111">
        <v>1.2310000000000001</v>
      </c>
      <c r="D96" s="3111">
        <v>1.1947000000000001</v>
      </c>
      <c r="E96" s="3111">
        <v>1.1947000000000001</v>
      </c>
      <c r="F96" s="3111">
        <v>1.1947000000000001</v>
      </c>
      <c r="G96" s="3111">
        <v>1.1947000000000001</v>
      </c>
      <c r="H96" s="3111">
        <v>1.1947000000000001</v>
      </c>
      <c r="I96" s="3111">
        <v>1.2008000000000001</v>
      </c>
      <c r="J96" s="3111">
        <v>1.2008000000000001</v>
      </c>
      <c r="K96" s="3111">
        <v>1.2008000000000001</v>
      </c>
      <c r="L96" s="3111">
        <v>1.2008000000000001</v>
      </c>
      <c r="M96" s="3112">
        <v>1.2008000000000001</v>
      </c>
    </row>
    <row r="97" spans="1:14">
      <c r="A97" s="3110">
        <v>1.2</v>
      </c>
      <c r="B97" s="3111">
        <v>1.2130000000000001</v>
      </c>
      <c r="C97" s="3111">
        <v>1.2130000000000001</v>
      </c>
      <c r="D97" s="3111">
        <v>1.1748000000000001</v>
      </c>
      <c r="E97" s="3111">
        <v>1.1748000000000001</v>
      </c>
      <c r="F97" s="3111">
        <v>1.1748000000000001</v>
      </c>
      <c r="G97" s="3111">
        <v>1.1748000000000001</v>
      </c>
      <c r="H97" s="3111">
        <v>1.1748000000000001</v>
      </c>
      <c r="I97" s="3111">
        <v>1.173</v>
      </c>
      <c r="J97" s="3111">
        <v>1.173</v>
      </c>
      <c r="K97" s="3111">
        <v>1.173</v>
      </c>
      <c r="L97" s="3111">
        <v>1.173</v>
      </c>
      <c r="M97" s="3112">
        <v>1.173</v>
      </c>
    </row>
    <row r="98" spans="1:14">
      <c r="A98" s="3110">
        <v>1.3</v>
      </c>
      <c r="B98" s="3111">
        <v>1.196</v>
      </c>
      <c r="C98" s="3111">
        <v>1.196</v>
      </c>
      <c r="D98" s="3111">
        <v>1.1559999999999999</v>
      </c>
      <c r="E98" s="3111">
        <v>1.1559999999999999</v>
      </c>
      <c r="F98" s="3111">
        <v>1.1559999999999999</v>
      </c>
      <c r="G98" s="3111">
        <v>1.1559999999999999</v>
      </c>
      <c r="H98" s="3111">
        <v>1.1559999999999999</v>
      </c>
      <c r="I98" s="3111">
        <v>1.1468</v>
      </c>
      <c r="J98" s="3111">
        <v>1.1468</v>
      </c>
      <c r="K98" s="3111">
        <v>1.1468</v>
      </c>
      <c r="L98" s="3111">
        <v>1.1468</v>
      </c>
      <c r="M98" s="3112">
        <v>1.1468</v>
      </c>
    </row>
    <row r="99" spans="1:14">
      <c r="A99" s="3110">
        <v>1.4</v>
      </c>
      <c r="B99" s="3111">
        <v>1.18</v>
      </c>
      <c r="C99" s="3111">
        <v>1.18</v>
      </c>
      <c r="D99" s="3111">
        <v>1.1382000000000001</v>
      </c>
      <c r="E99" s="3111">
        <v>1.1382000000000001</v>
      </c>
      <c r="F99" s="3111">
        <v>1.1382000000000001</v>
      </c>
      <c r="G99" s="3111">
        <v>1.1382000000000001</v>
      </c>
      <c r="H99" s="3111">
        <v>1.1382000000000001</v>
      </c>
      <c r="I99" s="3111">
        <v>1.1220000000000001</v>
      </c>
      <c r="J99" s="3111">
        <v>1.1220000000000001</v>
      </c>
      <c r="K99" s="3111">
        <v>1.1220000000000001</v>
      </c>
      <c r="L99" s="3111">
        <v>1.1220000000000001</v>
      </c>
      <c r="M99" s="3112">
        <v>1.1220000000000001</v>
      </c>
    </row>
    <row r="100" spans="1:14">
      <c r="A100" s="3110">
        <v>1.5</v>
      </c>
      <c r="B100" s="3111">
        <v>1.1649</v>
      </c>
      <c r="C100" s="3111">
        <v>1.1649</v>
      </c>
      <c r="D100" s="3111">
        <v>1.1214999999999999</v>
      </c>
      <c r="E100" s="3111">
        <v>1.1214999999999999</v>
      </c>
      <c r="F100" s="3111">
        <v>1.1214999999999999</v>
      </c>
      <c r="G100" s="3111">
        <v>1.1214999999999999</v>
      </c>
      <c r="H100" s="3111">
        <v>1.1214999999999999</v>
      </c>
      <c r="I100" s="3111">
        <v>1.0985</v>
      </c>
      <c r="J100" s="3111">
        <v>1.0985</v>
      </c>
      <c r="K100" s="3111">
        <v>1.0985</v>
      </c>
      <c r="L100" s="3111">
        <v>1.0985</v>
      </c>
      <c r="M100" s="3112">
        <v>1.0985</v>
      </c>
    </row>
    <row r="101" spans="1:14">
      <c r="A101" s="3110">
        <v>1.6</v>
      </c>
      <c r="B101" s="3111">
        <v>1.1507000000000001</v>
      </c>
      <c r="C101" s="3111">
        <v>1.1507000000000001</v>
      </c>
      <c r="D101" s="3111">
        <v>1.1056999999999999</v>
      </c>
      <c r="E101" s="3111">
        <v>1.1056999999999999</v>
      </c>
      <c r="F101" s="3111">
        <v>1.1056999999999999</v>
      </c>
      <c r="G101" s="3111">
        <v>1.1056999999999999</v>
      </c>
      <c r="H101" s="3111">
        <v>1.1056999999999999</v>
      </c>
      <c r="I101" s="3111">
        <v>1.0764</v>
      </c>
      <c r="J101" s="3111">
        <v>1.0764</v>
      </c>
      <c r="K101" s="3111">
        <v>1.0764</v>
      </c>
      <c r="L101" s="3111">
        <v>1.0764</v>
      </c>
      <c r="M101" s="3112">
        <v>1.0764</v>
      </c>
    </row>
    <row r="102" spans="1:14">
      <c r="A102" s="3110">
        <v>1.7</v>
      </c>
      <c r="B102" s="3111">
        <v>1.1373</v>
      </c>
      <c r="C102" s="3111">
        <v>1.1373</v>
      </c>
      <c r="D102" s="3111">
        <v>1.0908</v>
      </c>
      <c r="E102" s="3111">
        <v>1.0908</v>
      </c>
      <c r="F102" s="3111">
        <v>1.0908</v>
      </c>
      <c r="G102" s="3111">
        <v>1.0908</v>
      </c>
      <c r="H102" s="3111">
        <v>1.0908</v>
      </c>
      <c r="I102" s="3111">
        <v>1.0556000000000001</v>
      </c>
      <c r="J102" s="3111">
        <v>1.0556000000000001</v>
      </c>
      <c r="K102" s="3111">
        <v>1.0556000000000001</v>
      </c>
      <c r="L102" s="3111">
        <v>1.0556000000000001</v>
      </c>
      <c r="M102" s="3112">
        <v>1.0556000000000001</v>
      </c>
    </row>
    <row r="103" spans="1:14" ht="14.25">
      <c r="A103" s="3110">
        <v>1.8</v>
      </c>
      <c r="B103" s="3111">
        <v>1.1247</v>
      </c>
      <c r="C103" s="3111">
        <v>1.1247</v>
      </c>
      <c r="D103" s="3111">
        <v>1.0768</v>
      </c>
      <c r="E103" s="3111">
        <v>1.0768</v>
      </c>
      <c r="F103" s="3111">
        <v>1.0768</v>
      </c>
      <c r="G103" s="3111">
        <v>1.0768</v>
      </c>
      <c r="H103" s="3111">
        <v>1.0768</v>
      </c>
      <c r="I103" s="3111">
        <v>1.0359</v>
      </c>
      <c r="J103" s="3111">
        <v>1.0359</v>
      </c>
      <c r="K103" s="3111">
        <v>1.0359</v>
      </c>
      <c r="L103" s="3111">
        <v>1.0359</v>
      </c>
      <c r="M103" s="3112">
        <v>1.0359</v>
      </c>
      <c r="N103" s="749"/>
    </row>
    <row r="104" spans="1:14" ht="14.25">
      <c r="A104" s="3110">
        <v>1.9</v>
      </c>
      <c r="B104" s="3111">
        <v>1.1128</v>
      </c>
      <c r="C104" s="3111">
        <v>1.1128</v>
      </c>
      <c r="D104" s="3111">
        <v>1.0637000000000001</v>
      </c>
      <c r="E104" s="3111">
        <v>1.0637000000000001</v>
      </c>
      <c r="F104" s="3111">
        <v>1.0637000000000001</v>
      </c>
      <c r="G104" s="3111">
        <v>1.0637000000000001</v>
      </c>
      <c r="H104" s="3111">
        <v>1.0637000000000001</v>
      </c>
      <c r="I104" s="3111">
        <v>1.0174000000000001</v>
      </c>
      <c r="J104" s="3111">
        <v>1.0174000000000001</v>
      </c>
      <c r="K104" s="3111">
        <v>1.0174000000000001</v>
      </c>
      <c r="L104" s="3111">
        <v>1.0174000000000001</v>
      </c>
      <c r="M104" s="3112">
        <v>1.0174000000000001</v>
      </c>
      <c r="N104" s="749"/>
    </row>
    <row r="105" spans="1:14">
      <c r="A105" s="3110">
        <v>2</v>
      </c>
      <c r="B105" s="3111">
        <v>1.1016999999999999</v>
      </c>
      <c r="C105" s="3111">
        <v>1.1016999999999999</v>
      </c>
      <c r="D105" s="3111">
        <v>1.0512999999999999</v>
      </c>
      <c r="E105" s="3111">
        <v>1.0512999999999999</v>
      </c>
      <c r="F105" s="3111">
        <v>1.0512999999999999</v>
      </c>
      <c r="G105" s="3111">
        <v>1.0512999999999999</v>
      </c>
      <c r="H105" s="3111">
        <v>1.0512999999999999</v>
      </c>
      <c r="I105" s="3111">
        <v>1</v>
      </c>
      <c r="J105" s="3111">
        <v>1</v>
      </c>
      <c r="K105" s="3111">
        <v>1</v>
      </c>
      <c r="L105" s="3111">
        <v>1</v>
      </c>
      <c r="M105" s="3112">
        <v>1</v>
      </c>
    </row>
    <row r="106" spans="1:14">
      <c r="A106" s="3113">
        <v>2.1</v>
      </c>
      <c r="B106" s="3111">
        <v>1.0912999999999999</v>
      </c>
      <c r="C106" s="3111">
        <v>1.0912999999999999</v>
      </c>
      <c r="D106" s="3111">
        <v>1.0397000000000001</v>
      </c>
      <c r="E106" s="3111">
        <v>1.0397000000000001</v>
      </c>
      <c r="F106" s="3111">
        <v>1.0397000000000001</v>
      </c>
      <c r="G106" s="3111">
        <v>1.0397000000000001</v>
      </c>
      <c r="H106" s="3111">
        <v>1.0397000000000001</v>
      </c>
      <c r="I106" s="3111">
        <v>0.98360000000000003</v>
      </c>
      <c r="J106" s="3111">
        <v>0.98360000000000003</v>
      </c>
      <c r="K106" s="3111">
        <v>0.98360000000000003</v>
      </c>
      <c r="L106" s="3111">
        <v>0.98360000000000003</v>
      </c>
      <c r="M106" s="3112">
        <v>0.98360000000000003</v>
      </c>
    </row>
    <row r="107" spans="1:14">
      <c r="A107" s="3113">
        <v>2.2000000000000002</v>
      </c>
      <c r="B107" s="3111">
        <v>1.0814999999999999</v>
      </c>
      <c r="C107" s="3111">
        <v>1.0814999999999999</v>
      </c>
      <c r="D107" s="3111">
        <v>1.0287999999999999</v>
      </c>
      <c r="E107" s="3111">
        <v>1.0287999999999999</v>
      </c>
      <c r="F107" s="3111">
        <v>1.0287999999999999</v>
      </c>
      <c r="G107" s="3111">
        <v>1.0287999999999999</v>
      </c>
      <c r="H107" s="3111">
        <v>1.0287999999999999</v>
      </c>
      <c r="I107" s="3111">
        <v>0.96819999999999995</v>
      </c>
      <c r="J107" s="3111">
        <v>0.96819999999999995</v>
      </c>
      <c r="K107" s="3111">
        <v>0.96819999999999995</v>
      </c>
      <c r="L107" s="3111">
        <v>0.96819999999999995</v>
      </c>
      <c r="M107" s="3112">
        <v>0.96819999999999995</v>
      </c>
    </row>
    <row r="108" spans="1:14">
      <c r="A108" s="3113">
        <v>2.2999999999999998</v>
      </c>
      <c r="B108" s="3111">
        <v>1.0724</v>
      </c>
      <c r="C108" s="3111">
        <v>1.0724</v>
      </c>
      <c r="D108" s="3111">
        <v>1.0185999999999999</v>
      </c>
      <c r="E108" s="3111">
        <v>1.0185999999999999</v>
      </c>
      <c r="F108" s="3111">
        <v>1.0185999999999999</v>
      </c>
      <c r="G108" s="3111">
        <v>1.0185999999999999</v>
      </c>
      <c r="H108" s="3111">
        <v>1.0185999999999999</v>
      </c>
      <c r="I108" s="3111">
        <v>0.95369999999999999</v>
      </c>
      <c r="J108" s="3111">
        <v>0.95369999999999999</v>
      </c>
      <c r="K108" s="3111">
        <v>0.95369999999999999</v>
      </c>
      <c r="L108" s="3111">
        <v>0.95369999999999999</v>
      </c>
      <c r="M108" s="3112">
        <v>0.95369999999999999</v>
      </c>
    </row>
    <row r="109" spans="1:14">
      <c r="A109" s="3113">
        <v>2.4</v>
      </c>
      <c r="B109" s="3111">
        <v>1.0638000000000001</v>
      </c>
      <c r="C109" s="3111">
        <v>1.0638000000000001</v>
      </c>
      <c r="D109" s="3111">
        <v>1.0089999999999999</v>
      </c>
      <c r="E109" s="3111">
        <v>1.0089999999999999</v>
      </c>
      <c r="F109" s="3111">
        <v>1.0089999999999999</v>
      </c>
      <c r="G109" s="3111">
        <v>1.0089999999999999</v>
      </c>
      <c r="H109" s="3111">
        <v>1.0089999999999999</v>
      </c>
      <c r="I109" s="3111">
        <v>0.94010000000000005</v>
      </c>
      <c r="J109" s="3111">
        <v>0.94010000000000005</v>
      </c>
      <c r="K109" s="3111">
        <v>0.94010000000000005</v>
      </c>
      <c r="L109" s="3111">
        <v>0.94010000000000005</v>
      </c>
      <c r="M109" s="3112">
        <v>0.94010000000000005</v>
      </c>
    </row>
    <row r="110" spans="1:14">
      <c r="A110" s="3113">
        <v>2.5</v>
      </c>
      <c r="B110" s="3111">
        <v>1.0558000000000001</v>
      </c>
      <c r="C110" s="3111">
        <v>1.0558000000000001</v>
      </c>
      <c r="D110" s="3111">
        <v>1</v>
      </c>
      <c r="E110" s="3111">
        <v>1</v>
      </c>
      <c r="F110" s="3111">
        <v>1</v>
      </c>
      <c r="G110" s="3111">
        <v>1</v>
      </c>
      <c r="H110" s="3111">
        <v>1</v>
      </c>
      <c r="I110" s="3111">
        <v>0.9274</v>
      </c>
      <c r="J110" s="3111">
        <v>0.9274</v>
      </c>
      <c r="K110" s="3111">
        <v>0.9274</v>
      </c>
      <c r="L110" s="3111">
        <v>0.9274</v>
      </c>
      <c r="M110" s="3112">
        <v>0.9274</v>
      </c>
    </row>
    <row r="111" spans="1:14">
      <c r="A111" s="3113">
        <v>2.6</v>
      </c>
      <c r="B111" s="3111">
        <v>1.0483</v>
      </c>
      <c r="C111" s="3111">
        <v>1.0483</v>
      </c>
      <c r="D111" s="3111">
        <v>0.99160000000000004</v>
      </c>
      <c r="E111" s="3111">
        <v>0.99160000000000004</v>
      </c>
      <c r="F111" s="3111">
        <v>0.99160000000000004</v>
      </c>
      <c r="G111" s="3111">
        <v>0.99160000000000004</v>
      </c>
      <c r="H111" s="3111">
        <v>0.99160000000000004</v>
      </c>
      <c r="I111" s="3111">
        <v>0.91539999999999999</v>
      </c>
      <c r="J111" s="3111">
        <v>0.91539999999999999</v>
      </c>
      <c r="K111" s="3111">
        <v>0.91539999999999999</v>
      </c>
      <c r="L111" s="3111">
        <v>0.91539999999999999</v>
      </c>
      <c r="M111" s="3112">
        <v>0.91539999999999999</v>
      </c>
    </row>
    <row r="112" spans="1:14">
      <c r="A112" s="3113">
        <v>2.7</v>
      </c>
      <c r="B112" s="3111">
        <v>1.0412999999999999</v>
      </c>
      <c r="C112" s="3111">
        <v>1.0412999999999999</v>
      </c>
      <c r="D112" s="3111">
        <v>0.98370000000000002</v>
      </c>
      <c r="E112" s="3111">
        <v>0.98370000000000002</v>
      </c>
      <c r="F112" s="3111">
        <v>0.98370000000000002</v>
      </c>
      <c r="G112" s="3111">
        <v>0.98370000000000002</v>
      </c>
      <c r="H112" s="3111">
        <v>0.98370000000000002</v>
      </c>
      <c r="I112" s="3111">
        <v>0.90429999999999999</v>
      </c>
      <c r="J112" s="3111">
        <v>0.90429999999999999</v>
      </c>
      <c r="K112" s="3111">
        <v>0.90429999999999999</v>
      </c>
      <c r="L112" s="3111">
        <v>0.90429999999999999</v>
      </c>
      <c r="M112" s="3112">
        <v>0.90429999999999999</v>
      </c>
    </row>
    <row r="113" spans="1:13">
      <c r="A113" s="3113">
        <v>2.8</v>
      </c>
      <c r="B113" s="3111">
        <v>1.0347999999999999</v>
      </c>
      <c r="C113" s="3111">
        <v>1.0347999999999999</v>
      </c>
      <c r="D113" s="3111">
        <v>0.97640000000000005</v>
      </c>
      <c r="E113" s="3111">
        <v>0.97640000000000005</v>
      </c>
      <c r="F113" s="3111">
        <v>0.97640000000000005</v>
      </c>
      <c r="G113" s="3111">
        <v>0.97640000000000005</v>
      </c>
      <c r="H113" s="3111">
        <v>0.97640000000000005</v>
      </c>
      <c r="I113" s="3111">
        <v>0.89370000000000005</v>
      </c>
      <c r="J113" s="3111">
        <v>0.89370000000000005</v>
      </c>
      <c r="K113" s="3111">
        <v>0.89370000000000005</v>
      </c>
      <c r="L113" s="3111">
        <v>0.89370000000000005</v>
      </c>
      <c r="M113" s="3112">
        <v>0.89370000000000005</v>
      </c>
    </row>
    <row r="114" spans="1:13">
      <c r="A114" s="3113">
        <v>2.9</v>
      </c>
      <c r="B114" s="3111">
        <v>1.0286999999999999</v>
      </c>
      <c r="C114" s="3111">
        <v>1.0286999999999999</v>
      </c>
      <c r="D114" s="3111">
        <v>0.96950000000000003</v>
      </c>
      <c r="E114" s="3111">
        <v>0.96950000000000003</v>
      </c>
      <c r="F114" s="3111">
        <v>0.96950000000000003</v>
      </c>
      <c r="G114" s="3111">
        <v>0.96950000000000003</v>
      </c>
      <c r="H114" s="3111">
        <v>0.96950000000000003</v>
      </c>
      <c r="I114" s="3111">
        <v>0.88390000000000002</v>
      </c>
      <c r="J114" s="3111">
        <v>0.88390000000000002</v>
      </c>
      <c r="K114" s="3111">
        <v>0.88390000000000002</v>
      </c>
      <c r="L114" s="3111">
        <v>0.88390000000000002</v>
      </c>
      <c r="M114" s="3112">
        <v>0.88390000000000002</v>
      </c>
    </row>
    <row r="115" spans="1:13">
      <c r="A115" s="3113">
        <v>3</v>
      </c>
      <c r="B115" s="3111">
        <v>1.0229999999999999</v>
      </c>
      <c r="C115" s="3111">
        <v>1.0229999999999999</v>
      </c>
      <c r="D115" s="3111">
        <v>0.96309999999999996</v>
      </c>
      <c r="E115" s="3111">
        <v>0.96309999999999996</v>
      </c>
      <c r="F115" s="3111">
        <v>0.96309999999999996</v>
      </c>
      <c r="G115" s="3111">
        <v>0.96309999999999996</v>
      </c>
      <c r="H115" s="3111">
        <v>0.96309999999999996</v>
      </c>
      <c r="I115" s="3111">
        <v>0.87460000000000004</v>
      </c>
      <c r="J115" s="3111">
        <v>0.87460000000000004</v>
      </c>
      <c r="K115" s="3111">
        <v>0.87460000000000004</v>
      </c>
      <c r="L115" s="3111">
        <v>0.87460000000000004</v>
      </c>
      <c r="M115" s="3112">
        <v>0.87460000000000004</v>
      </c>
    </row>
    <row r="116" spans="1:13">
      <c r="A116" s="3113">
        <v>3.1</v>
      </c>
      <c r="B116" s="3111">
        <v>1.0177</v>
      </c>
      <c r="C116" s="3111">
        <v>1.0177</v>
      </c>
      <c r="D116" s="3111">
        <v>0.95709999999999995</v>
      </c>
      <c r="E116" s="3111">
        <v>0.95709999999999995</v>
      </c>
      <c r="F116" s="3111">
        <v>0.95709999999999995</v>
      </c>
      <c r="G116" s="3111">
        <v>0.95709999999999995</v>
      </c>
      <c r="H116" s="3111">
        <v>0.95709999999999995</v>
      </c>
      <c r="I116" s="3111">
        <v>0.8659</v>
      </c>
      <c r="J116" s="3111">
        <v>0.8659</v>
      </c>
      <c r="K116" s="3111">
        <v>0.8659</v>
      </c>
      <c r="L116" s="3111">
        <v>0.8659</v>
      </c>
      <c r="M116" s="3112">
        <v>0.8659</v>
      </c>
    </row>
    <row r="117" spans="1:13">
      <c r="A117" s="3113">
        <v>3.2</v>
      </c>
      <c r="B117" s="3111">
        <v>1.0127999999999999</v>
      </c>
      <c r="C117" s="3111">
        <v>1.0127999999999999</v>
      </c>
      <c r="D117" s="3111">
        <v>0.9516</v>
      </c>
      <c r="E117" s="3111">
        <v>0.9516</v>
      </c>
      <c r="F117" s="3111">
        <v>0.9516</v>
      </c>
      <c r="G117" s="3111">
        <v>0.9516</v>
      </c>
      <c r="H117" s="3111">
        <v>0.9516</v>
      </c>
      <c r="I117" s="3111">
        <v>0.85780000000000001</v>
      </c>
      <c r="J117" s="3111">
        <v>0.85780000000000001</v>
      </c>
      <c r="K117" s="3111">
        <v>0.85780000000000001</v>
      </c>
      <c r="L117" s="3111">
        <v>0.85780000000000001</v>
      </c>
      <c r="M117" s="3112">
        <v>0.85780000000000001</v>
      </c>
    </row>
    <row r="118" spans="1:13">
      <c r="A118" s="3113">
        <v>3.3</v>
      </c>
      <c r="B118" s="3111">
        <v>1.0082</v>
      </c>
      <c r="C118" s="3111">
        <v>1.0082</v>
      </c>
      <c r="D118" s="3111">
        <v>0.94640000000000002</v>
      </c>
      <c r="E118" s="3111">
        <v>0.94640000000000002</v>
      </c>
      <c r="F118" s="3111">
        <v>0.94640000000000002</v>
      </c>
      <c r="G118" s="3111">
        <v>0.94640000000000002</v>
      </c>
      <c r="H118" s="3111">
        <v>0.94640000000000002</v>
      </c>
      <c r="I118" s="3111">
        <v>0.85029999999999994</v>
      </c>
      <c r="J118" s="3111">
        <v>0.85029999999999994</v>
      </c>
      <c r="K118" s="3111">
        <v>0.85029999999999994</v>
      </c>
      <c r="L118" s="3111">
        <v>0.85029999999999994</v>
      </c>
      <c r="M118" s="3112">
        <v>0.85029999999999994</v>
      </c>
    </row>
    <row r="119" spans="1:13">
      <c r="A119" s="3113">
        <v>3.4</v>
      </c>
      <c r="B119" s="3111">
        <v>1.004</v>
      </c>
      <c r="C119" s="3111">
        <v>1.004</v>
      </c>
      <c r="D119" s="3111">
        <v>0.9415</v>
      </c>
      <c r="E119" s="3111">
        <v>0.9415</v>
      </c>
      <c r="F119" s="3111">
        <v>0.9415</v>
      </c>
      <c r="G119" s="3111">
        <v>0.9415</v>
      </c>
      <c r="H119" s="3111">
        <v>0.9415</v>
      </c>
      <c r="I119" s="3111">
        <v>0.84319999999999995</v>
      </c>
      <c r="J119" s="3111">
        <v>0.84319999999999995</v>
      </c>
      <c r="K119" s="3111">
        <v>0.84319999999999995</v>
      </c>
      <c r="L119" s="3111">
        <v>0.84319999999999995</v>
      </c>
      <c r="M119" s="3112">
        <v>0.84319999999999995</v>
      </c>
    </row>
    <row r="120" spans="1:13">
      <c r="A120" s="3113">
        <v>3.5</v>
      </c>
      <c r="B120" s="3111">
        <v>1</v>
      </c>
      <c r="C120" s="3111">
        <v>1</v>
      </c>
      <c r="D120" s="3111">
        <v>0.93700000000000006</v>
      </c>
      <c r="E120" s="3111">
        <v>0.93700000000000006</v>
      </c>
      <c r="F120" s="3111">
        <v>0.93700000000000006</v>
      </c>
      <c r="G120" s="3111">
        <v>0.93700000000000006</v>
      </c>
      <c r="H120" s="3111">
        <v>0.93700000000000006</v>
      </c>
      <c r="I120" s="3111">
        <v>0.83660000000000001</v>
      </c>
      <c r="J120" s="3111">
        <v>0.83660000000000001</v>
      </c>
      <c r="K120" s="3111">
        <v>0.83660000000000001</v>
      </c>
      <c r="L120" s="3111">
        <v>0.83660000000000001</v>
      </c>
      <c r="M120" s="3112">
        <v>0.83660000000000001</v>
      </c>
    </row>
    <row r="121" spans="1:13">
      <c r="A121" s="3113">
        <v>3.6</v>
      </c>
      <c r="B121" s="3111">
        <v>0.99629999999999996</v>
      </c>
      <c r="C121" s="3111">
        <v>0.99629999999999996</v>
      </c>
      <c r="D121" s="3111">
        <v>0.93279999999999996</v>
      </c>
      <c r="E121" s="3111">
        <v>0.93279999999999996</v>
      </c>
      <c r="F121" s="3111">
        <v>0.93279999999999996</v>
      </c>
      <c r="G121" s="3111">
        <v>0.93279999999999996</v>
      </c>
      <c r="H121" s="3111">
        <v>0.93279999999999996</v>
      </c>
      <c r="I121" s="3111">
        <v>0.83040000000000003</v>
      </c>
      <c r="J121" s="3111">
        <v>0.83040000000000003</v>
      </c>
      <c r="K121" s="3111">
        <v>0.83040000000000003</v>
      </c>
      <c r="L121" s="3111">
        <v>0.83040000000000003</v>
      </c>
      <c r="M121" s="3112">
        <v>0.83040000000000003</v>
      </c>
    </row>
    <row r="122" spans="1:13">
      <c r="A122" s="3113">
        <v>3.7</v>
      </c>
      <c r="B122" s="3111">
        <v>0.9929</v>
      </c>
      <c r="C122" s="3111">
        <v>0.9929</v>
      </c>
      <c r="D122" s="3111">
        <v>0.92879999999999996</v>
      </c>
      <c r="E122" s="3111">
        <v>0.92879999999999996</v>
      </c>
      <c r="F122" s="3111">
        <v>0.92879999999999996</v>
      </c>
      <c r="G122" s="3111">
        <v>0.92879999999999996</v>
      </c>
      <c r="H122" s="3111">
        <v>0.92879999999999996</v>
      </c>
      <c r="I122" s="3111">
        <v>0.8246</v>
      </c>
      <c r="J122" s="3111">
        <v>0.8246</v>
      </c>
      <c r="K122" s="3111">
        <v>0.8246</v>
      </c>
      <c r="L122" s="3111">
        <v>0.8246</v>
      </c>
      <c r="M122" s="3112">
        <v>0.8246</v>
      </c>
    </row>
    <row r="123" spans="1:13">
      <c r="A123" s="3113">
        <v>3.8</v>
      </c>
      <c r="B123" s="3111">
        <v>0.98970000000000002</v>
      </c>
      <c r="C123" s="3111">
        <v>0.98970000000000002</v>
      </c>
      <c r="D123" s="3111">
        <v>0.92520000000000002</v>
      </c>
      <c r="E123" s="3111">
        <v>0.92520000000000002</v>
      </c>
      <c r="F123" s="3111">
        <v>0.92520000000000002</v>
      </c>
      <c r="G123" s="3111">
        <v>0.92520000000000002</v>
      </c>
      <c r="H123" s="3111">
        <v>0.92520000000000002</v>
      </c>
      <c r="I123" s="3111">
        <v>0.81920000000000004</v>
      </c>
      <c r="J123" s="3111">
        <v>0.81920000000000004</v>
      </c>
      <c r="K123" s="3111">
        <v>0.81920000000000004</v>
      </c>
      <c r="L123" s="3111">
        <v>0.81920000000000004</v>
      </c>
      <c r="M123" s="3112">
        <v>0.81920000000000004</v>
      </c>
    </row>
    <row r="124" spans="1:13">
      <c r="A124" s="3113">
        <v>3.9</v>
      </c>
      <c r="B124" s="3111">
        <v>0.98670000000000002</v>
      </c>
      <c r="C124" s="3111">
        <v>0.98670000000000002</v>
      </c>
      <c r="D124" s="3111">
        <v>0.92179999999999995</v>
      </c>
      <c r="E124" s="3111">
        <v>0.92179999999999995</v>
      </c>
      <c r="F124" s="3111">
        <v>0.92179999999999995</v>
      </c>
      <c r="G124" s="3111">
        <v>0.92179999999999995</v>
      </c>
      <c r="H124" s="3111">
        <v>0.92179999999999995</v>
      </c>
      <c r="I124" s="3111">
        <v>0.81410000000000005</v>
      </c>
      <c r="J124" s="3111">
        <v>0.81410000000000005</v>
      </c>
      <c r="K124" s="3111">
        <v>0.81410000000000005</v>
      </c>
      <c r="L124" s="3111">
        <v>0.81410000000000005</v>
      </c>
      <c r="M124" s="3112">
        <v>0.81410000000000005</v>
      </c>
    </row>
    <row r="125" spans="1:13">
      <c r="A125" s="3113">
        <v>4</v>
      </c>
      <c r="B125" s="3111">
        <v>0.98380000000000001</v>
      </c>
      <c r="C125" s="3111">
        <v>0.98380000000000001</v>
      </c>
      <c r="D125" s="3111">
        <v>0.91859999999999997</v>
      </c>
      <c r="E125" s="3111">
        <v>0.91859999999999997</v>
      </c>
      <c r="F125" s="3111">
        <v>0.91859999999999997</v>
      </c>
      <c r="G125" s="3111">
        <v>0.91859999999999997</v>
      </c>
      <c r="H125" s="3111">
        <v>0.91859999999999997</v>
      </c>
      <c r="I125" s="3111">
        <v>0.80940000000000001</v>
      </c>
      <c r="J125" s="3111">
        <v>0.80940000000000001</v>
      </c>
      <c r="K125" s="3111">
        <v>0.80940000000000001</v>
      </c>
      <c r="L125" s="3111">
        <v>0.80940000000000001</v>
      </c>
      <c r="M125" s="3112">
        <v>0.80940000000000001</v>
      </c>
    </row>
    <row r="126" spans="1:13">
      <c r="A126" s="3113">
        <v>4.0999999999999996</v>
      </c>
      <c r="B126" s="3111">
        <v>0.98099999999999998</v>
      </c>
      <c r="C126" s="3111">
        <v>0.98099999999999998</v>
      </c>
      <c r="D126" s="3111">
        <v>0.91559999999999997</v>
      </c>
      <c r="E126" s="3111">
        <v>0.91559999999999997</v>
      </c>
      <c r="F126" s="3111">
        <v>0.91559999999999997</v>
      </c>
      <c r="G126" s="3111">
        <v>0.91559999999999997</v>
      </c>
      <c r="H126" s="3111">
        <v>0.91559999999999997</v>
      </c>
      <c r="I126" s="3111">
        <v>0.80489999999999995</v>
      </c>
      <c r="J126" s="3111">
        <v>0.80489999999999995</v>
      </c>
      <c r="K126" s="3111">
        <v>0.80489999999999995</v>
      </c>
      <c r="L126" s="3111">
        <v>0.80489999999999995</v>
      </c>
      <c r="M126" s="3112">
        <v>0.80489999999999995</v>
      </c>
    </row>
    <row r="127" spans="1:13">
      <c r="A127" s="3113">
        <v>4.2</v>
      </c>
      <c r="B127" s="3111">
        <v>0.97829999999999995</v>
      </c>
      <c r="C127" s="3111">
        <v>0.97829999999999995</v>
      </c>
      <c r="D127" s="3111">
        <v>0.91269999999999996</v>
      </c>
      <c r="E127" s="3111">
        <v>0.91269999999999996</v>
      </c>
      <c r="F127" s="3111">
        <v>0.91269999999999996</v>
      </c>
      <c r="G127" s="3111">
        <v>0.91269999999999996</v>
      </c>
      <c r="H127" s="3111">
        <v>0.91269999999999996</v>
      </c>
      <c r="I127" s="3111">
        <v>0.80059999999999998</v>
      </c>
      <c r="J127" s="3111">
        <v>0.80059999999999998</v>
      </c>
      <c r="K127" s="3111">
        <v>0.80059999999999998</v>
      </c>
      <c r="L127" s="3111">
        <v>0.80059999999999998</v>
      </c>
      <c r="M127" s="3112">
        <v>0.80059999999999998</v>
      </c>
    </row>
    <row r="128" spans="1:13">
      <c r="A128" s="3113">
        <v>4.3</v>
      </c>
      <c r="B128" s="3111">
        <v>0.97570000000000001</v>
      </c>
      <c r="C128" s="3111">
        <v>0.97570000000000001</v>
      </c>
      <c r="D128" s="3111">
        <v>0.90990000000000004</v>
      </c>
      <c r="E128" s="3111">
        <v>0.90990000000000004</v>
      </c>
      <c r="F128" s="3111">
        <v>0.90990000000000004</v>
      </c>
      <c r="G128" s="3111">
        <v>0.90990000000000004</v>
      </c>
      <c r="H128" s="3111">
        <v>0.90990000000000004</v>
      </c>
      <c r="I128" s="3111">
        <v>0.79649999999999999</v>
      </c>
      <c r="J128" s="3111">
        <v>0.79649999999999999</v>
      </c>
      <c r="K128" s="3111">
        <v>0.79649999999999999</v>
      </c>
      <c r="L128" s="3111">
        <v>0.79649999999999999</v>
      </c>
      <c r="M128" s="3112">
        <v>0.79649999999999999</v>
      </c>
    </row>
    <row r="129" spans="1:13">
      <c r="A129" s="3113">
        <v>4.4000000000000004</v>
      </c>
      <c r="B129" s="3111">
        <v>0.97319999999999995</v>
      </c>
      <c r="C129" s="3111">
        <v>0.97319999999999995</v>
      </c>
      <c r="D129" s="3111">
        <v>0.90720000000000001</v>
      </c>
      <c r="E129" s="3111">
        <v>0.90720000000000001</v>
      </c>
      <c r="F129" s="3111">
        <v>0.90720000000000001</v>
      </c>
      <c r="G129" s="3111">
        <v>0.90720000000000001</v>
      </c>
      <c r="H129" s="3111">
        <v>0.90720000000000001</v>
      </c>
      <c r="I129" s="3111">
        <v>0.79259999999999997</v>
      </c>
      <c r="J129" s="3111">
        <v>0.79259999999999997</v>
      </c>
      <c r="K129" s="3111">
        <v>0.79259999999999997</v>
      </c>
      <c r="L129" s="3111">
        <v>0.79259999999999997</v>
      </c>
      <c r="M129" s="3112">
        <v>0.79259999999999997</v>
      </c>
    </row>
    <row r="130" spans="1:13">
      <c r="A130" s="3113">
        <v>4.5</v>
      </c>
      <c r="B130" s="3111">
        <v>0.9708</v>
      </c>
      <c r="C130" s="3111">
        <v>0.9708</v>
      </c>
      <c r="D130" s="3111">
        <v>0.90459999999999996</v>
      </c>
      <c r="E130" s="3111">
        <v>0.90459999999999996</v>
      </c>
      <c r="F130" s="3111">
        <v>0.90459999999999996</v>
      </c>
      <c r="G130" s="3111">
        <v>0.90459999999999996</v>
      </c>
      <c r="H130" s="3111">
        <v>0.90459999999999996</v>
      </c>
      <c r="I130" s="3111">
        <v>0.78890000000000005</v>
      </c>
      <c r="J130" s="3111">
        <v>0.78890000000000005</v>
      </c>
      <c r="K130" s="3111">
        <v>0.78890000000000005</v>
      </c>
      <c r="L130" s="3111">
        <v>0.78890000000000005</v>
      </c>
      <c r="M130" s="3112">
        <v>0.78890000000000005</v>
      </c>
    </row>
    <row r="131" spans="1:13">
      <c r="A131" s="3113">
        <v>4.5999999999999996</v>
      </c>
      <c r="B131" s="3111">
        <v>0.96850000000000003</v>
      </c>
      <c r="C131" s="3111">
        <v>0.96850000000000003</v>
      </c>
      <c r="D131" s="3111">
        <v>0.90210000000000001</v>
      </c>
      <c r="E131" s="3111">
        <v>0.90210000000000001</v>
      </c>
      <c r="F131" s="3111">
        <v>0.90210000000000001</v>
      </c>
      <c r="G131" s="3111">
        <v>0.90210000000000001</v>
      </c>
      <c r="H131" s="3111">
        <v>0.90210000000000001</v>
      </c>
      <c r="I131" s="3111">
        <v>0.78539999999999999</v>
      </c>
      <c r="J131" s="3111">
        <v>0.78539999999999999</v>
      </c>
      <c r="K131" s="3111">
        <v>0.78539999999999999</v>
      </c>
      <c r="L131" s="3111">
        <v>0.78539999999999999</v>
      </c>
      <c r="M131" s="3112">
        <v>0.78539999999999999</v>
      </c>
    </row>
    <row r="132" spans="1:13">
      <c r="A132" s="3113">
        <v>4.7</v>
      </c>
      <c r="B132" s="3111">
        <v>0.96630000000000005</v>
      </c>
      <c r="C132" s="3111">
        <v>0.96630000000000005</v>
      </c>
      <c r="D132" s="3111">
        <v>0.89959999999999996</v>
      </c>
      <c r="E132" s="3111">
        <v>0.89959999999999996</v>
      </c>
      <c r="F132" s="3111">
        <v>0.89959999999999996</v>
      </c>
      <c r="G132" s="3111">
        <v>0.89959999999999996</v>
      </c>
      <c r="H132" s="3111">
        <v>0.89959999999999996</v>
      </c>
      <c r="I132" s="3111">
        <v>0.78210000000000002</v>
      </c>
      <c r="J132" s="3111">
        <v>0.78210000000000002</v>
      </c>
      <c r="K132" s="3111">
        <v>0.78210000000000002</v>
      </c>
      <c r="L132" s="3111">
        <v>0.78210000000000002</v>
      </c>
      <c r="M132" s="3112">
        <v>0.78210000000000002</v>
      </c>
    </row>
    <row r="133" spans="1:13">
      <c r="A133" s="3113">
        <v>4.8</v>
      </c>
      <c r="B133" s="3111">
        <v>0.96409999999999996</v>
      </c>
      <c r="C133" s="3111">
        <v>0.96409999999999996</v>
      </c>
      <c r="D133" s="3111">
        <v>0.8972</v>
      </c>
      <c r="E133" s="3111">
        <v>0.8972</v>
      </c>
      <c r="F133" s="3111">
        <v>0.8972</v>
      </c>
      <c r="G133" s="3111">
        <v>0.8972</v>
      </c>
      <c r="H133" s="3111">
        <v>0.8972</v>
      </c>
      <c r="I133" s="3111">
        <v>0.77890000000000004</v>
      </c>
      <c r="J133" s="3111">
        <v>0.77890000000000004</v>
      </c>
      <c r="K133" s="3111">
        <v>0.77890000000000004</v>
      </c>
      <c r="L133" s="3111">
        <v>0.77890000000000004</v>
      </c>
      <c r="M133" s="3112">
        <v>0.77890000000000004</v>
      </c>
    </row>
    <row r="134" spans="1:13">
      <c r="A134" s="3113">
        <v>4.9000000000000004</v>
      </c>
      <c r="B134" s="3111">
        <v>0.96199999999999997</v>
      </c>
      <c r="C134" s="3111">
        <v>0.96199999999999997</v>
      </c>
      <c r="D134" s="3111">
        <v>0.89480000000000004</v>
      </c>
      <c r="E134" s="3111">
        <v>0.89480000000000004</v>
      </c>
      <c r="F134" s="3111">
        <v>0.89480000000000004</v>
      </c>
      <c r="G134" s="3111">
        <v>0.89480000000000004</v>
      </c>
      <c r="H134" s="3111">
        <v>0.89480000000000004</v>
      </c>
      <c r="I134" s="3111">
        <v>0.77580000000000005</v>
      </c>
      <c r="J134" s="3111">
        <v>0.77580000000000005</v>
      </c>
      <c r="K134" s="3111">
        <v>0.77580000000000005</v>
      </c>
      <c r="L134" s="3111">
        <v>0.77580000000000005</v>
      </c>
      <c r="M134" s="3112">
        <v>0.77580000000000005</v>
      </c>
    </row>
    <row r="135" spans="1:13">
      <c r="A135" s="3113">
        <v>5</v>
      </c>
      <c r="B135" s="3111">
        <v>0.95989999999999998</v>
      </c>
      <c r="C135" s="3111">
        <v>0.95989999999999998</v>
      </c>
      <c r="D135" s="3111">
        <v>0.89239999999999997</v>
      </c>
      <c r="E135" s="3111">
        <v>0.89239999999999997</v>
      </c>
      <c r="F135" s="3111">
        <v>0.89239999999999997</v>
      </c>
      <c r="G135" s="3111">
        <v>0.89239999999999997</v>
      </c>
      <c r="H135" s="3111">
        <v>0.89239999999999997</v>
      </c>
      <c r="I135" s="3111">
        <v>0.77280000000000004</v>
      </c>
      <c r="J135" s="3111">
        <v>0.77280000000000004</v>
      </c>
      <c r="K135" s="3111">
        <v>0.77280000000000004</v>
      </c>
      <c r="L135" s="3111">
        <v>0.77280000000000004</v>
      </c>
      <c r="M135" s="3112">
        <v>0.77280000000000004</v>
      </c>
    </row>
    <row r="136" spans="1:13">
      <c r="A136" s="3110">
        <v>5.0999999999999996</v>
      </c>
      <c r="B136" s="3111">
        <v>0.95779999999999998</v>
      </c>
      <c r="C136" s="3111">
        <v>0.95779999999999998</v>
      </c>
      <c r="D136" s="3111">
        <v>0.8901</v>
      </c>
      <c r="E136" s="3111">
        <v>0.8901</v>
      </c>
      <c r="F136" s="3111">
        <v>0.8901</v>
      </c>
      <c r="G136" s="3111">
        <v>0.8901</v>
      </c>
      <c r="H136" s="3111">
        <v>0.8901</v>
      </c>
      <c r="I136" s="3111">
        <v>0.76990000000000003</v>
      </c>
      <c r="J136" s="3111">
        <v>0.76990000000000003</v>
      </c>
      <c r="K136" s="3111">
        <v>0.76990000000000003</v>
      </c>
      <c r="L136" s="3111">
        <v>0.76990000000000003</v>
      </c>
      <c r="M136" s="3112">
        <v>0.76990000000000003</v>
      </c>
    </row>
    <row r="137" spans="1:13">
      <c r="A137" s="3110">
        <v>5.2</v>
      </c>
      <c r="B137" s="3111">
        <v>0.95579999999999998</v>
      </c>
      <c r="C137" s="3111">
        <v>0.95579999999999998</v>
      </c>
      <c r="D137" s="3111">
        <v>0.88780000000000003</v>
      </c>
      <c r="E137" s="3111">
        <v>0.88780000000000003</v>
      </c>
      <c r="F137" s="3111">
        <v>0.88780000000000003</v>
      </c>
      <c r="G137" s="3111">
        <v>0.88780000000000003</v>
      </c>
      <c r="H137" s="3111">
        <v>0.88780000000000003</v>
      </c>
      <c r="I137" s="3111">
        <v>0.76700000000000002</v>
      </c>
      <c r="J137" s="3111">
        <v>0.76700000000000002</v>
      </c>
      <c r="K137" s="3111">
        <v>0.76700000000000002</v>
      </c>
      <c r="L137" s="3111">
        <v>0.76700000000000002</v>
      </c>
      <c r="M137" s="3112">
        <v>0.76700000000000002</v>
      </c>
    </row>
    <row r="138" spans="1:13">
      <c r="A138" s="3110">
        <v>5.3</v>
      </c>
      <c r="B138" s="3111">
        <v>0.95379999999999998</v>
      </c>
      <c r="C138" s="3111">
        <v>0.95379999999999998</v>
      </c>
      <c r="D138" s="3111">
        <v>0.88549999999999995</v>
      </c>
      <c r="E138" s="3111">
        <v>0.88549999999999995</v>
      </c>
      <c r="F138" s="3111">
        <v>0.88549999999999995</v>
      </c>
      <c r="G138" s="3111">
        <v>0.88549999999999995</v>
      </c>
      <c r="H138" s="3111">
        <v>0.88549999999999995</v>
      </c>
      <c r="I138" s="3111">
        <v>0.76419999999999999</v>
      </c>
      <c r="J138" s="3111">
        <v>0.76419999999999999</v>
      </c>
      <c r="K138" s="3111">
        <v>0.76419999999999999</v>
      </c>
      <c r="L138" s="3111">
        <v>0.76419999999999999</v>
      </c>
      <c r="M138" s="3112">
        <v>0.76419999999999999</v>
      </c>
    </row>
    <row r="139" spans="1:13">
      <c r="A139" s="3110">
        <v>5.4</v>
      </c>
      <c r="B139" s="3111">
        <v>0.95179999999999998</v>
      </c>
      <c r="C139" s="3111">
        <v>0.95179999999999998</v>
      </c>
      <c r="D139" s="3111">
        <v>0.88329999999999997</v>
      </c>
      <c r="E139" s="3111">
        <v>0.88329999999999997</v>
      </c>
      <c r="F139" s="3111">
        <v>0.88329999999999997</v>
      </c>
      <c r="G139" s="3111">
        <v>0.88329999999999997</v>
      </c>
      <c r="H139" s="3111">
        <v>0.88329999999999997</v>
      </c>
      <c r="I139" s="3111">
        <v>0.76139999999999997</v>
      </c>
      <c r="J139" s="3111">
        <v>0.76139999999999997</v>
      </c>
      <c r="K139" s="3111">
        <v>0.76139999999999997</v>
      </c>
      <c r="L139" s="3111">
        <v>0.76139999999999997</v>
      </c>
      <c r="M139" s="3112">
        <v>0.76139999999999997</v>
      </c>
    </row>
    <row r="140" spans="1:13">
      <c r="A140" s="3110">
        <v>5.5</v>
      </c>
      <c r="B140" s="3111">
        <v>0.94979999999999998</v>
      </c>
      <c r="C140" s="3111">
        <v>0.94979999999999998</v>
      </c>
      <c r="D140" s="3111">
        <v>0.88109999999999999</v>
      </c>
      <c r="E140" s="3111">
        <v>0.88109999999999999</v>
      </c>
      <c r="F140" s="3111">
        <v>0.88109999999999999</v>
      </c>
      <c r="G140" s="3111">
        <v>0.88109999999999999</v>
      </c>
      <c r="H140" s="3111">
        <v>0.88109999999999999</v>
      </c>
      <c r="I140" s="3111">
        <v>0.75860000000000005</v>
      </c>
      <c r="J140" s="3111">
        <v>0.75860000000000005</v>
      </c>
      <c r="K140" s="3111">
        <v>0.75860000000000005</v>
      </c>
      <c r="L140" s="3111">
        <v>0.75860000000000005</v>
      </c>
      <c r="M140" s="3112">
        <v>0.75860000000000005</v>
      </c>
    </row>
    <row r="141" spans="1:13">
      <c r="A141" s="3110">
        <v>5.6</v>
      </c>
      <c r="B141" s="3111">
        <v>0.94789999999999996</v>
      </c>
      <c r="C141" s="3111">
        <v>0.94789999999999996</v>
      </c>
      <c r="D141" s="3111">
        <v>0.87890000000000001</v>
      </c>
      <c r="E141" s="3111">
        <v>0.87890000000000001</v>
      </c>
      <c r="F141" s="3111">
        <v>0.87890000000000001</v>
      </c>
      <c r="G141" s="3111">
        <v>0.87890000000000001</v>
      </c>
      <c r="H141" s="3111">
        <v>0.87890000000000001</v>
      </c>
      <c r="I141" s="3111">
        <v>0.75590000000000002</v>
      </c>
      <c r="J141" s="3111">
        <v>0.75590000000000002</v>
      </c>
      <c r="K141" s="3111">
        <v>0.75590000000000002</v>
      </c>
      <c r="L141" s="3111">
        <v>0.75590000000000002</v>
      </c>
      <c r="M141" s="3112">
        <v>0.75590000000000002</v>
      </c>
    </row>
    <row r="142" spans="1:13">
      <c r="A142" s="3113">
        <v>5.7</v>
      </c>
      <c r="B142" s="3111">
        <v>0.94599999999999995</v>
      </c>
      <c r="C142" s="3111">
        <v>0.94599999999999995</v>
      </c>
      <c r="D142" s="3111">
        <v>0.87670000000000003</v>
      </c>
      <c r="E142" s="3111">
        <v>0.87670000000000003</v>
      </c>
      <c r="F142" s="3111">
        <v>0.87670000000000003</v>
      </c>
      <c r="G142" s="3111">
        <v>0.87670000000000003</v>
      </c>
      <c r="H142" s="3111">
        <v>0.87670000000000003</v>
      </c>
      <c r="I142" s="3111">
        <v>0.75319999999999998</v>
      </c>
      <c r="J142" s="3111">
        <v>0.75319999999999998</v>
      </c>
      <c r="K142" s="3111">
        <v>0.75319999999999998</v>
      </c>
      <c r="L142" s="3111">
        <v>0.75319999999999998</v>
      </c>
      <c r="M142" s="3112">
        <v>0.75319999999999998</v>
      </c>
    </row>
    <row r="143" spans="1:13">
      <c r="A143" s="3110">
        <v>5.8</v>
      </c>
      <c r="B143" s="3111">
        <v>0.94410000000000005</v>
      </c>
      <c r="C143" s="3111">
        <v>0.94410000000000005</v>
      </c>
      <c r="D143" s="3111">
        <v>0.87460000000000004</v>
      </c>
      <c r="E143" s="3111">
        <v>0.87460000000000004</v>
      </c>
      <c r="F143" s="3111">
        <v>0.87460000000000004</v>
      </c>
      <c r="G143" s="3111">
        <v>0.87460000000000004</v>
      </c>
      <c r="H143" s="3111">
        <v>0.87460000000000004</v>
      </c>
      <c r="I143" s="3111">
        <v>0.75049999999999994</v>
      </c>
      <c r="J143" s="3111">
        <v>0.75049999999999994</v>
      </c>
      <c r="K143" s="3111">
        <v>0.75049999999999994</v>
      </c>
      <c r="L143" s="3111">
        <v>0.75049999999999994</v>
      </c>
      <c r="M143" s="3112">
        <v>0.75049999999999994</v>
      </c>
    </row>
    <row r="144" spans="1:13">
      <c r="A144" s="3110">
        <v>5.9</v>
      </c>
      <c r="B144" s="3111">
        <v>0.94220000000000004</v>
      </c>
      <c r="C144" s="3111">
        <v>0.94220000000000004</v>
      </c>
      <c r="D144" s="3111">
        <v>0.87250000000000005</v>
      </c>
      <c r="E144" s="3111">
        <v>0.87250000000000005</v>
      </c>
      <c r="F144" s="3111">
        <v>0.87250000000000005</v>
      </c>
      <c r="G144" s="3111">
        <v>0.87250000000000005</v>
      </c>
      <c r="H144" s="3111">
        <v>0.87250000000000005</v>
      </c>
      <c r="I144" s="3111">
        <v>0.74780000000000002</v>
      </c>
      <c r="J144" s="3111">
        <v>0.74780000000000002</v>
      </c>
      <c r="K144" s="3111">
        <v>0.74780000000000002</v>
      </c>
      <c r="L144" s="3111">
        <v>0.74780000000000002</v>
      </c>
      <c r="M144" s="3112">
        <v>0.74780000000000002</v>
      </c>
    </row>
    <row r="145" spans="1:13">
      <c r="A145" s="3110">
        <v>6</v>
      </c>
      <c r="B145" s="3111">
        <v>0.94040000000000001</v>
      </c>
      <c r="C145" s="3111">
        <v>0.94040000000000001</v>
      </c>
      <c r="D145" s="3111">
        <v>0.87039999999999995</v>
      </c>
      <c r="E145" s="3111">
        <v>0.87039999999999995</v>
      </c>
      <c r="F145" s="3111">
        <v>0.87039999999999995</v>
      </c>
      <c r="G145" s="3111">
        <v>0.87039999999999995</v>
      </c>
      <c r="H145" s="3111">
        <v>0.87039999999999995</v>
      </c>
      <c r="I145" s="3111">
        <v>0.74519999999999997</v>
      </c>
      <c r="J145" s="3111">
        <v>0.74519999999999997</v>
      </c>
      <c r="K145" s="3111">
        <v>0.74519999999999997</v>
      </c>
      <c r="L145" s="3111">
        <v>0.74519999999999997</v>
      </c>
      <c r="M145" s="3112">
        <v>0.74519999999999997</v>
      </c>
    </row>
    <row r="146" spans="1:13">
      <c r="A146" s="3110">
        <v>6.1</v>
      </c>
      <c r="B146" s="3111">
        <v>0.93859999999999999</v>
      </c>
      <c r="C146" s="3111">
        <v>0.93859999999999999</v>
      </c>
      <c r="D146" s="3111">
        <v>0.86829999999999996</v>
      </c>
      <c r="E146" s="3111">
        <v>0.86829999999999996</v>
      </c>
      <c r="F146" s="3111">
        <v>0.86829999999999996</v>
      </c>
      <c r="G146" s="3111">
        <v>0.86829999999999996</v>
      </c>
      <c r="H146" s="3111">
        <v>0.86829999999999996</v>
      </c>
      <c r="I146" s="3111">
        <v>0.74260000000000004</v>
      </c>
      <c r="J146" s="3111">
        <v>0.74260000000000004</v>
      </c>
      <c r="K146" s="3111">
        <v>0.74260000000000004</v>
      </c>
      <c r="L146" s="3111">
        <v>0.74260000000000004</v>
      </c>
      <c r="M146" s="3112">
        <v>0.74260000000000004</v>
      </c>
    </row>
    <row r="147" spans="1:13">
      <c r="A147" s="3110">
        <v>6.2</v>
      </c>
      <c r="B147" s="3111">
        <v>0.93679999999999997</v>
      </c>
      <c r="C147" s="3111">
        <v>0.93679999999999997</v>
      </c>
      <c r="D147" s="3111">
        <v>0.86619999999999997</v>
      </c>
      <c r="E147" s="3111">
        <v>0.86619999999999997</v>
      </c>
      <c r="F147" s="3111">
        <v>0.86619999999999997</v>
      </c>
      <c r="G147" s="3111">
        <v>0.86619999999999997</v>
      </c>
      <c r="H147" s="3111">
        <v>0.86619999999999997</v>
      </c>
      <c r="I147" s="3111">
        <v>0.74</v>
      </c>
      <c r="J147" s="3111">
        <v>0.74</v>
      </c>
      <c r="K147" s="3111">
        <v>0.74</v>
      </c>
      <c r="L147" s="3111">
        <v>0.74</v>
      </c>
      <c r="M147" s="3112">
        <v>0.74</v>
      </c>
    </row>
    <row r="148" spans="1:13">
      <c r="A148" s="3110">
        <v>6.3</v>
      </c>
      <c r="B148" s="3111">
        <v>0.93500000000000005</v>
      </c>
      <c r="C148" s="3111">
        <v>0.93500000000000005</v>
      </c>
      <c r="D148" s="3111">
        <v>0.86409999999999998</v>
      </c>
      <c r="E148" s="3111">
        <v>0.86409999999999998</v>
      </c>
      <c r="F148" s="3111">
        <v>0.86409999999999998</v>
      </c>
      <c r="G148" s="3111">
        <v>0.86409999999999998</v>
      </c>
      <c r="H148" s="3111">
        <v>0.86409999999999998</v>
      </c>
      <c r="I148" s="3111">
        <v>0.73740000000000006</v>
      </c>
      <c r="J148" s="3111">
        <v>0.73740000000000006</v>
      </c>
      <c r="K148" s="3111">
        <v>0.73740000000000006</v>
      </c>
      <c r="L148" s="3111">
        <v>0.73740000000000006</v>
      </c>
      <c r="M148" s="3112">
        <v>0.73740000000000006</v>
      </c>
    </row>
    <row r="149" spans="1:13">
      <c r="A149" s="3110">
        <v>6.4</v>
      </c>
      <c r="B149" s="3111">
        <v>0.93320000000000003</v>
      </c>
      <c r="C149" s="3111">
        <v>0.93320000000000003</v>
      </c>
      <c r="D149" s="3111">
        <v>0.86209999999999998</v>
      </c>
      <c r="E149" s="3111">
        <v>0.86209999999999998</v>
      </c>
      <c r="F149" s="3111">
        <v>0.86209999999999998</v>
      </c>
      <c r="G149" s="3111">
        <v>0.86209999999999998</v>
      </c>
      <c r="H149" s="3111">
        <v>0.86209999999999998</v>
      </c>
      <c r="I149" s="3111">
        <v>0.73480000000000001</v>
      </c>
      <c r="J149" s="3111">
        <v>0.73480000000000001</v>
      </c>
      <c r="K149" s="3111">
        <v>0.73480000000000001</v>
      </c>
      <c r="L149" s="3111">
        <v>0.73480000000000001</v>
      </c>
      <c r="M149" s="3112">
        <v>0.73480000000000001</v>
      </c>
    </row>
    <row r="150" spans="1:13">
      <c r="A150" s="3110">
        <v>6.5</v>
      </c>
      <c r="B150" s="3111">
        <v>0.93149999999999999</v>
      </c>
      <c r="C150" s="3111">
        <v>0.93149999999999999</v>
      </c>
      <c r="D150" s="3111">
        <v>0.86009999999999998</v>
      </c>
      <c r="E150" s="3111">
        <v>0.86009999999999998</v>
      </c>
      <c r="F150" s="3111">
        <v>0.86009999999999998</v>
      </c>
      <c r="G150" s="3111">
        <v>0.86009999999999998</v>
      </c>
      <c r="H150" s="3111">
        <v>0.86009999999999998</v>
      </c>
      <c r="I150" s="3111">
        <v>0.73229999999999995</v>
      </c>
      <c r="J150" s="3111">
        <v>0.73229999999999995</v>
      </c>
      <c r="K150" s="3111">
        <v>0.73229999999999995</v>
      </c>
      <c r="L150" s="3111">
        <v>0.73229999999999995</v>
      </c>
      <c r="M150" s="3112">
        <v>0.73229999999999995</v>
      </c>
    </row>
    <row r="151" spans="1:13">
      <c r="A151" s="3110">
        <v>6.6</v>
      </c>
      <c r="B151" s="3111">
        <v>0.92979999999999996</v>
      </c>
      <c r="C151" s="3111">
        <v>0.92979999999999996</v>
      </c>
      <c r="D151" s="3111">
        <v>0.85809999999999997</v>
      </c>
      <c r="E151" s="3111">
        <v>0.85809999999999997</v>
      </c>
      <c r="F151" s="3111">
        <v>0.85809999999999997</v>
      </c>
      <c r="G151" s="3111">
        <v>0.85809999999999997</v>
      </c>
      <c r="H151" s="3111">
        <v>0.85809999999999997</v>
      </c>
      <c r="I151" s="3111">
        <v>0.7298</v>
      </c>
      <c r="J151" s="3111">
        <v>0.7298</v>
      </c>
      <c r="K151" s="3111">
        <v>0.7298</v>
      </c>
      <c r="L151" s="3111">
        <v>0.7298</v>
      </c>
      <c r="M151" s="3112">
        <v>0.7298</v>
      </c>
    </row>
    <row r="152" spans="1:13">
      <c r="A152" s="3110">
        <v>6.7</v>
      </c>
      <c r="B152" s="3111">
        <v>0.92810000000000004</v>
      </c>
      <c r="C152" s="3111">
        <v>0.92810000000000004</v>
      </c>
      <c r="D152" s="3111">
        <v>0.85609999999999997</v>
      </c>
      <c r="E152" s="3111">
        <v>0.85609999999999997</v>
      </c>
      <c r="F152" s="3111">
        <v>0.85609999999999997</v>
      </c>
      <c r="G152" s="3111">
        <v>0.85609999999999997</v>
      </c>
      <c r="H152" s="3111">
        <v>0.85609999999999997</v>
      </c>
      <c r="I152" s="3111">
        <v>0.72729999999999995</v>
      </c>
      <c r="J152" s="3111">
        <v>0.72729999999999995</v>
      </c>
      <c r="K152" s="3111">
        <v>0.72729999999999995</v>
      </c>
      <c r="L152" s="3111">
        <v>0.72729999999999995</v>
      </c>
      <c r="M152" s="3112">
        <v>0.72729999999999995</v>
      </c>
    </row>
    <row r="153" spans="1:13">
      <c r="A153" s="3110">
        <v>6.8</v>
      </c>
      <c r="B153" s="3111">
        <v>0.9264</v>
      </c>
      <c r="C153" s="3111">
        <v>0.9264</v>
      </c>
      <c r="D153" s="3111">
        <v>0.85409999999999997</v>
      </c>
      <c r="E153" s="3111">
        <v>0.85409999999999997</v>
      </c>
      <c r="F153" s="3111">
        <v>0.85409999999999997</v>
      </c>
      <c r="G153" s="3111">
        <v>0.85409999999999997</v>
      </c>
      <c r="H153" s="3111">
        <v>0.85409999999999997</v>
      </c>
      <c r="I153" s="3111">
        <v>0.7248</v>
      </c>
      <c r="J153" s="3111">
        <v>0.7248</v>
      </c>
      <c r="K153" s="3111">
        <v>0.7248</v>
      </c>
      <c r="L153" s="3111">
        <v>0.7248</v>
      </c>
      <c r="M153" s="3112">
        <v>0.7248</v>
      </c>
    </row>
    <row r="154" spans="1:13">
      <c r="A154" s="3110">
        <v>6.9</v>
      </c>
      <c r="B154" s="3111">
        <v>0.92469999999999997</v>
      </c>
      <c r="C154" s="3111">
        <v>0.92469999999999997</v>
      </c>
      <c r="D154" s="3111">
        <v>0.85209999999999997</v>
      </c>
      <c r="E154" s="3111">
        <v>0.85209999999999997</v>
      </c>
      <c r="F154" s="3111">
        <v>0.85209999999999997</v>
      </c>
      <c r="G154" s="3111">
        <v>0.85209999999999997</v>
      </c>
      <c r="H154" s="3111">
        <v>0.85209999999999997</v>
      </c>
      <c r="I154" s="3111">
        <v>0.72230000000000005</v>
      </c>
      <c r="J154" s="3111">
        <v>0.72230000000000005</v>
      </c>
      <c r="K154" s="3111">
        <v>0.72230000000000005</v>
      </c>
      <c r="L154" s="3111">
        <v>0.72230000000000005</v>
      </c>
      <c r="M154" s="3112">
        <v>0.72230000000000005</v>
      </c>
    </row>
    <row r="155" spans="1:13">
      <c r="A155" s="3110">
        <v>7</v>
      </c>
      <c r="B155" s="3111">
        <v>0.92300000000000004</v>
      </c>
      <c r="C155" s="3111">
        <v>0.92300000000000004</v>
      </c>
      <c r="D155" s="3111">
        <v>0.85019999999999996</v>
      </c>
      <c r="E155" s="3111">
        <v>0.85019999999999996</v>
      </c>
      <c r="F155" s="3111">
        <v>0.85019999999999996</v>
      </c>
      <c r="G155" s="3111">
        <v>0.85019999999999996</v>
      </c>
      <c r="H155" s="3111">
        <v>0.85019999999999996</v>
      </c>
      <c r="I155" s="3111">
        <v>0.71989999999999998</v>
      </c>
      <c r="J155" s="3111">
        <v>0.71989999999999998</v>
      </c>
      <c r="K155" s="3111">
        <v>0.71989999999999998</v>
      </c>
      <c r="L155" s="3111">
        <v>0.71989999999999998</v>
      </c>
      <c r="M155" s="3112">
        <v>0.71989999999999998</v>
      </c>
    </row>
    <row r="156" spans="1:13">
      <c r="A156" s="3110">
        <v>7.1</v>
      </c>
      <c r="B156" s="3111">
        <v>0.9214</v>
      </c>
      <c r="C156" s="3111">
        <v>0.9214</v>
      </c>
      <c r="D156" s="3111">
        <v>0.84830000000000005</v>
      </c>
      <c r="E156" s="3111">
        <v>0.84830000000000005</v>
      </c>
      <c r="F156" s="3111">
        <v>0.84830000000000005</v>
      </c>
      <c r="G156" s="3111">
        <v>0.84830000000000005</v>
      </c>
      <c r="H156" s="3111">
        <v>0.84830000000000005</v>
      </c>
      <c r="I156" s="3111">
        <v>0.71750000000000003</v>
      </c>
      <c r="J156" s="3111">
        <v>0.71750000000000003</v>
      </c>
      <c r="K156" s="3111">
        <v>0.71750000000000003</v>
      </c>
      <c r="L156" s="3111">
        <v>0.71750000000000003</v>
      </c>
      <c r="M156" s="3112">
        <v>0.71750000000000003</v>
      </c>
    </row>
    <row r="157" spans="1:13">
      <c r="A157" s="3110">
        <v>7.2</v>
      </c>
      <c r="B157" s="3111">
        <v>0.91979999999999995</v>
      </c>
      <c r="C157" s="3111">
        <v>0.91979999999999995</v>
      </c>
      <c r="D157" s="3111">
        <v>0.84640000000000004</v>
      </c>
      <c r="E157" s="3111">
        <v>0.84640000000000004</v>
      </c>
      <c r="F157" s="3111">
        <v>0.84640000000000004</v>
      </c>
      <c r="G157" s="3111">
        <v>0.84640000000000004</v>
      </c>
      <c r="H157" s="3111">
        <v>0.84640000000000004</v>
      </c>
      <c r="I157" s="3111">
        <v>0.71509999999999996</v>
      </c>
      <c r="J157" s="3111">
        <v>0.71509999999999996</v>
      </c>
      <c r="K157" s="3111">
        <v>0.71509999999999996</v>
      </c>
      <c r="L157" s="3111">
        <v>0.71509999999999996</v>
      </c>
      <c r="M157" s="3112">
        <v>0.71509999999999996</v>
      </c>
    </row>
    <row r="158" spans="1:13">
      <c r="A158" s="3110">
        <v>7.3</v>
      </c>
      <c r="B158" s="3111">
        <v>0.91820000000000002</v>
      </c>
      <c r="C158" s="3111">
        <v>0.91820000000000002</v>
      </c>
      <c r="D158" s="3111">
        <v>0.84450000000000003</v>
      </c>
      <c r="E158" s="3111">
        <v>0.84450000000000003</v>
      </c>
      <c r="F158" s="3111">
        <v>0.84450000000000003</v>
      </c>
      <c r="G158" s="3111">
        <v>0.84450000000000003</v>
      </c>
      <c r="H158" s="3111">
        <v>0.84450000000000003</v>
      </c>
      <c r="I158" s="3111">
        <v>0.7127</v>
      </c>
      <c r="J158" s="3111">
        <v>0.7127</v>
      </c>
      <c r="K158" s="3111">
        <v>0.7127</v>
      </c>
      <c r="L158" s="3111">
        <v>0.7127</v>
      </c>
      <c r="M158" s="3112">
        <v>0.7127</v>
      </c>
    </row>
    <row r="159" spans="1:13">
      <c r="A159" s="3110">
        <v>7.4</v>
      </c>
      <c r="B159" s="3111">
        <v>0.91659999999999997</v>
      </c>
      <c r="C159" s="3111">
        <v>0.91659999999999997</v>
      </c>
      <c r="D159" s="3111">
        <v>0.84260000000000002</v>
      </c>
      <c r="E159" s="3111">
        <v>0.84260000000000002</v>
      </c>
      <c r="F159" s="3111">
        <v>0.84260000000000002</v>
      </c>
      <c r="G159" s="3111">
        <v>0.84260000000000002</v>
      </c>
      <c r="H159" s="3111">
        <v>0.84260000000000002</v>
      </c>
      <c r="I159" s="3111">
        <v>0.71030000000000004</v>
      </c>
      <c r="J159" s="3111">
        <v>0.71030000000000004</v>
      </c>
      <c r="K159" s="3111">
        <v>0.71030000000000004</v>
      </c>
      <c r="L159" s="3111">
        <v>0.71030000000000004</v>
      </c>
      <c r="M159" s="3112">
        <v>0.71030000000000004</v>
      </c>
    </row>
    <row r="160" spans="1:13">
      <c r="A160" s="3110">
        <v>7.5</v>
      </c>
      <c r="B160" s="3111">
        <v>0.91500000000000004</v>
      </c>
      <c r="C160" s="3111">
        <v>0.91500000000000004</v>
      </c>
      <c r="D160" s="3111">
        <v>0.8407</v>
      </c>
      <c r="E160" s="3111">
        <v>0.8407</v>
      </c>
      <c r="F160" s="3111">
        <v>0.8407</v>
      </c>
      <c r="G160" s="3111">
        <v>0.8407</v>
      </c>
      <c r="H160" s="3111">
        <v>0.8407</v>
      </c>
      <c r="I160" s="3111">
        <v>0.70799999999999996</v>
      </c>
      <c r="J160" s="3111">
        <v>0.70799999999999996</v>
      </c>
      <c r="K160" s="3111">
        <v>0.70799999999999996</v>
      </c>
      <c r="L160" s="3111">
        <v>0.70799999999999996</v>
      </c>
      <c r="M160" s="3112">
        <v>0.70799999999999996</v>
      </c>
    </row>
    <row r="161" spans="1:13">
      <c r="A161" s="3110">
        <v>7.6</v>
      </c>
      <c r="B161" s="3111">
        <v>0.91339999999999999</v>
      </c>
      <c r="C161" s="3111">
        <v>0.91339999999999999</v>
      </c>
      <c r="D161" s="3111">
        <v>0.83889999999999998</v>
      </c>
      <c r="E161" s="3111">
        <v>0.83889999999999998</v>
      </c>
      <c r="F161" s="3111">
        <v>0.83889999999999998</v>
      </c>
      <c r="G161" s="3111">
        <v>0.83889999999999998</v>
      </c>
      <c r="H161" s="3111">
        <v>0.83889999999999998</v>
      </c>
      <c r="I161" s="3111">
        <v>0.70569999999999999</v>
      </c>
      <c r="J161" s="3111">
        <v>0.70569999999999999</v>
      </c>
      <c r="K161" s="3111">
        <v>0.70569999999999999</v>
      </c>
      <c r="L161" s="3111">
        <v>0.70569999999999999</v>
      </c>
      <c r="M161" s="3112">
        <v>0.70569999999999999</v>
      </c>
    </row>
    <row r="162" spans="1:13">
      <c r="A162" s="3110">
        <v>7.7</v>
      </c>
      <c r="B162" s="3111">
        <v>0.91190000000000004</v>
      </c>
      <c r="C162" s="3111">
        <v>0.91190000000000004</v>
      </c>
      <c r="D162" s="3111">
        <v>0.83709999999999996</v>
      </c>
      <c r="E162" s="3111">
        <v>0.83709999999999996</v>
      </c>
      <c r="F162" s="3111">
        <v>0.83709999999999996</v>
      </c>
      <c r="G162" s="3111">
        <v>0.83709999999999996</v>
      </c>
      <c r="H162" s="3111">
        <v>0.83709999999999996</v>
      </c>
      <c r="I162" s="3111">
        <v>0.70340000000000003</v>
      </c>
      <c r="J162" s="3111">
        <v>0.70340000000000003</v>
      </c>
      <c r="K162" s="3111">
        <v>0.70340000000000003</v>
      </c>
      <c r="L162" s="3111">
        <v>0.70340000000000003</v>
      </c>
      <c r="M162" s="3112">
        <v>0.70340000000000003</v>
      </c>
    </row>
    <row r="163" spans="1:13">
      <c r="A163" s="3110">
        <v>7.8</v>
      </c>
      <c r="B163" s="3111">
        <v>0.91039999999999999</v>
      </c>
      <c r="C163" s="3111">
        <v>0.91039999999999999</v>
      </c>
      <c r="D163" s="3111">
        <v>0.83530000000000004</v>
      </c>
      <c r="E163" s="3111">
        <v>0.83530000000000004</v>
      </c>
      <c r="F163" s="3111">
        <v>0.83530000000000004</v>
      </c>
      <c r="G163" s="3111">
        <v>0.83530000000000004</v>
      </c>
      <c r="H163" s="3111">
        <v>0.83530000000000004</v>
      </c>
      <c r="I163" s="3111">
        <v>0.70109999999999995</v>
      </c>
      <c r="J163" s="3111">
        <v>0.70109999999999995</v>
      </c>
      <c r="K163" s="3111">
        <v>0.70109999999999995</v>
      </c>
      <c r="L163" s="3111">
        <v>0.70109999999999995</v>
      </c>
      <c r="M163" s="3112">
        <v>0.70109999999999995</v>
      </c>
    </row>
    <row r="164" spans="1:13">
      <c r="A164" s="3110">
        <v>7.9</v>
      </c>
      <c r="B164" s="3111">
        <v>0.90890000000000004</v>
      </c>
      <c r="C164" s="3111">
        <v>0.90890000000000004</v>
      </c>
      <c r="D164" s="3111">
        <v>0.83350000000000002</v>
      </c>
      <c r="E164" s="3111">
        <v>0.83350000000000002</v>
      </c>
      <c r="F164" s="3111">
        <v>0.83350000000000002</v>
      </c>
      <c r="G164" s="3111">
        <v>0.83350000000000002</v>
      </c>
      <c r="H164" s="3111">
        <v>0.83350000000000002</v>
      </c>
      <c r="I164" s="3111">
        <v>0.69879999999999998</v>
      </c>
      <c r="J164" s="3111">
        <v>0.69879999999999998</v>
      </c>
      <c r="K164" s="3111">
        <v>0.69879999999999998</v>
      </c>
      <c r="L164" s="3111">
        <v>0.69879999999999998</v>
      </c>
      <c r="M164" s="3112">
        <v>0.69879999999999998</v>
      </c>
    </row>
    <row r="165" spans="1:13">
      <c r="A165" s="3110">
        <v>8</v>
      </c>
      <c r="B165" s="3111">
        <v>0.90739999999999998</v>
      </c>
      <c r="C165" s="3111">
        <v>0.90739999999999998</v>
      </c>
      <c r="D165" s="3111">
        <v>0.83169999999999999</v>
      </c>
      <c r="E165" s="3111">
        <v>0.83169999999999999</v>
      </c>
      <c r="F165" s="3111">
        <v>0.83169999999999999</v>
      </c>
      <c r="G165" s="3111">
        <v>0.83169999999999999</v>
      </c>
      <c r="H165" s="3111">
        <v>0.83169999999999999</v>
      </c>
      <c r="I165" s="3111">
        <v>0.6966</v>
      </c>
      <c r="J165" s="3111">
        <v>0.6966</v>
      </c>
      <c r="K165" s="3111">
        <v>0.6966</v>
      </c>
      <c r="L165" s="3111">
        <v>0.6966</v>
      </c>
      <c r="M165" s="3112">
        <v>0.6966</v>
      </c>
    </row>
    <row r="166" spans="1:13">
      <c r="A166" s="3110">
        <v>8.1</v>
      </c>
      <c r="B166" s="3111">
        <v>0.90590000000000004</v>
      </c>
      <c r="C166" s="3111">
        <v>0.90590000000000004</v>
      </c>
      <c r="D166" s="3111">
        <v>0.82989999999999997</v>
      </c>
      <c r="E166" s="3111">
        <v>0.82989999999999997</v>
      </c>
      <c r="F166" s="3111">
        <v>0.82989999999999997</v>
      </c>
      <c r="G166" s="3111">
        <v>0.82989999999999997</v>
      </c>
      <c r="H166" s="3111">
        <v>0.82989999999999997</v>
      </c>
      <c r="I166" s="3111">
        <v>0.69440000000000002</v>
      </c>
      <c r="J166" s="3111">
        <v>0.69440000000000002</v>
      </c>
      <c r="K166" s="3111">
        <v>0.69440000000000002</v>
      </c>
      <c r="L166" s="3111">
        <v>0.69440000000000002</v>
      </c>
      <c r="M166" s="3112">
        <v>0.69440000000000002</v>
      </c>
    </row>
    <row r="167" spans="1:13">
      <c r="A167" s="3110">
        <v>8.1999999999999993</v>
      </c>
      <c r="B167" s="3111">
        <v>0.90439999999999998</v>
      </c>
      <c r="C167" s="3111">
        <v>0.90439999999999998</v>
      </c>
      <c r="D167" s="3111">
        <v>0.82820000000000005</v>
      </c>
      <c r="E167" s="3111">
        <v>0.82820000000000005</v>
      </c>
      <c r="F167" s="3111">
        <v>0.82820000000000005</v>
      </c>
      <c r="G167" s="3111">
        <v>0.82820000000000005</v>
      </c>
      <c r="H167" s="3111">
        <v>0.82820000000000005</v>
      </c>
      <c r="I167" s="3111">
        <v>0.69220000000000004</v>
      </c>
      <c r="J167" s="3111">
        <v>0.69220000000000004</v>
      </c>
      <c r="K167" s="3111">
        <v>0.69220000000000004</v>
      </c>
      <c r="L167" s="3111">
        <v>0.69220000000000004</v>
      </c>
      <c r="M167" s="3112">
        <v>0.69220000000000004</v>
      </c>
    </row>
    <row r="168" spans="1:13">
      <c r="A168" s="3110">
        <v>8.3000000000000007</v>
      </c>
      <c r="B168" s="3111">
        <v>0.90300000000000002</v>
      </c>
      <c r="C168" s="3111">
        <v>0.90300000000000002</v>
      </c>
      <c r="D168" s="3111">
        <v>0.82650000000000001</v>
      </c>
      <c r="E168" s="3111">
        <v>0.82650000000000001</v>
      </c>
      <c r="F168" s="3111">
        <v>0.82650000000000001</v>
      </c>
      <c r="G168" s="3111">
        <v>0.82650000000000001</v>
      </c>
      <c r="H168" s="3111">
        <v>0.82650000000000001</v>
      </c>
      <c r="I168" s="3111">
        <v>0.69</v>
      </c>
      <c r="J168" s="3111">
        <v>0.69</v>
      </c>
      <c r="K168" s="3111">
        <v>0.69</v>
      </c>
      <c r="L168" s="3111">
        <v>0.69</v>
      </c>
      <c r="M168" s="3112">
        <v>0.69</v>
      </c>
    </row>
    <row r="169" spans="1:13">
      <c r="A169" s="3110">
        <v>8.4</v>
      </c>
      <c r="B169" s="3111">
        <v>0.90159999999999996</v>
      </c>
      <c r="C169" s="3111">
        <v>0.90159999999999996</v>
      </c>
      <c r="D169" s="3111">
        <v>0.82479999999999998</v>
      </c>
      <c r="E169" s="3111">
        <v>0.82479999999999998</v>
      </c>
      <c r="F169" s="3111">
        <v>0.82479999999999998</v>
      </c>
      <c r="G169" s="3111">
        <v>0.82479999999999998</v>
      </c>
      <c r="H169" s="3111">
        <v>0.82479999999999998</v>
      </c>
      <c r="I169" s="3111">
        <v>0.68779999999999997</v>
      </c>
      <c r="J169" s="3111">
        <v>0.68779999999999997</v>
      </c>
      <c r="K169" s="3111">
        <v>0.68779999999999997</v>
      </c>
      <c r="L169" s="3111">
        <v>0.68779999999999997</v>
      </c>
      <c r="M169" s="3112">
        <v>0.68779999999999997</v>
      </c>
    </row>
    <row r="170" spans="1:13">
      <c r="A170" s="3110">
        <v>8.5</v>
      </c>
      <c r="B170" s="3111">
        <v>0.9002</v>
      </c>
      <c r="C170" s="3111">
        <v>0.9002</v>
      </c>
      <c r="D170" s="3111">
        <v>0.82310000000000005</v>
      </c>
      <c r="E170" s="3111">
        <v>0.82310000000000005</v>
      </c>
      <c r="F170" s="3111">
        <v>0.82310000000000005</v>
      </c>
      <c r="G170" s="3111">
        <v>0.82310000000000005</v>
      </c>
      <c r="H170" s="3111">
        <v>0.82310000000000005</v>
      </c>
      <c r="I170" s="3111">
        <v>0.68569999999999998</v>
      </c>
      <c r="J170" s="3111">
        <v>0.68569999999999998</v>
      </c>
      <c r="K170" s="3111">
        <v>0.68569999999999998</v>
      </c>
      <c r="L170" s="3111">
        <v>0.68569999999999998</v>
      </c>
      <c r="M170" s="3112">
        <v>0.68569999999999998</v>
      </c>
    </row>
    <row r="171" spans="1:13">
      <c r="A171" s="3110">
        <v>8.6</v>
      </c>
      <c r="B171" s="3111">
        <v>0.89880000000000004</v>
      </c>
      <c r="C171" s="3111">
        <v>0.89880000000000004</v>
      </c>
      <c r="D171" s="3111">
        <v>0.82140000000000002</v>
      </c>
      <c r="E171" s="3111">
        <v>0.82140000000000002</v>
      </c>
      <c r="F171" s="3111">
        <v>0.82140000000000002</v>
      </c>
      <c r="G171" s="3111">
        <v>0.82140000000000002</v>
      </c>
      <c r="H171" s="3111">
        <v>0.82140000000000002</v>
      </c>
      <c r="I171" s="3111">
        <v>0.68359999999999999</v>
      </c>
      <c r="J171" s="3111">
        <v>0.68359999999999999</v>
      </c>
      <c r="K171" s="3111">
        <v>0.68359999999999999</v>
      </c>
      <c r="L171" s="3111">
        <v>0.68359999999999999</v>
      </c>
      <c r="M171" s="3112">
        <v>0.68359999999999999</v>
      </c>
    </row>
    <row r="172" spans="1:13">
      <c r="A172" s="3110">
        <v>8.6999999999999993</v>
      </c>
      <c r="B172" s="3111">
        <v>0.89739999999999998</v>
      </c>
      <c r="C172" s="3111">
        <v>0.89739999999999998</v>
      </c>
      <c r="D172" s="3111">
        <v>0.81969999999999998</v>
      </c>
      <c r="E172" s="3111">
        <v>0.81969999999999998</v>
      </c>
      <c r="F172" s="3111">
        <v>0.81969999999999998</v>
      </c>
      <c r="G172" s="3111">
        <v>0.81969999999999998</v>
      </c>
      <c r="H172" s="3111">
        <v>0.81969999999999998</v>
      </c>
      <c r="I172" s="3111">
        <v>0.68149999999999999</v>
      </c>
      <c r="J172" s="3111">
        <v>0.68149999999999999</v>
      </c>
      <c r="K172" s="3111">
        <v>0.68149999999999999</v>
      </c>
      <c r="L172" s="3111">
        <v>0.68149999999999999</v>
      </c>
      <c r="M172" s="3112">
        <v>0.68149999999999999</v>
      </c>
    </row>
    <row r="173" spans="1:13">
      <c r="A173" s="3110">
        <v>8.8000000000000007</v>
      </c>
      <c r="B173" s="3111">
        <v>0.89600000000000002</v>
      </c>
      <c r="C173" s="3111">
        <v>0.89600000000000002</v>
      </c>
      <c r="D173" s="3111">
        <v>0.81810000000000005</v>
      </c>
      <c r="E173" s="3111">
        <v>0.81810000000000005</v>
      </c>
      <c r="F173" s="3111">
        <v>0.81810000000000005</v>
      </c>
      <c r="G173" s="3111">
        <v>0.81810000000000005</v>
      </c>
      <c r="H173" s="3111">
        <v>0.81810000000000005</v>
      </c>
      <c r="I173" s="3111">
        <v>0.6794</v>
      </c>
      <c r="J173" s="3111">
        <v>0.6794</v>
      </c>
      <c r="K173" s="3111">
        <v>0.6794</v>
      </c>
      <c r="L173" s="3111">
        <v>0.6794</v>
      </c>
      <c r="M173" s="3112">
        <v>0.6794</v>
      </c>
    </row>
    <row r="174" spans="1:13">
      <c r="A174" s="3110">
        <v>8.9</v>
      </c>
      <c r="B174" s="3111">
        <v>0.89470000000000005</v>
      </c>
      <c r="C174" s="3111">
        <v>0.89470000000000005</v>
      </c>
      <c r="D174" s="3111">
        <v>0.8165</v>
      </c>
      <c r="E174" s="3111">
        <v>0.8165</v>
      </c>
      <c r="F174" s="3111">
        <v>0.8165</v>
      </c>
      <c r="G174" s="3111">
        <v>0.8165</v>
      </c>
      <c r="H174" s="3111">
        <v>0.8165</v>
      </c>
      <c r="I174" s="3111">
        <v>0.6774</v>
      </c>
      <c r="J174" s="3111">
        <v>0.6774</v>
      </c>
      <c r="K174" s="3111">
        <v>0.6774</v>
      </c>
      <c r="L174" s="3111">
        <v>0.6774</v>
      </c>
      <c r="M174" s="3112">
        <v>0.6774</v>
      </c>
    </row>
    <row r="175" spans="1:13">
      <c r="A175" s="3113">
        <v>9</v>
      </c>
      <c r="B175" s="3111">
        <v>0.89339999999999997</v>
      </c>
      <c r="C175" s="3111">
        <v>0.89339999999999997</v>
      </c>
      <c r="D175" s="3111">
        <v>0.81489999999999996</v>
      </c>
      <c r="E175" s="3111">
        <v>0.81489999999999996</v>
      </c>
      <c r="F175" s="3111">
        <v>0.81489999999999996</v>
      </c>
      <c r="G175" s="3111">
        <v>0.81489999999999996</v>
      </c>
      <c r="H175" s="3111">
        <v>0.81489999999999996</v>
      </c>
      <c r="I175" s="3111">
        <v>0.6754</v>
      </c>
      <c r="J175" s="3111">
        <v>0.6754</v>
      </c>
      <c r="K175" s="3111">
        <v>0.6754</v>
      </c>
      <c r="L175" s="3111">
        <v>0.6754</v>
      </c>
      <c r="M175" s="3112">
        <v>0.6754</v>
      </c>
    </row>
    <row r="176" spans="1:13">
      <c r="A176" s="3113">
        <v>9.1</v>
      </c>
      <c r="B176" s="3111">
        <v>0.8921</v>
      </c>
      <c r="C176" s="3111">
        <v>0.8921</v>
      </c>
      <c r="D176" s="3111">
        <v>0.81330000000000002</v>
      </c>
      <c r="E176" s="3111">
        <v>0.81330000000000002</v>
      </c>
      <c r="F176" s="3111">
        <v>0.81330000000000002</v>
      </c>
      <c r="G176" s="3111">
        <v>0.81330000000000002</v>
      </c>
      <c r="H176" s="3111">
        <v>0.81330000000000002</v>
      </c>
      <c r="I176" s="3111">
        <v>0.6734</v>
      </c>
      <c r="J176" s="3111">
        <v>0.6734</v>
      </c>
      <c r="K176" s="3111">
        <v>0.6734</v>
      </c>
      <c r="L176" s="3111">
        <v>0.6734</v>
      </c>
      <c r="M176" s="3112">
        <v>0.6734</v>
      </c>
    </row>
    <row r="177" spans="1:20">
      <c r="A177" s="3113">
        <v>9.1999999999999993</v>
      </c>
      <c r="B177" s="3111">
        <v>0.89080000000000004</v>
      </c>
      <c r="C177" s="3111">
        <v>0.89080000000000004</v>
      </c>
      <c r="D177" s="3111">
        <v>0.81169999999999998</v>
      </c>
      <c r="E177" s="3111">
        <v>0.81169999999999998</v>
      </c>
      <c r="F177" s="3111">
        <v>0.81169999999999998</v>
      </c>
      <c r="G177" s="3111">
        <v>0.81169999999999998</v>
      </c>
      <c r="H177" s="3111">
        <v>0.81169999999999998</v>
      </c>
      <c r="I177" s="3111">
        <v>0.6714</v>
      </c>
      <c r="J177" s="3111">
        <v>0.6714</v>
      </c>
      <c r="K177" s="3111">
        <v>0.6714</v>
      </c>
      <c r="L177" s="3111">
        <v>0.6714</v>
      </c>
      <c r="M177" s="3112">
        <v>0.6714</v>
      </c>
    </row>
    <row r="178" spans="1:20">
      <c r="A178" s="3113">
        <v>9.3000000000000007</v>
      </c>
      <c r="B178" s="3111">
        <v>0.88949999999999996</v>
      </c>
      <c r="C178" s="3111">
        <v>0.88949999999999996</v>
      </c>
      <c r="D178" s="3111">
        <v>0.81010000000000004</v>
      </c>
      <c r="E178" s="3111">
        <v>0.81010000000000004</v>
      </c>
      <c r="F178" s="3111">
        <v>0.81010000000000004</v>
      </c>
      <c r="G178" s="3111">
        <v>0.81010000000000004</v>
      </c>
      <c r="H178" s="3111">
        <v>0.81010000000000004</v>
      </c>
      <c r="I178" s="3111">
        <v>0.6694</v>
      </c>
      <c r="J178" s="3111">
        <v>0.6694</v>
      </c>
      <c r="K178" s="3111">
        <v>0.6694</v>
      </c>
      <c r="L178" s="3111">
        <v>0.6694</v>
      </c>
      <c r="M178" s="3112">
        <v>0.6694</v>
      </c>
    </row>
    <row r="179" spans="1:20">
      <c r="A179" s="3113">
        <v>9.4</v>
      </c>
      <c r="B179" s="3111">
        <v>0.88819999999999999</v>
      </c>
      <c r="C179" s="3111">
        <v>0.88819999999999999</v>
      </c>
      <c r="D179" s="3111">
        <v>0.8085</v>
      </c>
      <c r="E179" s="3111">
        <v>0.8085</v>
      </c>
      <c r="F179" s="3111">
        <v>0.8085</v>
      </c>
      <c r="G179" s="3111">
        <v>0.8085</v>
      </c>
      <c r="H179" s="3111">
        <v>0.8085</v>
      </c>
      <c r="I179" s="3111">
        <v>0.66739999999999999</v>
      </c>
      <c r="J179" s="3111">
        <v>0.66739999999999999</v>
      </c>
      <c r="K179" s="3111">
        <v>0.66739999999999999</v>
      </c>
      <c r="L179" s="3111">
        <v>0.66739999999999999</v>
      </c>
      <c r="M179" s="3112">
        <v>0.66739999999999999</v>
      </c>
    </row>
    <row r="180" spans="1:20">
      <c r="A180" s="3113">
        <v>9.5</v>
      </c>
      <c r="B180" s="3111">
        <v>0.88700000000000001</v>
      </c>
      <c r="C180" s="3111">
        <v>0.88700000000000001</v>
      </c>
      <c r="D180" s="3111">
        <v>0.80700000000000005</v>
      </c>
      <c r="E180" s="3111">
        <v>0.80700000000000005</v>
      </c>
      <c r="F180" s="3111">
        <v>0.80700000000000005</v>
      </c>
      <c r="G180" s="3111">
        <v>0.80700000000000005</v>
      </c>
      <c r="H180" s="3111">
        <v>0.80700000000000005</v>
      </c>
      <c r="I180" s="3111">
        <v>0.66549999999999998</v>
      </c>
      <c r="J180" s="3111">
        <v>0.66549999999999998</v>
      </c>
      <c r="K180" s="3111">
        <v>0.66549999999999998</v>
      </c>
      <c r="L180" s="3111">
        <v>0.66549999999999998</v>
      </c>
      <c r="M180" s="3112">
        <v>0.66549999999999998</v>
      </c>
    </row>
    <row r="181" spans="1:20">
      <c r="A181" s="3113">
        <v>9.6</v>
      </c>
      <c r="B181" s="3111">
        <v>0.88580000000000003</v>
      </c>
      <c r="C181" s="3111">
        <v>0.88580000000000003</v>
      </c>
      <c r="D181" s="3111">
        <v>0.80549999999999999</v>
      </c>
      <c r="E181" s="3111">
        <v>0.80549999999999999</v>
      </c>
      <c r="F181" s="3111">
        <v>0.80549999999999999</v>
      </c>
      <c r="G181" s="3111">
        <v>0.80549999999999999</v>
      </c>
      <c r="H181" s="3111">
        <v>0.80549999999999999</v>
      </c>
      <c r="I181" s="3111">
        <v>0.66359999999999997</v>
      </c>
      <c r="J181" s="3111">
        <v>0.66359999999999997</v>
      </c>
      <c r="K181" s="3111">
        <v>0.66359999999999997</v>
      </c>
      <c r="L181" s="3111">
        <v>0.66359999999999997</v>
      </c>
      <c r="M181" s="3112">
        <v>0.66359999999999997</v>
      </c>
    </row>
    <row r="182" spans="1:20">
      <c r="A182" s="3113">
        <v>9.6999999999999993</v>
      </c>
      <c r="B182" s="3111">
        <v>0.88460000000000005</v>
      </c>
      <c r="C182" s="3111">
        <v>0.88460000000000005</v>
      </c>
      <c r="D182" s="3111">
        <v>0.80400000000000005</v>
      </c>
      <c r="E182" s="3111">
        <v>0.80400000000000005</v>
      </c>
      <c r="F182" s="3111">
        <v>0.80400000000000005</v>
      </c>
      <c r="G182" s="3111">
        <v>0.80400000000000005</v>
      </c>
      <c r="H182" s="3111">
        <v>0.80400000000000005</v>
      </c>
      <c r="I182" s="3111">
        <v>0.66169999999999995</v>
      </c>
      <c r="J182" s="3111">
        <v>0.66169999999999995</v>
      </c>
      <c r="K182" s="3111">
        <v>0.66169999999999995</v>
      </c>
      <c r="L182" s="3111">
        <v>0.66169999999999995</v>
      </c>
      <c r="M182" s="3112">
        <v>0.66169999999999995</v>
      </c>
    </row>
    <row r="183" spans="1:20">
      <c r="A183" s="3113">
        <v>9.8000000000000007</v>
      </c>
      <c r="B183" s="3111">
        <v>0.88339999999999996</v>
      </c>
      <c r="C183" s="3111">
        <v>0.88339999999999996</v>
      </c>
      <c r="D183" s="3111">
        <v>0.80249999999999999</v>
      </c>
      <c r="E183" s="3111">
        <v>0.80249999999999999</v>
      </c>
      <c r="F183" s="3111">
        <v>0.80249999999999999</v>
      </c>
      <c r="G183" s="3111">
        <v>0.80249999999999999</v>
      </c>
      <c r="H183" s="3111">
        <v>0.80249999999999999</v>
      </c>
      <c r="I183" s="3111">
        <v>0.65980000000000005</v>
      </c>
      <c r="J183" s="3111">
        <v>0.65980000000000005</v>
      </c>
      <c r="K183" s="3111">
        <v>0.65980000000000005</v>
      </c>
      <c r="L183" s="3111">
        <v>0.65980000000000005</v>
      </c>
      <c r="M183" s="3112">
        <v>0.65980000000000005</v>
      </c>
    </row>
    <row r="184" spans="1:20" ht="14.25" thickBot="1">
      <c r="A184" s="3114">
        <v>9.9</v>
      </c>
      <c r="B184" s="3115">
        <v>0.88219999999999998</v>
      </c>
      <c r="C184" s="3115">
        <v>0.88219999999999998</v>
      </c>
      <c r="D184" s="3115">
        <v>0.80100000000000005</v>
      </c>
      <c r="E184" s="3115">
        <v>0.80100000000000005</v>
      </c>
      <c r="F184" s="3115">
        <v>0.80100000000000005</v>
      </c>
      <c r="G184" s="3115">
        <v>0.80100000000000005</v>
      </c>
      <c r="H184" s="3115">
        <v>0.80100000000000005</v>
      </c>
      <c r="I184" s="3115">
        <v>0.65790000000000004</v>
      </c>
      <c r="J184" s="3115">
        <v>0.65790000000000004</v>
      </c>
      <c r="K184" s="3115">
        <v>0.65790000000000004</v>
      </c>
      <c r="L184" s="3115">
        <v>0.65790000000000004</v>
      </c>
      <c r="M184" s="3116">
        <v>0.65790000000000004</v>
      </c>
    </row>
    <row r="185" spans="1:20" ht="15" thickBot="1">
      <c r="A185" s="3104" t="s">
        <v>2785</v>
      </c>
      <c r="B185" s="3104"/>
      <c r="C185" s="3104"/>
      <c r="D185" s="3104"/>
      <c r="E185" s="3104"/>
      <c r="F185" s="3104"/>
      <c r="G185" s="3104"/>
      <c r="H185" s="3104"/>
      <c r="I185" s="3104"/>
      <c r="J185" s="3104"/>
      <c r="K185" s="3104"/>
      <c r="L185" s="3104"/>
      <c r="M185" s="3104"/>
    </row>
    <row r="186" spans="1:20">
      <c r="A186" s="3105" t="s">
        <v>2783</v>
      </c>
      <c r="B186" s="3106" t="s">
        <v>2579</v>
      </c>
      <c r="C186" s="3106" t="s">
        <v>2580</v>
      </c>
      <c r="D186" s="3106" t="s">
        <v>2581</v>
      </c>
      <c r="E186" s="3106" t="s">
        <v>2582</v>
      </c>
      <c r="F186" s="3106" t="s">
        <v>2583</v>
      </c>
      <c r="G186" s="3106" t="s">
        <v>2584</v>
      </c>
      <c r="H186" s="3107" t="s">
        <v>2585</v>
      </c>
      <c r="I186" s="3107" t="s">
        <v>2586</v>
      </c>
      <c r="J186" s="3108" t="s">
        <v>2587</v>
      </c>
      <c r="K186" s="3108" t="s">
        <v>2588</v>
      </c>
      <c r="L186" s="3108" t="s">
        <v>2589</v>
      </c>
      <c r="M186" s="3109" t="s">
        <v>2590</v>
      </c>
      <c r="Q186" s="3119" t="s">
        <v>2788</v>
      </c>
      <c r="R186" s="3119" t="s">
        <v>2789</v>
      </c>
      <c r="S186" s="3119" t="s">
        <v>2790</v>
      </c>
      <c r="T186" s="3119" t="s">
        <v>2791</v>
      </c>
    </row>
    <row r="187" spans="1:20">
      <c r="A187" s="3110">
        <v>1</v>
      </c>
      <c r="B187" s="3111">
        <v>1.1901999999999999</v>
      </c>
      <c r="C187" s="3111">
        <v>1.1901999999999999</v>
      </c>
      <c r="D187" s="3111">
        <v>1.222</v>
      </c>
      <c r="E187" s="3111">
        <v>1.222</v>
      </c>
      <c r="F187" s="3111">
        <v>1.222</v>
      </c>
      <c r="G187" s="3111">
        <v>1.222</v>
      </c>
      <c r="H187" s="3111">
        <v>1.222</v>
      </c>
      <c r="I187" s="3111">
        <v>1.1054999999999999</v>
      </c>
      <c r="J187" s="3111">
        <v>1.1054999999999999</v>
      </c>
      <c r="K187" s="3111">
        <v>1.1054999999999999</v>
      </c>
      <c r="L187" s="3111">
        <v>1.1054999999999999</v>
      </c>
      <c r="M187" s="3112">
        <v>1.1054999999999999</v>
      </c>
      <c r="Q187" s="3119">
        <v>10</v>
      </c>
      <c r="R187" s="3119">
        <f>ROUND(0.9448-0.0115*Q187,4)</f>
        <v>0.82979999999999998</v>
      </c>
      <c r="S187" s="3119">
        <f>ROUND(0.937-0.0145*Q187,4)</f>
        <v>0.79200000000000004</v>
      </c>
      <c r="T187" s="3119">
        <f>ROUND(0.7965-0.0185*Q187,4)</f>
        <v>0.61150000000000004</v>
      </c>
    </row>
    <row r="188" spans="1:20">
      <c r="A188" s="3110">
        <v>1.1000000000000001</v>
      </c>
      <c r="B188" s="3111">
        <v>1.1715</v>
      </c>
      <c r="C188" s="3111">
        <v>1.1715</v>
      </c>
      <c r="D188" s="3111">
        <v>1.2002999999999999</v>
      </c>
      <c r="E188" s="3111">
        <v>1.2002999999999999</v>
      </c>
      <c r="F188" s="3111">
        <v>1.2002999999999999</v>
      </c>
      <c r="G188" s="3111">
        <v>1.2002999999999999</v>
      </c>
      <c r="H188" s="3111">
        <v>1.2002999999999999</v>
      </c>
      <c r="I188" s="3111">
        <v>1.0819000000000001</v>
      </c>
      <c r="J188" s="3111">
        <v>1.0819000000000001</v>
      </c>
      <c r="K188" s="3111">
        <v>1.0819000000000001</v>
      </c>
      <c r="L188" s="3111">
        <v>1.0819000000000001</v>
      </c>
      <c r="M188" s="3112">
        <v>1.0819000000000001</v>
      </c>
    </row>
    <row r="189" spans="1:20">
      <c r="A189" s="3110">
        <v>1.2</v>
      </c>
      <c r="B189" s="3111">
        <v>1.1538999999999999</v>
      </c>
      <c r="C189" s="3111">
        <v>1.1538999999999999</v>
      </c>
      <c r="D189" s="3111">
        <v>1.1798</v>
      </c>
      <c r="E189" s="3111">
        <v>1.1798</v>
      </c>
      <c r="F189" s="3111">
        <v>1.1798</v>
      </c>
      <c r="G189" s="3111">
        <v>1.1798</v>
      </c>
      <c r="H189" s="3111">
        <v>1.1798</v>
      </c>
      <c r="I189" s="3111">
        <v>1.0597000000000001</v>
      </c>
      <c r="J189" s="3111">
        <v>1.0597000000000001</v>
      </c>
      <c r="K189" s="3111">
        <v>1.0597000000000001</v>
      </c>
      <c r="L189" s="3111">
        <v>1.0597000000000001</v>
      </c>
      <c r="M189" s="3112">
        <v>1.0597000000000001</v>
      </c>
    </row>
    <row r="190" spans="1:20">
      <c r="A190" s="3110">
        <v>1.3</v>
      </c>
      <c r="B190" s="3111">
        <v>1.1372</v>
      </c>
      <c r="C190" s="3111">
        <v>1.1372</v>
      </c>
      <c r="D190" s="3111">
        <v>1.1605000000000001</v>
      </c>
      <c r="E190" s="3111">
        <v>1.1605000000000001</v>
      </c>
      <c r="F190" s="3111">
        <v>1.1605000000000001</v>
      </c>
      <c r="G190" s="3111">
        <v>1.1605000000000001</v>
      </c>
      <c r="H190" s="3111">
        <v>1.1605000000000001</v>
      </c>
      <c r="I190" s="3111">
        <v>1.0386</v>
      </c>
      <c r="J190" s="3111">
        <v>1.0386</v>
      </c>
      <c r="K190" s="3111">
        <v>1.0386</v>
      </c>
      <c r="L190" s="3111">
        <v>1.0386</v>
      </c>
      <c r="M190" s="3112">
        <v>1.0386</v>
      </c>
    </row>
    <row r="191" spans="1:20">
      <c r="A191" s="3110">
        <v>1.4</v>
      </c>
      <c r="B191" s="3111">
        <v>1.1215999999999999</v>
      </c>
      <c r="C191" s="3111">
        <v>1.1215999999999999</v>
      </c>
      <c r="D191" s="3111">
        <v>1.1422000000000001</v>
      </c>
      <c r="E191" s="3111">
        <v>1.1422000000000001</v>
      </c>
      <c r="F191" s="3111">
        <v>1.1422000000000001</v>
      </c>
      <c r="G191" s="3111">
        <v>1.1422000000000001</v>
      </c>
      <c r="H191" s="3111">
        <v>1.1422000000000001</v>
      </c>
      <c r="I191" s="3111">
        <v>1.0187999999999999</v>
      </c>
      <c r="J191" s="3111">
        <v>1.0187999999999999</v>
      </c>
      <c r="K191" s="3111">
        <v>1.0187999999999999</v>
      </c>
      <c r="L191" s="3111">
        <v>1.0187999999999999</v>
      </c>
      <c r="M191" s="3112">
        <v>1.0187999999999999</v>
      </c>
    </row>
    <row r="192" spans="1:20">
      <c r="A192" s="3110">
        <v>1.5</v>
      </c>
      <c r="B192" s="3111">
        <v>1.1069</v>
      </c>
      <c r="C192" s="3111">
        <v>1.1069</v>
      </c>
      <c r="D192" s="3111">
        <v>1.125</v>
      </c>
      <c r="E192" s="3111">
        <v>1.125</v>
      </c>
      <c r="F192" s="3111">
        <v>1.125</v>
      </c>
      <c r="G192" s="3111">
        <v>1.125</v>
      </c>
      <c r="H192" s="3111">
        <v>1.125</v>
      </c>
      <c r="I192" s="3111">
        <v>1</v>
      </c>
      <c r="J192" s="3111">
        <v>1</v>
      </c>
      <c r="K192" s="3111">
        <v>1</v>
      </c>
      <c r="L192" s="3111">
        <v>1</v>
      </c>
      <c r="M192" s="3112">
        <v>1</v>
      </c>
    </row>
    <row r="193" spans="1:13">
      <c r="A193" s="3110">
        <v>1.6</v>
      </c>
      <c r="B193" s="3111">
        <v>1.0929</v>
      </c>
      <c r="C193" s="3111">
        <v>1.0929</v>
      </c>
      <c r="D193" s="3111">
        <v>1.1087</v>
      </c>
      <c r="E193" s="3111">
        <v>1.1087</v>
      </c>
      <c r="F193" s="3111">
        <v>1.1087</v>
      </c>
      <c r="G193" s="3111">
        <v>1.1087</v>
      </c>
      <c r="H193" s="3111">
        <v>1.1087</v>
      </c>
      <c r="I193" s="3111">
        <v>0.98229999999999995</v>
      </c>
      <c r="J193" s="3111">
        <v>0.98229999999999995</v>
      </c>
      <c r="K193" s="3111">
        <v>0.98229999999999995</v>
      </c>
      <c r="L193" s="3111">
        <v>0.98229999999999995</v>
      </c>
      <c r="M193" s="3112">
        <v>0.98229999999999995</v>
      </c>
    </row>
    <row r="194" spans="1:13">
      <c r="A194" s="3110">
        <v>1.7</v>
      </c>
      <c r="B194" s="3111">
        <v>1.0798000000000001</v>
      </c>
      <c r="C194" s="3111">
        <v>1.0798000000000001</v>
      </c>
      <c r="D194" s="3111">
        <v>1.0933999999999999</v>
      </c>
      <c r="E194" s="3111">
        <v>1.0933999999999999</v>
      </c>
      <c r="F194" s="3111">
        <v>1.0933999999999999</v>
      </c>
      <c r="G194" s="3111">
        <v>1.0933999999999999</v>
      </c>
      <c r="H194" s="3111">
        <v>1.0933999999999999</v>
      </c>
      <c r="I194" s="3111">
        <v>0.96560000000000001</v>
      </c>
      <c r="J194" s="3111">
        <v>0.96560000000000001</v>
      </c>
      <c r="K194" s="3111">
        <v>0.96560000000000001</v>
      </c>
      <c r="L194" s="3111">
        <v>0.96560000000000001</v>
      </c>
      <c r="M194" s="3112">
        <v>0.96560000000000001</v>
      </c>
    </row>
    <row r="195" spans="1:13">
      <c r="A195" s="3110">
        <v>1.8</v>
      </c>
      <c r="B195" s="3111">
        <v>1.0674999999999999</v>
      </c>
      <c r="C195" s="3111">
        <v>1.0674999999999999</v>
      </c>
      <c r="D195" s="3111">
        <v>1.0790999999999999</v>
      </c>
      <c r="E195" s="3111">
        <v>1.0790999999999999</v>
      </c>
      <c r="F195" s="3111">
        <v>1.0790999999999999</v>
      </c>
      <c r="G195" s="3111">
        <v>1.0790999999999999</v>
      </c>
      <c r="H195" s="3111">
        <v>1.0790999999999999</v>
      </c>
      <c r="I195" s="3111">
        <v>0.94989999999999997</v>
      </c>
      <c r="J195" s="3111">
        <v>0.94989999999999997</v>
      </c>
      <c r="K195" s="3111">
        <v>0.94989999999999997</v>
      </c>
      <c r="L195" s="3111">
        <v>0.94989999999999997</v>
      </c>
      <c r="M195" s="3112">
        <v>0.94989999999999997</v>
      </c>
    </row>
    <row r="196" spans="1:13">
      <c r="A196" s="3110">
        <v>1.9</v>
      </c>
      <c r="B196" s="3111">
        <v>1.0558000000000001</v>
      </c>
      <c r="C196" s="3111">
        <v>1.0558000000000001</v>
      </c>
      <c r="D196" s="3111">
        <v>1.0654999999999999</v>
      </c>
      <c r="E196" s="3111">
        <v>1.0654999999999999</v>
      </c>
      <c r="F196" s="3111">
        <v>1.0654999999999999</v>
      </c>
      <c r="G196" s="3111">
        <v>1.0654999999999999</v>
      </c>
      <c r="H196" s="3111">
        <v>1.0654999999999999</v>
      </c>
      <c r="I196" s="3111">
        <v>0.93520000000000003</v>
      </c>
      <c r="J196" s="3111">
        <v>0.93520000000000003</v>
      </c>
      <c r="K196" s="3111">
        <v>0.93520000000000003</v>
      </c>
      <c r="L196" s="3111">
        <v>0.93520000000000003</v>
      </c>
      <c r="M196" s="3112">
        <v>0.93520000000000003</v>
      </c>
    </row>
    <row r="197" spans="1:13">
      <c r="A197" s="3110">
        <v>2</v>
      </c>
      <c r="B197" s="3111">
        <v>1.0449999999999999</v>
      </c>
      <c r="C197" s="3111">
        <v>1.0449999999999999</v>
      </c>
      <c r="D197" s="3111">
        <v>1.0528</v>
      </c>
      <c r="E197" s="3111">
        <v>1.0528</v>
      </c>
      <c r="F197" s="3111">
        <v>1.0528</v>
      </c>
      <c r="G197" s="3111">
        <v>1.0528</v>
      </c>
      <c r="H197" s="3111">
        <v>1.0528</v>
      </c>
      <c r="I197" s="3111">
        <v>0.92130000000000001</v>
      </c>
      <c r="J197" s="3111">
        <v>0.92130000000000001</v>
      </c>
      <c r="K197" s="3111">
        <v>0.92130000000000001</v>
      </c>
      <c r="L197" s="3111">
        <v>0.92130000000000001</v>
      </c>
      <c r="M197" s="3112">
        <v>0.92130000000000001</v>
      </c>
    </row>
    <row r="198" spans="1:13">
      <c r="A198" s="3113">
        <v>2.1</v>
      </c>
      <c r="B198" s="3111">
        <v>1.0347999999999999</v>
      </c>
      <c r="C198" s="3111">
        <v>1.0347999999999999</v>
      </c>
      <c r="D198" s="3111">
        <v>1.0407999999999999</v>
      </c>
      <c r="E198" s="3111">
        <v>1.0407999999999999</v>
      </c>
      <c r="F198" s="3111">
        <v>1.0407999999999999</v>
      </c>
      <c r="G198" s="3111">
        <v>1.0407999999999999</v>
      </c>
      <c r="H198" s="3111">
        <v>1.0407999999999999</v>
      </c>
      <c r="I198" s="3111">
        <v>0.90820000000000001</v>
      </c>
      <c r="J198" s="3111">
        <v>0.90820000000000001</v>
      </c>
      <c r="K198" s="3111">
        <v>0.90820000000000001</v>
      </c>
      <c r="L198" s="3111">
        <v>0.90820000000000001</v>
      </c>
      <c r="M198" s="3112">
        <v>0.90820000000000001</v>
      </c>
    </row>
    <row r="199" spans="1:13">
      <c r="A199" s="3113">
        <v>2.2000000000000002</v>
      </c>
      <c r="B199" s="3111">
        <v>1.0251999999999999</v>
      </c>
      <c r="C199" s="3111">
        <v>1.0251999999999999</v>
      </c>
      <c r="D199" s="3111">
        <v>1.0296000000000001</v>
      </c>
      <c r="E199" s="3111">
        <v>1.0296000000000001</v>
      </c>
      <c r="F199" s="3111">
        <v>1.0296000000000001</v>
      </c>
      <c r="G199" s="3111">
        <v>1.0296000000000001</v>
      </c>
      <c r="H199" s="3111">
        <v>1.0296000000000001</v>
      </c>
      <c r="I199" s="3111">
        <v>0.89570000000000005</v>
      </c>
      <c r="J199" s="3111">
        <v>0.89570000000000005</v>
      </c>
      <c r="K199" s="3111">
        <v>0.89570000000000005</v>
      </c>
      <c r="L199" s="3111">
        <v>0.89570000000000005</v>
      </c>
      <c r="M199" s="3112">
        <v>0.89570000000000005</v>
      </c>
    </row>
    <row r="200" spans="1:13">
      <c r="A200" s="3113">
        <v>2.2999999999999998</v>
      </c>
      <c r="B200" s="3111">
        <v>1.0162</v>
      </c>
      <c r="C200" s="3111">
        <v>1.0162</v>
      </c>
      <c r="D200" s="3111">
        <v>1.0190999999999999</v>
      </c>
      <c r="E200" s="3111">
        <v>1.0190999999999999</v>
      </c>
      <c r="F200" s="3111">
        <v>1.0190999999999999</v>
      </c>
      <c r="G200" s="3111">
        <v>1.0190999999999999</v>
      </c>
      <c r="H200" s="3111">
        <v>1.0190999999999999</v>
      </c>
      <c r="I200" s="3111">
        <v>0.88419999999999999</v>
      </c>
      <c r="J200" s="3111">
        <v>0.88419999999999999</v>
      </c>
      <c r="K200" s="3111">
        <v>0.88419999999999999</v>
      </c>
      <c r="L200" s="3111">
        <v>0.88419999999999999</v>
      </c>
      <c r="M200" s="3112">
        <v>0.88419999999999999</v>
      </c>
    </row>
    <row r="201" spans="1:13">
      <c r="A201" s="3113">
        <v>2.4</v>
      </c>
      <c r="B201" s="3111">
        <v>1.0078</v>
      </c>
      <c r="C201" s="3111">
        <v>1.0078</v>
      </c>
      <c r="D201" s="3111">
        <v>1.0092000000000001</v>
      </c>
      <c r="E201" s="3111">
        <v>1.0092000000000001</v>
      </c>
      <c r="F201" s="3111">
        <v>1.0092000000000001</v>
      </c>
      <c r="G201" s="3111">
        <v>1.0092000000000001</v>
      </c>
      <c r="H201" s="3111">
        <v>1.0092000000000001</v>
      </c>
      <c r="I201" s="3111">
        <v>0.87329999999999997</v>
      </c>
      <c r="J201" s="3111">
        <v>0.87329999999999997</v>
      </c>
      <c r="K201" s="3111">
        <v>0.87329999999999997</v>
      </c>
      <c r="L201" s="3111">
        <v>0.87329999999999997</v>
      </c>
      <c r="M201" s="3112">
        <v>0.87329999999999997</v>
      </c>
    </row>
    <row r="202" spans="1:13">
      <c r="A202" s="3113">
        <v>2.5</v>
      </c>
      <c r="B202" s="3111">
        <v>1</v>
      </c>
      <c r="C202" s="3111">
        <v>1</v>
      </c>
      <c r="D202" s="3111">
        <v>1</v>
      </c>
      <c r="E202" s="3111">
        <v>1</v>
      </c>
      <c r="F202" s="3111">
        <v>1</v>
      </c>
      <c r="G202" s="3111">
        <v>1</v>
      </c>
      <c r="H202" s="3111">
        <v>1</v>
      </c>
      <c r="I202" s="3111">
        <v>0.86299999999999999</v>
      </c>
      <c r="J202" s="3111">
        <v>0.86299999999999999</v>
      </c>
      <c r="K202" s="3111">
        <v>0.86299999999999999</v>
      </c>
      <c r="L202" s="3111">
        <v>0.86299999999999999</v>
      </c>
      <c r="M202" s="3112">
        <v>0.86299999999999999</v>
      </c>
    </row>
    <row r="203" spans="1:13">
      <c r="A203" s="3113">
        <v>2.6</v>
      </c>
      <c r="B203" s="3111">
        <v>0.99270000000000003</v>
      </c>
      <c r="C203" s="3111">
        <v>0.99270000000000003</v>
      </c>
      <c r="D203" s="3111">
        <v>0.99139999999999995</v>
      </c>
      <c r="E203" s="3111">
        <v>0.99139999999999995</v>
      </c>
      <c r="F203" s="3111">
        <v>0.99139999999999995</v>
      </c>
      <c r="G203" s="3111">
        <v>0.99139999999999995</v>
      </c>
      <c r="H203" s="3111">
        <v>0.99139999999999995</v>
      </c>
      <c r="I203" s="3111">
        <v>0.85340000000000005</v>
      </c>
      <c r="J203" s="3111">
        <v>0.85340000000000005</v>
      </c>
      <c r="K203" s="3111">
        <v>0.85340000000000005</v>
      </c>
      <c r="L203" s="3111">
        <v>0.85340000000000005</v>
      </c>
      <c r="M203" s="3112">
        <v>0.85340000000000005</v>
      </c>
    </row>
    <row r="204" spans="1:13">
      <c r="A204" s="3113">
        <v>2.7</v>
      </c>
      <c r="B204" s="3111">
        <v>0.98580000000000001</v>
      </c>
      <c r="C204" s="3111">
        <v>0.98580000000000001</v>
      </c>
      <c r="D204" s="3111">
        <v>0.98329999999999995</v>
      </c>
      <c r="E204" s="3111">
        <v>0.98329999999999995</v>
      </c>
      <c r="F204" s="3111">
        <v>0.98329999999999995</v>
      </c>
      <c r="G204" s="3111">
        <v>0.98329999999999995</v>
      </c>
      <c r="H204" s="3111">
        <v>0.98329999999999995</v>
      </c>
      <c r="I204" s="3111">
        <v>0.84440000000000004</v>
      </c>
      <c r="J204" s="3111">
        <v>0.84440000000000004</v>
      </c>
      <c r="K204" s="3111">
        <v>0.84440000000000004</v>
      </c>
      <c r="L204" s="3111">
        <v>0.84440000000000004</v>
      </c>
      <c r="M204" s="3112">
        <v>0.84440000000000004</v>
      </c>
    </row>
    <row r="205" spans="1:13">
      <c r="A205" s="3113">
        <v>2.8</v>
      </c>
      <c r="B205" s="3111">
        <v>0.97940000000000005</v>
      </c>
      <c r="C205" s="3111">
        <v>0.97940000000000005</v>
      </c>
      <c r="D205" s="3111">
        <v>0.97570000000000001</v>
      </c>
      <c r="E205" s="3111">
        <v>0.97570000000000001</v>
      </c>
      <c r="F205" s="3111">
        <v>0.97570000000000001</v>
      </c>
      <c r="G205" s="3111">
        <v>0.97570000000000001</v>
      </c>
      <c r="H205" s="3111">
        <v>0.97570000000000001</v>
      </c>
      <c r="I205" s="3111">
        <v>0.83599999999999997</v>
      </c>
      <c r="J205" s="3111">
        <v>0.83599999999999997</v>
      </c>
      <c r="K205" s="3111">
        <v>0.83599999999999997</v>
      </c>
      <c r="L205" s="3111">
        <v>0.83599999999999997</v>
      </c>
      <c r="M205" s="3112">
        <v>0.83599999999999997</v>
      </c>
    </row>
    <row r="206" spans="1:13">
      <c r="A206" s="3113">
        <v>2.9</v>
      </c>
      <c r="B206" s="3111">
        <v>0.97350000000000003</v>
      </c>
      <c r="C206" s="3111">
        <v>0.97350000000000003</v>
      </c>
      <c r="D206" s="3111">
        <v>0.96870000000000001</v>
      </c>
      <c r="E206" s="3111">
        <v>0.96870000000000001</v>
      </c>
      <c r="F206" s="3111">
        <v>0.96870000000000001</v>
      </c>
      <c r="G206" s="3111">
        <v>0.96870000000000001</v>
      </c>
      <c r="H206" s="3111">
        <v>0.96870000000000001</v>
      </c>
      <c r="I206" s="3111">
        <v>0.82820000000000005</v>
      </c>
      <c r="J206" s="3111">
        <v>0.82820000000000005</v>
      </c>
      <c r="K206" s="3111">
        <v>0.82820000000000005</v>
      </c>
      <c r="L206" s="3111">
        <v>0.82820000000000005</v>
      </c>
      <c r="M206" s="3112">
        <v>0.82820000000000005</v>
      </c>
    </row>
    <row r="207" spans="1:13">
      <c r="A207" s="3113">
        <v>3</v>
      </c>
      <c r="B207" s="3111">
        <v>0.96789999999999998</v>
      </c>
      <c r="C207" s="3111">
        <v>0.96789999999999998</v>
      </c>
      <c r="D207" s="3111">
        <v>0.96209999999999996</v>
      </c>
      <c r="E207" s="3111">
        <v>0.96209999999999996</v>
      </c>
      <c r="F207" s="3111">
        <v>0.96209999999999996</v>
      </c>
      <c r="G207" s="3111">
        <v>0.96209999999999996</v>
      </c>
      <c r="H207" s="3111">
        <v>0.96209999999999996</v>
      </c>
      <c r="I207" s="3111">
        <v>0.82079999999999997</v>
      </c>
      <c r="J207" s="3111">
        <v>0.82079999999999997</v>
      </c>
      <c r="K207" s="3111">
        <v>0.82079999999999997</v>
      </c>
      <c r="L207" s="3111">
        <v>0.82079999999999997</v>
      </c>
      <c r="M207" s="3112">
        <v>0.82079999999999997</v>
      </c>
    </row>
    <row r="208" spans="1:13">
      <c r="A208" s="3113">
        <v>3.1</v>
      </c>
      <c r="B208" s="3111">
        <v>0.9627</v>
      </c>
      <c r="C208" s="3111">
        <v>0.9627</v>
      </c>
      <c r="D208" s="3111">
        <v>0.95589999999999997</v>
      </c>
      <c r="E208" s="3111">
        <v>0.95589999999999997</v>
      </c>
      <c r="F208" s="3111">
        <v>0.95589999999999997</v>
      </c>
      <c r="G208" s="3111">
        <v>0.95589999999999997</v>
      </c>
      <c r="H208" s="3111">
        <v>0.95589999999999997</v>
      </c>
      <c r="I208" s="3111">
        <v>0.81389999999999996</v>
      </c>
      <c r="J208" s="3111">
        <v>0.81389999999999996</v>
      </c>
      <c r="K208" s="3111">
        <v>0.81389999999999996</v>
      </c>
      <c r="L208" s="3111">
        <v>0.81389999999999996</v>
      </c>
      <c r="M208" s="3112">
        <v>0.81389999999999996</v>
      </c>
    </row>
    <row r="209" spans="1:13">
      <c r="A209" s="3113">
        <v>3.2</v>
      </c>
      <c r="B209" s="3111">
        <v>0.95789999999999997</v>
      </c>
      <c r="C209" s="3111">
        <v>0.95789999999999997</v>
      </c>
      <c r="D209" s="3111">
        <v>0.95020000000000004</v>
      </c>
      <c r="E209" s="3111">
        <v>0.95020000000000004</v>
      </c>
      <c r="F209" s="3111">
        <v>0.95020000000000004</v>
      </c>
      <c r="G209" s="3111">
        <v>0.95020000000000004</v>
      </c>
      <c r="H209" s="3111">
        <v>0.95020000000000004</v>
      </c>
      <c r="I209" s="3111">
        <v>0.8075</v>
      </c>
      <c r="J209" s="3111">
        <v>0.8075</v>
      </c>
      <c r="K209" s="3111">
        <v>0.8075</v>
      </c>
      <c r="L209" s="3111">
        <v>0.8075</v>
      </c>
      <c r="M209" s="3112">
        <v>0.8075</v>
      </c>
    </row>
    <row r="210" spans="1:13">
      <c r="A210" s="3113">
        <v>3.3</v>
      </c>
      <c r="B210" s="3111">
        <v>0.95340000000000003</v>
      </c>
      <c r="C210" s="3111">
        <v>0.95340000000000003</v>
      </c>
      <c r="D210" s="3111">
        <v>0.94479999999999997</v>
      </c>
      <c r="E210" s="3111">
        <v>0.94479999999999997</v>
      </c>
      <c r="F210" s="3111">
        <v>0.94479999999999997</v>
      </c>
      <c r="G210" s="3111">
        <v>0.94479999999999997</v>
      </c>
      <c r="H210" s="3111">
        <v>0.94479999999999997</v>
      </c>
      <c r="I210" s="3111">
        <v>0.80149999999999999</v>
      </c>
      <c r="J210" s="3111">
        <v>0.80149999999999999</v>
      </c>
      <c r="K210" s="3111">
        <v>0.80149999999999999</v>
      </c>
      <c r="L210" s="3111">
        <v>0.80149999999999999</v>
      </c>
      <c r="M210" s="3112">
        <v>0.80149999999999999</v>
      </c>
    </row>
    <row r="211" spans="1:13">
      <c r="A211" s="3113">
        <v>3.4</v>
      </c>
      <c r="B211" s="3111">
        <v>0.94920000000000004</v>
      </c>
      <c r="C211" s="3111">
        <v>0.94920000000000004</v>
      </c>
      <c r="D211" s="3111">
        <v>0.93989999999999996</v>
      </c>
      <c r="E211" s="3111">
        <v>0.93989999999999996</v>
      </c>
      <c r="F211" s="3111">
        <v>0.93989999999999996</v>
      </c>
      <c r="G211" s="3111">
        <v>0.93989999999999996</v>
      </c>
      <c r="H211" s="3111">
        <v>0.93989999999999996</v>
      </c>
      <c r="I211" s="3111">
        <v>0.79590000000000005</v>
      </c>
      <c r="J211" s="3111">
        <v>0.79590000000000005</v>
      </c>
      <c r="K211" s="3111">
        <v>0.79590000000000005</v>
      </c>
      <c r="L211" s="3111">
        <v>0.79590000000000005</v>
      </c>
      <c r="M211" s="3112">
        <v>0.79590000000000005</v>
      </c>
    </row>
    <row r="212" spans="1:13">
      <c r="A212" s="3113">
        <v>3.5</v>
      </c>
      <c r="B212" s="3111">
        <v>0.94540000000000002</v>
      </c>
      <c r="C212" s="3111">
        <v>0.94540000000000002</v>
      </c>
      <c r="D212" s="3111">
        <v>0.93520000000000003</v>
      </c>
      <c r="E212" s="3111">
        <v>0.93520000000000003</v>
      </c>
      <c r="F212" s="3111">
        <v>0.93520000000000003</v>
      </c>
      <c r="G212" s="3111">
        <v>0.93520000000000003</v>
      </c>
      <c r="H212" s="3111">
        <v>0.93520000000000003</v>
      </c>
      <c r="I212" s="3111">
        <v>0.79059999999999997</v>
      </c>
      <c r="J212" s="3111">
        <v>0.79059999999999997</v>
      </c>
      <c r="K212" s="3111">
        <v>0.79059999999999997</v>
      </c>
      <c r="L212" s="3111">
        <v>0.79059999999999997</v>
      </c>
      <c r="M212" s="3112">
        <v>0.79059999999999997</v>
      </c>
    </row>
    <row r="213" spans="1:13">
      <c r="A213" s="3113">
        <v>3.6</v>
      </c>
      <c r="B213" s="3111">
        <v>0.94179999999999997</v>
      </c>
      <c r="C213" s="3111">
        <v>0.94179999999999997</v>
      </c>
      <c r="D213" s="3111">
        <v>0.93089999999999995</v>
      </c>
      <c r="E213" s="3111">
        <v>0.93089999999999995</v>
      </c>
      <c r="F213" s="3111">
        <v>0.93089999999999995</v>
      </c>
      <c r="G213" s="3111">
        <v>0.93089999999999995</v>
      </c>
      <c r="H213" s="3111">
        <v>0.93089999999999995</v>
      </c>
      <c r="I213" s="3111">
        <v>0.78569999999999995</v>
      </c>
      <c r="J213" s="3111">
        <v>0.78569999999999995</v>
      </c>
      <c r="K213" s="3111">
        <v>0.78569999999999995</v>
      </c>
      <c r="L213" s="3111">
        <v>0.78569999999999995</v>
      </c>
      <c r="M213" s="3112">
        <v>0.78569999999999995</v>
      </c>
    </row>
    <row r="214" spans="1:13">
      <c r="A214" s="3113">
        <v>3.7</v>
      </c>
      <c r="B214" s="3111">
        <v>0.93840000000000001</v>
      </c>
      <c r="C214" s="3111">
        <v>0.93840000000000001</v>
      </c>
      <c r="D214" s="3111">
        <v>0.92689999999999995</v>
      </c>
      <c r="E214" s="3111">
        <v>0.92689999999999995</v>
      </c>
      <c r="F214" s="3111">
        <v>0.92689999999999995</v>
      </c>
      <c r="G214" s="3111">
        <v>0.92689999999999995</v>
      </c>
      <c r="H214" s="3111">
        <v>0.92689999999999995</v>
      </c>
      <c r="I214" s="3111">
        <v>0.78110000000000002</v>
      </c>
      <c r="J214" s="3111">
        <v>0.78110000000000002</v>
      </c>
      <c r="K214" s="3111">
        <v>0.78110000000000002</v>
      </c>
      <c r="L214" s="3111">
        <v>0.78110000000000002</v>
      </c>
      <c r="M214" s="3112">
        <v>0.78110000000000002</v>
      </c>
    </row>
    <row r="215" spans="1:13">
      <c r="A215" s="3113">
        <v>3.8</v>
      </c>
      <c r="B215" s="3111">
        <v>0.93530000000000002</v>
      </c>
      <c r="C215" s="3111">
        <v>0.93530000000000002</v>
      </c>
      <c r="D215" s="3111">
        <v>0.92310000000000003</v>
      </c>
      <c r="E215" s="3111">
        <v>0.92310000000000003</v>
      </c>
      <c r="F215" s="3111">
        <v>0.92310000000000003</v>
      </c>
      <c r="G215" s="3111">
        <v>0.92310000000000003</v>
      </c>
      <c r="H215" s="3111">
        <v>0.92310000000000003</v>
      </c>
      <c r="I215" s="3111">
        <v>0.77680000000000005</v>
      </c>
      <c r="J215" s="3111">
        <v>0.77680000000000005</v>
      </c>
      <c r="K215" s="3111">
        <v>0.77680000000000005</v>
      </c>
      <c r="L215" s="3111">
        <v>0.77680000000000005</v>
      </c>
      <c r="M215" s="3112">
        <v>0.77680000000000005</v>
      </c>
    </row>
    <row r="216" spans="1:13">
      <c r="A216" s="3113">
        <v>3.9</v>
      </c>
      <c r="B216" s="3111">
        <v>0.93240000000000001</v>
      </c>
      <c r="C216" s="3111">
        <v>0.93240000000000001</v>
      </c>
      <c r="D216" s="3111">
        <v>0.91959999999999997</v>
      </c>
      <c r="E216" s="3111">
        <v>0.91959999999999997</v>
      </c>
      <c r="F216" s="3111">
        <v>0.91959999999999997</v>
      </c>
      <c r="G216" s="3111">
        <v>0.91959999999999997</v>
      </c>
      <c r="H216" s="3111">
        <v>0.91959999999999997</v>
      </c>
      <c r="I216" s="3111">
        <v>0.77270000000000005</v>
      </c>
      <c r="J216" s="3111">
        <v>0.77270000000000005</v>
      </c>
      <c r="K216" s="3111">
        <v>0.77270000000000005</v>
      </c>
      <c r="L216" s="3111">
        <v>0.77270000000000005</v>
      </c>
      <c r="M216" s="3112">
        <v>0.77270000000000005</v>
      </c>
    </row>
    <row r="217" spans="1:13">
      <c r="A217" s="3113">
        <v>4</v>
      </c>
      <c r="B217" s="3111">
        <v>0.92969999999999997</v>
      </c>
      <c r="C217" s="3111">
        <v>0.92969999999999997</v>
      </c>
      <c r="D217" s="3111">
        <v>0.9163</v>
      </c>
      <c r="E217" s="3111">
        <v>0.9163</v>
      </c>
      <c r="F217" s="3111">
        <v>0.9163</v>
      </c>
      <c r="G217" s="3111">
        <v>0.9163</v>
      </c>
      <c r="H217" s="3111">
        <v>0.9163</v>
      </c>
      <c r="I217" s="3111">
        <v>0.76880000000000004</v>
      </c>
      <c r="J217" s="3111">
        <v>0.76880000000000004</v>
      </c>
      <c r="K217" s="3111">
        <v>0.76880000000000004</v>
      </c>
      <c r="L217" s="3111">
        <v>0.76880000000000004</v>
      </c>
      <c r="M217" s="3112">
        <v>0.76880000000000004</v>
      </c>
    </row>
    <row r="218" spans="1:13">
      <c r="A218" s="3113">
        <v>4.0999999999999996</v>
      </c>
      <c r="B218" s="3111">
        <v>0.92720000000000002</v>
      </c>
      <c r="C218" s="3111">
        <v>0.92720000000000002</v>
      </c>
      <c r="D218" s="3111">
        <v>0.91320000000000001</v>
      </c>
      <c r="E218" s="3111">
        <v>0.91320000000000001</v>
      </c>
      <c r="F218" s="3111">
        <v>0.91320000000000001</v>
      </c>
      <c r="G218" s="3111">
        <v>0.91320000000000001</v>
      </c>
      <c r="H218" s="3111">
        <v>0.91320000000000001</v>
      </c>
      <c r="I218" s="3111">
        <v>0.7651</v>
      </c>
      <c r="J218" s="3111">
        <v>0.7651</v>
      </c>
      <c r="K218" s="3111">
        <v>0.7651</v>
      </c>
      <c r="L218" s="3111">
        <v>0.7651</v>
      </c>
      <c r="M218" s="3112">
        <v>0.7651</v>
      </c>
    </row>
    <row r="219" spans="1:13">
      <c r="A219" s="3113">
        <v>4.2</v>
      </c>
      <c r="B219" s="3111">
        <v>0.92479999999999996</v>
      </c>
      <c r="C219" s="3111">
        <v>0.92479999999999996</v>
      </c>
      <c r="D219" s="3111">
        <v>0.91020000000000001</v>
      </c>
      <c r="E219" s="3111">
        <v>0.91020000000000001</v>
      </c>
      <c r="F219" s="3111">
        <v>0.91020000000000001</v>
      </c>
      <c r="G219" s="3111">
        <v>0.91020000000000001</v>
      </c>
      <c r="H219" s="3111">
        <v>0.91020000000000001</v>
      </c>
      <c r="I219" s="3111">
        <v>0.76149999999999995</v>
      </c>
      <c r="J219" s="3111">
        <v>0.76149999999999995</v>
      </c>
      <c r="K219" s="3111">
        <v>0.76149999999999995</v>
      </c>
      <c r="L219" s="3111">
        <v>0.76149999999999995</v>
      </c>
      <c r="M219" s="3112">
        <v>0.76149999999999995</v>
      </c>
    </row>
    <row r="220" spans="1:13">
      <c r="A220" s="3113">
        <v>4.3</v>
      </c>
      <c r="B220" s="3111">
        <v>0.92249999999999999</v>
      </c>
      <c r="C220" s="3111">
        <v>0.92249999999999999</v>
      </c>
      <c r="D220" s="3111">
        <v>0.9073</v>
      </c>
      <c r="E220" s="3111">
        <v>0.9073</v>
      </c>
      <c r="F220" s="3111">
        <v>0.9073</v>
      </c>
      <c r="G220" s="3111">
        <v>0.9073</v>
      </c>
      <c r="H220" s="3111">
        <v>0.9073</v>
      </c>
      <c r="I220" s="3111">
        <v>0.75800000000000001</v>
      </c>
      <c r="J220" s="3111">
        <v>0.75800000000000001</v>
      </c>
      <c r="K220" s="3111">
        <v>0.75800000000000001</v>
      </c>
      <c r="L220" s="3111">
        <v>0.75800000000000001</v>
      </c>
      <c r="M220" s="3112">
        <v>0.75800000000000001</v>
      </c>
    </row>
    <row r="221" spans="1:13">
      <c r="A221" s="3113">
        <v>4.4000000000000004</v>
      </c>
      <c r="B221" s="3111">
        <v>0.92030000000000001</v>
      </c>
      <c r="C221" s="3111">
        <v>0.92030000000000001</v>
      </c>
      <c r="D221" s="3111">
        <v>0.90449999999999997</v>
      </c>
      <c r="E221" s="3111">
        <v>0.90449999999999997</v>
      </c>
      <c r="F221" s="3111">
        <v>0.90449999999999997</v>
      </c>
      <c r="G221" s="3111">
        <v>0.90449999999999997</v>
      </c>
      <c r="H221" s="3111">
        <v>0.90449999999999997</v>
      </c>
      <c r="I221" s="3111">
        <v>0.75460000000000005</v>
      </c>
      <c r="J221" s="3111">
        <v>0.75460000000000005</v>
      </c>
      <c r="K221" s="3111">
        <v>0.75460000000000005</v>
      </c>
      <c r="L221" s="3111">
        <v>0.75460000000000005</v>
      </c>
      <c r="M221" s="3112">
        <v>0.75460000000000005</v>
      </c>
    </row>
    <row r="222" spans="1:13">
      <c r="A222" s="3113">
        <v>4.5</v>
      </c>
      <c r="B222" s="3111">
        <v>0.91810000000000003</v>
      </c>
      <c r="C222" s="3111">
        <v>0.91810000000000003</v>
      </c>
      <c r="D222" s="3111">
        <v>0.90180000000000005</v>
      </c>
      <c r="E222" s="3111">
        <v>0.90180000000000005</v>
      </c>
      <c r="F222" s="3111">
        <v>0.90180000000000005</v>
      </c>
      <c r="G222" s="3111">
        <v>0.90180000000000005</v>
      </c>
      <c r="H222" s="3111">
        <v>0.90180000000000005</v>
      </c>
      <c r="I222" s="3111">
        <v>0.75129999999999997</v>
      </c>
      <c r="J222" s="3111">
        <v>0.75129999999999997</v>
      </c>
      <c r="K222" s="3111">
        <v>0.75129999999999997</v>
      </c>
      <c r="L222" s="3111">
        <v>0.75129999999999997</v>
      </c>
      <c r="M222" s="3112">
        <v>0.75129999999999997</v>
      </c>
    </row>
    <row r="223" spans="1:13">
      <c r="A223" s="3113">
        <v>4.5999999999999996</v>
      </c>
      <c r="B223" s="3111">
        <v>0.91600000000000004</v>
      </c>
      <c r="C223" s="3111">
        <v>0.91600000000000004</v>
      </c>
      <c r="D223" s="3111">
        <v>0.8992</v>
      </c>
      <c r="E223" s="3111">
        <v>0.8992</v>
      </c>
      <c r="F223" s="3111">
        <v>0.8992</v>
      </c>
      <c r="G223" s="3111">
        <v>0.8992</v>
      </c>
      <c r="H223" s="3111">
        <v>0.8992</v>
      </c>
      <c r="I223" s="3111">
        <v>0.748</v>
      </c>
      <c r="J223" s="3111">
        <v>0.748</v>
      </c>
      <c r="K223" s="3111">
        <v>0.748</v>
      </c>
      <c r="L223" s="3111">
        <v>0.748</v>
      </c>
      <c r="M223" s="3112">
        <v>0.748</v>
      </c>
    </row>
    <row r="224" spans="1:13">
      <c r="A224" s="3113">
        <v>4.7</v>
      </c>
      <c r="B224" s="3111">
        <v>0.91390000000000005</v>
      </c>
      <c r="C224" s="3111">
        <v>0.91390000000000005</v>
      </c>
      <c r="D224" s="3111">
        <v>0.89659999999999995</v>
      </c>
      <c r="E224" s="3111">
        <v>0.89659999999999995</v>
      </c>
      <c r="F224" s="3111">
        <v>0.89659999999999995</v>
      </c>
      <c r="G224" s="3111">
        <v>0.89659999999999995</v>
      </c>
      <c r="H224" s="3111">
        <v>0.89659999999999995</v>
      </c>
      <c r="I224" s="3111">
        <v>0.74480000000000002</v>
      </c>
      <c r="J224" s="3111">
        <v>0.74480000000000002</v>
      </c>
      <c r="K224" s="3111">
        <v>0.74480000000000002</v>
      </c>
      <c r="L224" s="3111">
        <v>0.74480000000000002</v>
      </c>
      <c r="M224" s="3112">
        <v>0.74480000000000002</v>
      </c>
    </row>
    <row r="225" spans="1:13">
      <c r="A225" s="3113">
        <v>4.8</v>
      </c>
      <c r="B225" s="3111">
        <v>0.91180000000000005</v>
      </c>
      <c r="C225" s="3111">
        <v>0.91180000000000005</v>
      </c>
      <c r="D225" s="3111">
        <v>0.89410000000000001</v>
      </c>
      <c r="E225" s="3111">
        <v>0.89410000000000001</v>
      </c>
      <c r="F225" s="3111">
        <v>0.89410000000000001</v>
      </c>
      <c r="G225" s="3111">
        <v>0.89410000000000001</v>
      </c>
      <c r="H225" s="3111">
        <v>0.89410000000000001</v>
      </c>
      <c r="I225" s="3111">
        <v>0.74160000000000004</v>
      </c>
      <c r="J225" s="3111">
        <v>0.74160000000000004</v>
      </c>
      <c r="K225" s="3111">
        <v>0.74160000000000004</v>
      </c>
      <c r="L225" s="3111">
        <v>0.74160000000000004</v>
      </c>
      <c r="M225" s="3112">
        <v>0.74160000000000004</v>
      </c>
    </row>
    <row r="226" spans="1:13">
      <c r="A226" s="3113">
        <v>4.9000000000000004</v>
      </c>
      <c r="B226" s="3111">
        <v>0.90980000000000005</v>
      </c>
      <c r="C226" s="3111">
        <v>0.90980000000000005</v>
      </c>
      <c r="D226" s="3111">
        <v>0.89159999999999995</v>
      </c>
      <c r="E226" s="3111">
        <v>0.89159999999999995</v>
      </c>
      <c r="F226" s="3111">
        <v>0.89159999999999995</v>
      </c>
      <c r="G226" s="3111">
        <v>0.89159999999999995</v>
      </c>
      <c r="H226" s="3111">
        <v>0.89159999999999995</v>
      </c>
      <c r="I226" s="3111">
        <v>0.73839999999999995</v>
      </c>
      <c r="J226" s="3111">
        <v>0.73839999999999995</v>
      </c>
      <c r="K226" s="3111">
        <v>0.73839999999999995</v>
      </c>
      <c r="L226" s="3111">
        <v>0.73839999999999995</v>
      </c>
      <c r="M226" s="3112">
        <v>0.73839999999999995</v>
      </c>
    </row>
    <row r="227" spans="1:13">
      <c r="A227" s="3113">
        <v>5</v>
      </c>
      <c r="B227" s="3111">
        <v>0.90780000000000005</v>
      </c>
      <c r="C227" s="3111">
        <v>0.90780000000000005</v>
      </c>
      <c r="D227" s="3111">
        <v>0.8891</v>
      </c>
      <c r="E227" s="3111">
        <v>0.8891</v>
      </c>
      <c r="F227" s="3111">
        <v>0.8891</v>
      </c>
      <c r="G227" s="3111">
        <v>0.8891</v>
      </c>
      <c r="H227" s="3111">
        <v>0.8891</v>
      </c>
      <c r="I227" s="3111">
        <v>0.73529999999999995</v>
      </c>
      <c r="J227" s="3111">
        <v>0.73529999999999995</v>
      </c>
      <c r="K227" s="3111">
        <v>0.73529999999999995</v>
      </c>
      <c r="L227" s="3111">
        <v>0.73529999999999995</v>
      </c>
      <c r="M227" s="3112">
        <v>0.73529999999999995</v>
      </c>
    </row>
    <row r="228" spans="1:13">
      <c r="A228" s="3110">
        <v>5.0999999999999996</v>
      </c>
      <c r="B228" s="3111">
        <v>0.90580000000000005</v>
      </c>
      <c r="C228" s="3111">
        <v>0.90580000000000005</v>
      </c>
      <c r="D228" s="3111">
        <v>0.88670000000000004</v>
      </c>
      <c r="E228" s="3111">
        <v>0.88670000000000004</v>
      </c>
      <c r="F228" s="3111">
        <v>0.88670000000000004</v>
      </c>
      <c r="G228" s="3111">
        <v>0.88670000000000004</v>
      </c>
      <c r="H228" s="3111">
        <v>0.88670000000000004</v>
      </c>
      <c r="I228" s="3111">
        <v>0.73219999999999996</v>
      </c>
      <c r="J228" s="3111">
        <v>0.73219999999999996</v>
      </c>
      <c r="K228" s="3111">
        <v>0.73219999999999996</v>
      </c>
      <c r="L228" s="3111">
        <v>0.73219999999999996</v>
      </c>
      <c r="M228" s="3112">
        <v>0.73219999999999996</v>
      </c>
    </row>
    <row r="229" spans="1:13">
      <c r="A229" s="3110">
        <v>5.2</v>
      </c>
      <c r="B229" s="3111">
        <v>0.90380000000000005</v>
      </c>
      <c r="C229" s="3111">
        <v>0.90380000000000005</v>
      </c>
      <c r="D229" s="3111">
        <v>0.88429999999999997</v>
      </c>
      <c r="E229" s="3111">
        <v>0.88429999999999997</v>
      </c>
      <c r="F229" s="3111">
        <v>0.88429999999999997</v>
      </c>
      <c r="G229" s="3111">
        <v>0.88429999999999997</v>
      </c>
      <c r="H229" s="3111">
        <v>0.88429999999999997</v>
      </c>
      <c r="I229" s="3111">
        <v>0.72909999999999997</v>
      </c>
      <c r="J229" s="3111">
        <v>0.72909999999999997</v>
      </c>
      <c r="K229" s="3111">
        <v>0.72909999999999997</v>
      </c>
      <c r="L229" s="3111">
        <v>0.72909999999999997</v>
      </c>
      <c r="M229" s="3112">
        <v>0.72909999999999997</v>
      </c>
    </row>
    <row r="230" spans="1:13">
      <c r="A230" s="3110">
        <v>5.3</v>
      </c>
      <c r="B230" s="3111">
        <v>0.90190000000000003</v>
      </c>
      <c r="C230" s="3111">
        <v>0.90190000000000003</v>
      </c>
      <c r="D230" s="3111">
        <v>0.88190000000000002</v>
      </c>
      <c r="E230" s="3111">
        <v>0.88190000000000002</v>
      </c>
      <c r="F230" s="3111">
        <v>0.88190000000000002</v>
      </c>
      <c r="G230" s="3111">
        <v>0.88190000000000002</v>
      </c>
      <c r="H230" s="3111">
        <v>0.88190000000000002</v>
      </c>
      <c r="I230" s="3111">
        <v>0.72609999999999997</v>
      </c>
      <c r="J230" s="3111">
        <v>0.72609999999999997</v>
      </c>
      <c r="K230" s="3111">
        <v>0.72609999999999997</v>
      </c>
      <c r="L230" s="3111">
        <v>0.72609999999999997</v>
      </c>
      <c r="M230" s="3112">
        <v>0.72609999999999997</v>
      </c>
    </row>
    <row r="231" spans="1:13">
      <c r="A231" s="3110">
        <v>5.4</v>
      </c>
      <c r="B231" s="3111">
        <v>0.9</v>
      </c>
      <c r="C231" s="3111">
        <v>0.9</v>
      </c>
      <c r="D231" s="3111">
        <v>0.87949999999999995</v>
      </c>
      <c r="E231" s="3111">
        <v>0.87949999999999995</v>
      </c>
      <c r="F231" s="3111">
        <v>0.87949999999999995</v>
      </c>
      <c r="G231" s="3111">
        <v>0.87949999999999995</v>
      </c>
      <c r="H231" s="3111">
        <v>0.87949999999999995</v>
      </c>
      <c r="I231" s="3111">
        <v>0.72309999999999997</v>
      </c>
      <c r="J231" s="3111">
        <v>0.72309999999999997</v>
      </c>
      <c r="K231" s="3111">
        <v>0.72309999999999997</v>
      </c>
      <c r="L231" s="3111">
        <v>0.72309999999999997</v>
      </c>
      <c r="M231" s="3112">
        <v>0.72309999999999997</v>
      </c>
    </row>
    <row r="232" spans="1:13">
      <c r="A232" s="3110">
        <v>5.5</v>
      </c>
      <c r="B232" s="3111">
        <v>0.89810000000000001</v>
      </c>
      <c r="C232" s="3111">
        <v>0.89810000000000001</v>
      </c>
      <c r="D232" s="3111">
        <v>0.87719999999999998</v>
      </c>
      <c r="E232" s="3111">
        <v>0.87719999999999998</v>
      </c>
      <c r="F232" s="3111">
        <v>0.87719999999999998</v>
      </c>
      <c r="G232" s="3111">
        <v>0.87719999999999998</v>
      </c>
      <c r="H232" s="3111">
        <v>0.87719999999999998</v>
      </c>
      <c r="I232" s="3111">
        <v>0.72009999999999996</v>
      </c>
      <c r="J232" s="3111">
        <v>0.72009999999999996</v>
      </c>
      <c r="K232" s="3111">
        <v>0.72009999999999996</v>
      </c>
      <c r="L232" s="3111">
        <v>0.72009999999999996</v>
      </c>
      <c r="M232" s="3112">
        <v>0.72009999999999996</v>
      </c>
    </row>
    <row r="233" spans="1:13">
      <c r="A233" s="3110">
        <v>5.6</v>
      </c>
      <c r="B233" s="3111">
        <v>0.8962</v>
      </c>
      <c r="C233" s="3111">
        <v>0.8962</v>
      </c>
      <c r="D233" s="3111">
        <v>0.87490000000000001</v>
      </c>
      <c r="E233" s="3111">
        <v>0.87490000000000001</v>
      </c>
      <c r="F233" s="3111">
        <v>0.87490000000000001</v>
      </c>
      <c r="G233" s="3111">
        <v>0.87490000000000001</v>
      </c>
      <c r="H233" s="3111">
        <v>0.87490000000000001</v>
      </c>
      <c r="I233" s="3111">
        <v>0.71709999999999996</v>
      </c>
      <c r="J233" s="3111">
        <v>0.71709999999999996</v>
      </c>
      <c r="K233" s="3111">
        <v>0.71709999999999996</v>
      </c>
      <c r="L233" s="3111">
        <v>0.71709999999999996</v>
      </c>
      <c r="M233" s="3112">
        <v>0.71709999999999996</v>
      </c>
    </row>
    <row r="234" spans="1:13">
      <c r="A234" s="3113">
        <v>5.7</v>
      </c>
      <c r="B234" s="3111">
        <v>0.89429999999999998</v>
      </c>
      <c r="C234" s="3111">
        <v>0.89429999999999998</v>
      </c>
      <c r="D234" s="3111">
        <v>0.87260000000000004</v>
      </c>
      <c r="E234" s="3111">
        <v>0.87260000000000004</v>
      </c>
      <c r="F234" s="3111">
        <v>0.87260000000000004</v>
      </c>
      <c r="G234" s="3111">
        <v>0.87260000000000004</v>
      </c>
      <c r="H234" s="3111">
        <v>0.87260000000000004</v>
      </c>
      <c r="I234" s="3111">
        <v>0.71419999999999995</v>
      </c>
      <c r="J234" s="3111">
        <v>0.71419999999999995</v>
      </c>
      <c r="K234" s="3111">
        <v>0.71419999999999995</v>
      </c>
      <c r="L234" s="3111">
        <v>0.71419999999999995</v>
      </c>
      <c r="M234" s="3112">
        <v>0.71419999999999995</v>
      </c>
    </row>
    <row r="235" spans="1:13">
      <c r="A235" s="3110">
        <v>5.8</v>
      </c>
      <c r="B235" s="3111">
        <v>0.89249999999999996</v>
      </c>
      <c r="C235" s="3111">
        <v>0.89249999999999996</v>
      </c>
      <c r="D235" s="3111">
        <v>0.87029999999999996</v>
      </c>
      <c r="E235" s="3111">
        <v>0.87029999999999996</v>
      </c>
      <c r="F235" s="3111">
        <v>0.87029999999999996</v>
      </c>
      <c r="G235" s="3111">
        <v>0.87029999999999996</v>
      </c>
      <c r="H235" s="3111">
        <v>0.87029999999999996</v>
      </c>
      <c r="I235" s="3111">
        <v>0.71130000000000004</v>
      </c>
      <c r="J235" s="3111">
        <v>0.71130000000000004</v>
      </c>
      <c r="K235" s="3111">
        <v>0.71130000000000004</v>
      </c>
      <c r="L235" s="3111">
        <v>0.71130000000000004</v>
      </c>
      <c r="M235" s="3112">
        <v>0.71130000000000004</v>
      </c>
    </row>
    <row r="236" spans="1:13">
      <c r="A236" s="3110">
        <v>5.9</v>
      </c>
      <c r="B236" s="3111">
        <v>0.89070000000000005</v>
      </c>
      <c r="C236" s="3111">
        <v>0.89070000000000005</v>
      </c>
      <c r="D236" s="3111">
        <v>0.86799999999999999</v>
      </c>
      <c r="E236" s="3111">
        <v>0.86799999999999999</v>
      </c>
      <c r="F236" s="3111">
        <v>0.86799999999999999</v>
      </c>
      <c r="G236" s="3111">
        <v>0.86799999999999999</v>
      </c>
      <c r="H236" s="3111">
        <v>0.86799999999999999</v>
      </c>
      <c r="I236" s="3111">
        <v>0.70840000000000003</v>
      </c>
      <c r="J236" s="3111">
        <v>0.70840000000000003</v>
      </c>
      <c r="K236" s="3111">
        <v>0.70840000000000003</v>
      </c>
      <c r="L236" s="3111">
        <v>0.70840000000000003</v>
      </c>
      <c r="M236" s="3112">
        <v>0.70840000000000003</v>
      </c>
    </row>
    <row r="237" spans="1:13">
      <c r="A237" s="3110">
        <v>6</v>
      </c>
      <c r="B237" s="3111">
        <v>0.88890000000000002</v>
      </c>
      <c r="C237" s="3111">
        <v>0.88890000000000002</v>
      </c>
      <c r="D237" s="3111">
        <v>0.86580000000000001</v>
      </c>
      <c r="E237" s="3111">
        <v>0.86580000000000001</v>
      </c>
      <c r="F237" s="3111">
        <v>0.86580000000000001</v>
      </c>
      <c r="G237" s="3111">
        <v>0.86580000000000001</v>
      </c>
      <c r="H237" s="3111">
        <v>0.86580000000000001</v>
      </c>
      <c r="I237" s="3111">
        <v>0.70550000000000002</v>
      </c>
      <c r="J237" s="3111">
        <v>0.70550000000000002</v>
      </c>
      <c r="K237" s="3111">
        <v>0.70550000000000002</v>
      </c>
      <c r="L237" s="3111">
        <v>0.70550000000000002</v>
      </c>
      <c r="M237" s="3112">
        <v>0.70550000000000002</v>
      </c>
    </row>
    <row r="238" spans="1:13">
      <c r="A238" s="3110">
        <v>6.1</v>
      </c>
      <c r="B238" s="3111">
        <v>0.8871</v>
      </c>
      <c r="C238" s="3111">
        <v>0.8871</v>
      </c>
      <c r="D238" s="3111">
        <v>0.86360000000000003</v>
      </c>
      <c r="E238" s="3111">
        <v>0.86360000000000003</v>
      </c>
      <c r="F238" s="3111">
        <v>0.86360000000000003</v>
      </c>
      <c r="G238" s="3111">
        <v>0.86360000000000003</v>
      </c>
      <c r="H238" s="3111">
        <v>0.86360000000000003</v>
      </c>
      <c r="I238" s="3111">
        <v>0.70269999999999999</v>
      </c>
      <c r="J238" s="3111">
        <v>0.70269999999999999</v>
      </c>
      <c r="K238" s="3111">
        <v>0.70269999999999999</v>
      </c>
      <c r="L238" s="3111">
        <v>0.70269999999999999</v>
      </c>
      <c r="M238" s="3112">
        <v>0.70269999999999999</v>
      </c>
    </row>
    <row r="239" spans="1:13">
      <c r="A239" s="3110">
        <v>6.2</v>
      </c>
      <c r="B239" s="3111">
        <v>0.88529999999999998</v>
      </c>
      <c r="C239" s="3111">
        <v>0.88529999999999998</v>
      </c>
      <c r="D239" s="3111">
        <v>0.86140000000000005</v>
      </c>
      <c r="E239" s="3111">
        <v>0.86140000000000005</v>
      </c>
      <c r="F239" s="3111">
        <v>0.86140000000000005</v>
      </c>
      <c r="G239" s="3111">
        <v>0.86140000000000005</v>
      </c>
      <c r="H239" s="3111">
        <v>0.86140000000000005</v>
      </c>
      <c r="I239" s="3111">
        <v>0.69989999999999997</v>
      </c>
      <c r="J239" s="3111">
        <v>0.69989999999999997</v>
      </c>
      <c r="K239" s="3111">
        <v>0.69989999999999997</v>
      </c>
      <c r="L239" s="3111">
        <v>0.69989999999999997</v>
      </c>
      <c r="M239" s="3112">
        <v>0.69989999999999997</v>
      </c>
    </row>
    <row r="240" spans="1:13">
      <c r="A240" s="3110">
        <v>6.3</v>
      </c>
      <c r="B240" s="3111">
        <v>0.88349999999999995</v>
      </c>
      <c r="C240" s="3111">
        <v>0.88349999999999995</v>
      </c>
      <c r="D240" s="3111">
        <v>0.85919999999999996</v>
      </c>
      <c r="E240" s="3111">
        <v>0.85919999999999996</v>
      </c>
      <c r="F240" s="3111">
        <v>0.85919999999999996</v>
      </c>
      <c r="G240" s="3111">
        <v>0.85919999999999996</v>
      </c>
      <c r="H240" s="3111">
        <v>0.85919999999999996</v>
      </c>
      <c r="I240" s="3111">
        <v>0.69710000000000005</v>
      </c>
      <c r="J240" s="3111">
        <v>0.69710000000000005</v>
      </c>
      <c r="K240" s="3111">
        <v>0.69710000000000005</v>
      </c>
      <c r="L240" s="3111">
        <v>0.69710000000000005</v>
      </c>
      <c r="M240" s="3112">
        <v>0.69710000000000005</v>
      </c>
    </row>
    <row r="241" spans="1:13">
      <c r="A241" s="3110">
        <v>6.4</v>
      </c>
      <c r="B241" s="3111">
        <v>0.88180000000000003</v>
      </c>
      <c r="C241" s="3111">
        <v>0.88180000000000003</v>
      </c>
      <c r="D241" s="3111">
        <v>0.85699999999999998</v>
      </c>
      <c r="E241" s="3111">
        <v>0.85699999999999998</v>
      </c>
      <c r="F241" s="3111">
        <v>0.85699999999999998</v>
      </c>
      <c r="G241" s="3111">
        <v>0.85699999999999998</v>
      </c>
      <c r="H241" s="3111">
        <v>0.85699999999999998</v>
      </c>
      <c r="I241" s="3111">
        <v>0.69430000000000003</v>
      </c>
      <c r="J241" s="3111">
        <v>0.69430000000000003</v>
      </c>
      <c r="K241" s="3111">
        <v>0.69430000000000003</v>
      </c>
      <c r="L241" s="3111">
        <v>0.69430000000000003</v>
      </c>
      <c r="M241" s="3112">
        <v>0.69430000000000003</v>
      </c>
    </row>
    <row r="242" spans="1:13">
      <c r="A242" s="3110">
        <v>6.5</v>
      </c>
      <c r="B242" s="3111">
        <v>0.88009999999999999</v>
      </c>
      <c r="C242" s="3111">
        <v>0.88009999999999999</v>
      </c>
      <c r="D242" s="3111">
        <v>0.85489999999999999</v>
      </c>
      <c r="E242" s="3111">
        <v>0.85489999999999999</v>
      </c>
      <c r="F242" s="3111">
        <v>0.85489999999999999</v>
      </c>
      <c r="G242" s="3111">
        <v>0.85489999999999999</v>
      </c>
      <c r="H242" s="3111">
        <v>0.85489999999999999</v>
      </c>
      <c r="I242" s="3111">
        <v>0.69159999999999999</v>
      </c>
      <c r="J242" s="3111">
        <v>0.69159999999999999</v>
      </c>
      <c r="K242" s="3111">
        <v>0.69159999999999999</v>
      </c>
      <c r="L242" s="3111">
        <v>0.69159999999999999</v>
      </c>
      <c r="M242" s="3112">
        <v>0.69159999999999999</v>
      </c>
    </row>
    <row r="243" spans="1:13">
      <c r="A243" s="3110">
        <v>6.6</v>
      </c>
      <c r="B243" s="3111">
        <v>0.87839999999999996</v>
      </c>
      <c r="C243" s="3111">
        <v>0.87839999999999996</v>
      </c>
      <c r="D243" s="3111">
        <v>0.8528</v>
      </c>
      <c r="E243" s="3111">
        <v>0.8528</v>
      </c>
      <c r="F243" s="3111">
        <v>0.8528</v>
      </c>
      <c r="G243" s="3111">
        <v>0.8528</v>
      </c>
      <c r="H243" s="3111">
        <v>0.8528</v>
      </c>
      <c r="I243" s="3111">
        <v>0.68889999999999996</v>
      </c>
      <c r="J243" s="3111">
        <v>0.68889999999999996</v>
      </c>
      <c r="K243" s="3111">
        <v>0.68889999999999996</v>
      </c>
      <c r="L243" s="3111">
        <v>0.68889999999999996</v>
      </c>
      <c r="M243" s="3112">
        <v>0.68889999999999996</v>
      </c>
    </row>
    <row r="244" spans="1:13">
      <c r="A244" s="3110">
        <v>6.7</v>
      </c>
      <c r="B244" s="3111">
        <v>0.87670000000000003</v>
      </c>
      <c r="C244" s="3111">
        <v>0.87670000000000003</v>
      </c>
      <c r="D244" s="3111">
        <v>0.85070000000000001</v>
      </c>
      <c r="E244" s="3111">
        <v>0.85070000000000001</v>
      </c>
      <c r="F244" s="3111">
        <v>0.85070000000000001</v>
      </c>
      <c r="G244" s="3111">
        <v>0.85070000000000001</v>
      </c>
      <c r="H244" s="3111">
        <v>0.85070000000000001</v>
      </c>
      <c r="I244" s="3111">
        <v>0.68620000000000003</v>
      </c>
      <c r="J244" s="3111">
        <v>0.68620000000000003</v>
      </c>
      <c r="K244" s="3111">
        <v>0.68620000000000003</v>
      </c>
      <c r="L244" s="3111">
        <v>0.68620000000000003</v>
      </c>
      <c r="M244" s="3112">
        <v>0.68620000000000003</v>
      </c>
    </row>
    <row r="245" spans="1:13">
      <c r="A245" s="3110">
        <v>6.8</v>
      </c>
      <c r="B245" s="3111">
        <v>0.875</v>
      </c>
      <c r="C245" s="3111">
        <v>0.875</v>
      </c>
      <c r="D245" s="3111">
        <v>0.84860000000000002</v>
      </c>
      <c r="E245" s="3111">
        <v>0.84860000000000002</v>
      </c>
      <c r="F245" s="3111">
        <v>0.84860000000000002</v>
      </c>
      <c r="G245" s="3111">
        <v>0.84860000000000002</v>
      </c>
      <c r="H245" s="3111">
        <v>0.84860000000000002</v>
      </c>
      <c r="I245" s="3111">
        <v>0.6835</v>
      </c>
      <c r="J245" s="3111">
        <v>0.6835</v>
      </c>
      <c r="K245" s="3111">
        <v>0.6835</v>
      </c>
      <c r="L245" s="3111">
        <v>0.6835</v>
      </c>
      <c r="M245" s="3112">
        <v>0.6835</v>
      </c>
    </row>
    <row r="246" spans="1:13">
      <c r="A246" s="3110">
        <v>6.9</v>
      </c>
      <c r="B246" s="3111">
        <v>0.87329999999999997</v>
      </c>
      <c r="C246" s="3111">
        <v>0.87329999999999997</v>
      </c>
      <c r="D246" s="3111">
        <v>0.84650000000000003</v>
      </c>
      <c r="E246" s="3111">
        <v>0.84650000000000003</v>
      </c>
      <c r="F246" s="3111">
        <v>0.84650000000000003</v>
      </c>
      <c r="G246" s="3111">
        <v>0.84650000000000003</v>
      </c>
      <c r="H246" s="3111">
        <v>0.84650000000000003</v>
      </c>
      <c r="I246" s="3111">
        <v>0.68089999999999995</v>
      </c>
      <c r="J246" s="3111">
        <v>0.68089999999999995</v>
      </c>
      <c r="K246" s="3111">
        <v>0.68089999999999995</v>
      </c>
      <c r="L246" s="3111">
        <v>0.68089999999999995</v>
      </c>
      <c r="M246" s="3112">
        <v>0.68089999999999995</v>
      </c>
    </row>
    <row r="247" spans="1:13">
      <c r="A247" s="3110">
        <v>7</v>
      </c>
      <c r="B247" s="3111">
        <v>0.87170000000000003</v>
      </c>
      <c r="C247" s="3111">
        <v>0.87170000000000003</v>
      </c>
      <c r="D247" s="3111">
        <v>0.84450000000000003</v>
      </c>
      <c r="E247" s="3111">
        <v>0.84450000000000003</v>
      </c>
      <c r="F247" s="3111">
        <v>0.84450000000000003</v>
      </c>
      <c r="G247" s="3111">
        <v>0.84450000000000003</v>
      </c>
      <c r="H247" s="3111">
        <v>0.84450000000000003</v>
      </c>
      <c r="I247" s="3111">
        <v>0.67830000000000001</v>
      </c>
      <c r="J247" s="3111">
        <v>0.67830000000000001</v>
      </c>
      <c r="K247" s="3111">
        <v>0.67830000000000001</v>
      </c>
      <c r="L247" s="3111">
        <v>0.67830000000000001</v>
      </c>
      <c r="M247" s="3112">
        <v>0.67830000000000001</v>
      </c>
    </row>
    <row r="248" spans="1:13">
      <c r="A248" s="3110">
        <v>7.1</v>
      </c>
      <c r="B248" s="3111">
        <v>0.87009999999999998</v>
      </c>
      <c r="C248" s="3111">
        <v>0.87009999999999998</v>
      </c>
      <c r="D248" s="3111">
        <v>0.84250000000000003</v>
      </c>
      <c r="E248" s="3111">
        <v>0.84250000000000003</v>
      </c>
      <c r="F248" s="3111">
        <v>0.84250000000000003</v>
      </c>
      <c r="G248" s="3111">
        <v>0.84250000000000003</v>
      </c>
      <c r="H248" s="3111">
        <v>0.84250000000000003</v>
      </c>
      <c r="I248" s="3111">
        <v>0.67569999999999997</v>
      </c>
      <c r="J248" s="3111">
        <v>0.67569999999999997</v>
      </c>
      <c r="K248" s="3111">
        <v>0.67569999999999997</v>
      </c>
      <c r="L248" s="3111">
        <v>0.67569999999999997</v>
      </c>
      <c r="M248" s="3112">
        <v>0.67569999999999997</v>
      </c>
    </row>
    <row r="249" spans="1:13">
      <c r="A249" s="3110">
        <v>7.2</v>
      </c>
      <c r="B249" s="3111">
        <v>0.86850000000000005</v>
      </c>
      <c r="C249" s="3111">
        <v>0.86850000000000005</v>
      </c>
      <c r="D249" s="3111">
        <v>0.84050000000000002</v>
      </c>
      <c r="E249" s="3111">
        <v>0.84050000000000002</v>
      </c>
      <c r="F249" s="3111">
        <v>0.84050000000000002</v>
      </c>
      <c r="G249" s="3111">
        <v>0.84050000000000002</v>
      </c>
      <c r="H249" s="3111">
        <v>0.84050000000000002</v>
      </c>
      <c r="I249" s="3111">
        <v>0.67310000000000003</v>
      </c>
      <c r="J249" s="3111">
        <v>0.67310000000000003</v>
      </c>
      <c r="K249" s="3111">
        <v>0.67310000000000003</v>
      </c>
      <c r="L249" s="3111">
        <v>0.67310000000000003</v>
      </c>
      <c r="M249" s="3112">
        <v>0.67310000000000003</v>
      </c>
    </row>
    <row r="250" spans="1:13">
      <c r="A250" s="3110">
        <v>7.3</v>
      </c>
      <c r="B250" s="3111">
        <v>0.8669</v>
      </c>
      <c r="C250" s="3111">
        <v>0.8669</v>
      </c>
      <c r="D250" s="3111">
        <v>0.83850000000000002</v>
      </c>
      <c r="E250" s="3111">
        <v>0.83850000000000002</v>
      </c>
      <c r="F250" s="3111">
        <v>0.83850000000000002</v>
      </c>
      <c r="G250" s="3111">
        <v>0.83850000000000002</v>
      </c>
      <c r="H250" s="3111">
        <v>0.83850000000000002</v>
      </c>
      <c r="I250" s="3111">
        <v>0.67059999999999997</v>
      </c>
      <c r="J250" s="3111">
        <v>0.67059999999999997</v>
      </c>
      <c r="K250" s="3111">
        <v>0.67059999999999997</v>
      </c>
      <c r="L250" s="3111">
        <v>0.67059999999999997</v>
      </c>
      <c r="M250" s="3112">
        <v>0.67059999999999997</v>
      </c>
    </row>
    <row r="251" spans="1:13">
      <c r="A251" s="3110">
        <v>7.4</v>
      </c>
      <c r="B251" s="3111">
        <v>0.86529999999999996</v>
      </c>
      <c r="C251" s="3111">
        <v>0.86529999999999996</v>
      </c>
      <c r="D251" s="3111">
        <v>0.83650000000000002</v>
      </c>
      <c r="E251" s="3111">
        <v>0.83650000000000002</v>
      </c>
      <c r="F251" s="3111">
        <v>0.83650000000000002</v>
      </c>
      <c r="G251" s="3111">
        <v>0.83650000000000002</v>
      </c>
      <c r="H251" s="3111">
        <v>0.83650000000000002</v>
      </c>
      <c r="I251" s="3111">
        <v>0.66810000000000003</v>
      </c>
      <c r="J251" s="3111">
        <v>0.66810000000000003</v>
      </c>
      <c r="K251" s="3111">
        <v>0.66810000000000003</v>
      </c>
      <c r="L251" s="3111">
        <v>0.66810000000000003</v>
      </c>
      <c r="M251" s="3112">
        <v>0.66810000000000003</v>
      </c>
    </row>
    <row r="252" spans="1:13">
      <c r="A252" s="3110">
        <v>7.5</v>
      </c>
      <c r="B252" s="3111">
        <v>0.86370000000000002</v>
      </c>
      <c r="C252" s="3111">
        <v>0.86370000000000002</v>
      </c>
      <c r="D252" s="3111">
        <v>0.83460000000000001</v>
      </c>
      <c r="E252" s="3111">
        <v>0.83460000000000001</v>
      </c>
      <c r="F252" s="3111">
        <v>0.83460000000000001</v>
      </c>
      <c r="G252" s="3111">
        <v>0.83460000000000001</v>
      </c>
      <c r="H252" s="3111">
        <v>0.83460000000000001</v>
      </c>
      <c r="I252" s="3111">
        <v>0.66559999999999997</v>
      </c>
      <c r="J252" s="3111">
        <v>0.66559999999999997</v>
      </c>
      <c r="K252" s="3111">
        <v>0.66559999999999997</v>
      </c>
      <c r="L252" s="3111">
        <v>0.66559999999999997</v>
      </c>
      <c r="M252" s="3112">
        <v>0.66559999999999997</v>
      </c>
    </row>
    <row r="253" spans="1:13">
      <c r="A253" s="3110">
        <v>7.6</v>
      </c>
      <c r="B253" s="3111">
        <v>0.86219999999999997</v>
      </c>
      <c r="C253" s="3111">
        <v>0.86219999999999997</v>
      </c>
      <c r="D253" s="3111">
        <v>0.8327</v>
      </c>
      <c r="E253" s="3111">
        <v>0.8327</v>
      </c>
      <c r="F253" s="3111">
        <v>0.8327</v>
      </c>
      <c r="G253" s="3111">
        <v>0.8327</v>
      </c>
      <c r="H253" s="3111">
        <v>0.8327</v>
      </c>
      <c r="I253" s="3111">
        <v>0.66310000000000002</v>
      </c>
      <c r="J253" s="3111">
        <v>0.66310000000000002</v>
      </c>
      <c r="K253" s="3111">
        <v>0.66310000000000002</v>
      </c>
      <c r="L253" s="3111">
        <v>0.66310000000000002</v>
      </c>
      <c r="M253" s="3112">
        <v>0.66310000000000002</v>
      </c>
    </row>
    <row r="254" spans="1:13">
      <c r="A254" s="3110">
        <v>7.7</v>
      </c>
      <c r="B254" s="3111">
        <v>0.86070000000000002</v>
      </c>
      <c r="C254" s="3111">
        <v>0.86070000000000002</v>
      </c>
      <c r="D254" s="3111">
        <v>0.83079999999999998</v>
      </c>
      <c r="E254" s="3111">
        <v>0.83079999999999998</v>
      </c>
      <c r="F254" s="3111">
        <v>0.83079999999999998</v>
      </c>
      <c r="G254" s="3111">
        <v>0.83079999999999998</v>
      </c>
      <c r="H254" s="3111">
        <v>0.83079999999999998</v>
      </c>
      <c r="I254" s="3111">
        <v>0.66069999999999995</v>
      </c>
      <c r="J254" s="3111">
        <v>0.66069999999999995</v>
      </c>
      <c r="K254" s="3111">
        <v>0.66069999999999995</v>
      </c>
      <c r="L254" s="3111">
        <v>0.66069999999999995</v>
      </c>
      <c r="M254" s="3112">
        <v>0.66069999999999995</v>
      </c>
    </row>
    <row r="255" spans="1:13">
      <c r="A255" s="3110">
        <v>7.8</v>
      </c>
      <c r="B255" s="3111">
        <v>0.85919999999999996</v>
      </c>
      <c r="C255" s="3111">
        <v>0.85919999999999996</v>
      </c>
      <c r="D255" s="3111">
        <v>0.82889999999999997</v>
      </c>
      <c r="E255" s="3111">
        <v>0.82889999999999997</v>
      </c>
      <c r="F255" s="3111">
        <v>0.82889999999999997</v>
      </c>
      <c r="G255" s="3111">
        <v>0.82889999999999997</v>
      </c>
      <c r="H255" s="3111">
        <v>0.82889999999999997</v>
      </c>
      <c r="I255" s="3111">
        <v>0.6583</v>
      </c>
      <c r="J255" s="3111">
        <v>0.6583</v>
      </c>
      <c r="K255" s="3111">
        <v>0.6583</v>
      </c>
      <c r="L255" s="3111">
        <v>0.6583</v>
      </c>
      <c r="M255" s="3112">
        <v>0.6583</v>
      </c>
    </row>
    <row r="256" spans="1:13">
      <c r="A256" s="3110">
        <v>7.9</v>
      </c>
      <c r="B256" s="3111">
        <v>0.85770000000000002</v>
      </c>
      <c r="C256" s="3111">
        <v>0.85770000000000002</v>
      </c>
      <c r="D256" s="3111">
        <v>0.82699999999999996</v>
      </c>
      <c r="E256" s="3111">
        <v>0.82699999999999996</v>
      </c>
      <c r="F256" s="3111">
        <v>0.82699999999999996</v>
      </c>
      <c r="G256" s="3111">
        <v>0.82699999999999996</v>
      </c>
      <c r="H256" s="3111">
        <v>0.82699999999999996</v>
      </c>
      <c r="I256" s="3111">
        <v>0.65590000000000004</v>
      </c>
      <c r="J256" s="3111">
        <v>0.65590000000000004</v>
      </c>
      <c r="K256" s="3111">
        <v>0.65590000000000004</v>
      </c>
      <c r="L256" s="3111">
        <v>0.65590000000000004</v>
      </c>
      <c r="M256" s="3112">
        <v>0.65590000000000004</v>
      </c>
    </row>
    <row r="257" spans="1:13">
      <c r="A257" s="3110">
        <v>8</v>
      </c>
      <c r="B257" s="3111">
        <v>0.85619999999999996</v>
      </c>
      <c r="C257" s="3111">
        <v>0.85619999999999996</v>
      </c>
      <c r="D257" s="3111">
        <v>0.82509999999999994</v>
      </c>
      <c r="E257" s="3111">
        <v>0.82509999999999994</v>
      </c>
      <c r="F257" s="3111">
        <v>0.82509999999999994</v>
      </c>
      <c r="G257" s="3111">
        <v>0.82509999999999994</v>
      </c>
      <c r="H257" s="3111">
        <v>0.82509999999999994</v>
      </c>
      <c r="I257" s="3111">
        <v>0.65349999999999997</v>
      </c>
      <c r="J257" s="3111">
        <v>0.65349999999999997</v>
      </c>
      <c r="K257" s="3111">
        <v>0.65349999999999997</v>
      </c>
      <c r="L257" s="3111">
        <v>0.65349999999999997</v>
      </c>
      <c r="M257" s="3112">
        <v>0.65349999999999997</v>
      </c>
    </row>
    <row r="258" spans="1:13">
      <c r="A258" s="3110">
        <v>8.1</v>
      </c>
      <c r="B258" s="3111">
        <v>0.85470000000000002</v>
      </c>
      <c r="C258" s="3111">
        <v>0.85470000000000002</v>
      </c>
      <c r="D258" s="3111">
        <v>0.82330000000000003</v>
      </c>
      <c r="E258" s="3111">
        <v>0.82330000000000003</v>
      </c>
      <c r="F258" s="3111">
        <v>0.82330000000000003</v>
      </c>
      <c r="G258" s="3111">
        <v>0.82330000000000003</v>
      </c>
      <c r="H258" s="3111">
        <v>0.82330000000000003</v>
      </c>
      <c r="I258" s="3111">
        <v>0.6512</v>
      </c>
      <c r="J258" s="3111">
        <v>0.6512</v>
      </c>
      <c r="K258" s="3111">
        <v>0.6512</v>
      </c>
      <c r="L258" s="3111">
        <v>0.6512</v>
      </c>
      <c r="M258" s="3112">
        <v>0.6512</v>
      </c>
    </row>
    <row r="259" spans="1:13">
      <c r="A259" s="3110">
        <v>8.1999999999999993</v>
      </c>
      <c r="B259" s="3111">
        <v>0.85329999999999995</v>
      </c>
      <c r="C259" s="3111">
        <v>0.85329999999999995</v>
      </c>
      <c r="D259" s="3111">
        <v>0.82150000000000001</v>
      </c>
      <c r="E259" s="3111">
        <v>0.82150000000000001</v>
      </c>
      <c r="F259" s="3111">
        <v>0.82150000000000001</v>
      </c>
      <c r="G259" s="3111">
        <v>0.82150000000000001</v>
      </c>
      <c r="H259" s="3111">
        <v>0.82150000000000001</v>
      </c>
      <c r="I259" s="3111">
        <v>0.64890000000000003</v>
      </c>
      <c r="J259" s="3111">
        <v>0.64890000000000003</v>
      </c>
      <c r="K259" s="3111">
        <v>0.64890000000000003</v>
      </c>
      <c r="L259" s="3111">
        <v>0.64890000000000003</v>
      </c>
      <c r="M259" s="3112">
        <v>0.64890000000000003</v>
      </c>
    </row>
    <row r="260" spans="1:13">
      <c r="A260" s="3110">
        <v>8.3000000000000007</v>
      </c>
      <c r="B260" s="3111">
        <v>0.85189999999999999</v>
      </c>
      <c r="C260" s="3111">
        <v>0.85189999999999999</v>
      </c>
      <c r="D260" s="3111">
        <v>0.81969999999999998</v>
      </c>
      <c r="E260" s="3111">
        <v>0.81969999999999998</v>
      </c>
      <c r="F260" s="3111">
        <v>0.81969999999999998</v>
      </c>
      <c r="G260" s="3111">
        <v>0.81969999999999998</v>
      </c>
      <c r="H260" s="3111">
        <v>0.81969999999999998</v>
      </c>
      <c r="I260" s="3111">
        <v>0.64659999999999995</v>
      </c>
      <c r="J260" s="3111">
        <v>0.64659999999999995</v>
      </c>
      <c r="K260" s="3111">
        <v>0.64659999999999995</v>
      </c>
      <c r="L260" s="3111">
        <v>0.64659999999999995</v>
      </c>
      <c r="M260" s="3112">
        <v>0.64659999999999995</v>
      </c>
    </row>
    <row r="261" spans="1:13">
      <c r="A261" s="3110">
        <v>8.4</v>
      </c>
      <c r="B261" s="3111">
        <v>0.85050000000000003</v>
      </c>
      <c r="C261" s="3111">
        <v>0.85050000000000003</v>
      </c>
      <c r="D261" s="3111">
        <v>0.81789999999999996</v>
      </c>
      <c r="E261" s="3111">
        <v>0.81789999999999996</v>
      </c>
      <c r="F261" s="3111">
        <v>0.81789999999999996</v>
      </c>
      <c r="G261" s="3111">
        <v>0.81789999999999996</v>
      </c>
      <c r="H261" s="3111">
        <v>0.81789999999999996</v>
      </c>
      <c r="I261" s="3111">
        <v>0.64429999999999998</v>
      </c>
      <c r="J261" s="3111">
        <v>0.64429999999999998</v>
      </c>
      <c r="K261" s="3111">
        <v>0.64429999999999998</v>
      </c>
      <c r="L261" s="3111">
        <v>0.64429999999999998</v>
      </c>
      <c r="M261" s="3112">
        <v>0.64429999999999998</v>
      </c>
    </row>
    <row r="262" spans="1:13">
      <c r="A262" s="3110">
        <v>8.5</v>
      </c>
      <c r="B262" s="3111">
        <v>0.84909999999999997</v>
      </c>
      <c r="C262" s="3111">
        <v>0.84909999999999997</v>
      </c>
      <c r="D262" s="3111">
        <v>0.81610000000000005</v>
      </c>
      <c r="E262" s="3111">
        <v>0.81610000000000005</v>
      </c>
      <c r="F262" s="3111">
        <v>0.81610000000000005</v>
      </c>
      <c r="G262" s="3111">
        <v>0.81610000000000005</v>
      </c>
      <c r="H262" s="3111">
        <v>0.81610000000000005</v>
      </c>
      <c r="I262" s="3111">
        <v>0.6421</v>
      </c>
      <c r="J262" s="3111">
        <v>0.6421</v>
      </c>
      <c r="K262" s="3111">
        <v>0.6421</v>
      </c>
      <c r="L262" s="3111">
        <v>0.6421</v>
      </c>
      <c r="M262" s="3112">
        <v>0.6421</v>
      </c>
    </row>
    <row r="263" spans="1:13">
      <c r="A263" s="3110">
        <v>8.6</v>
      </c>
      <c r="B263" s="3111">
        <v>0.84770000000000001</v>
      </c>
      <c r="C263" s="3111">
        <v>0.84770000000000001</v>
      </c>
      <c r="D263" s="3111">
        <v>0.81440000000000001</v>
      </c>
      <c r="E263" s="3111">
        <v>0.81440000000000001</v>
      </c>
      <c r="F263" s="3111">
        <v>0.81440000000000001</v>
      </c>
      <c r="G263" s="3111">
        <v>0.81440000000000001</v>
      </c>
      <c r="H263" s="3111">
        <v>0.81440000000000001</v>
      </c>
      <c r="I263" s="3111">
        <v>0.63990000000000002</v>
      </c>
      <c r="J263" s="3111">
        <v>0.63990000000000002</v>
      </c>
      <c r="K263" s="3111">
        <v>0.63990000000000002</v>
      </c>
      <c r="L263" s="3111">
        <v>0.63990000000000002</v>
      </c>
      <c r="M263" s="3112">
        <v>0.63990000000000002</v>
      </c>
    </row>
    <row r="264" spans="1:13">
      <c r="A264" s="3110">
        <v>8.6999999999999993</v>
      </c>
      <c r="B264" s="3111">
        <v>0.84630000000000005</v>
      </c>
      <c r="C264" s="3111">
        <v>0.84630000000000005</v>
      </c>
      <c r="D264" s="3111">
        <v>0.81269999999999998</v>
      </c>
      <c r="E264" s="3111">
        <v>0.81269999999999998</v>
      </c>
      <c r="F264" s="3111">
        <v>0.81269999999999998</v>
      </c>
      <c r="G264" s="3111">
        <v>0.81269999999999998</v>
      </c>
      <c r="H264" s="3111">
        <v>0.81269999999999998</v>
      </c>
      <c r="I264" s="3111">
        <v>0.63770000000000004</v>
      </c>
      <c r="J264" s="3111">
        <v>0.63770000000000004</v>
      </c>
      <c r="K264" s="3111">
        <v>0.63770000000000004</v>
      </c>
      <c r="L264" s="3111">
        <v>0.63770000000000004</v>
      </c>
      <c r="M264" s="3112">
        <v>0.63770000000000004</v>
      </c>
    </row>
    <row r="265" spans="1:13">
      <c r="A265" s="3110">
        <v>8.8000000000000007</v>
      </c>
      <c r="B265" s="3111">
        <v>0.84489999999999998</v>
      </c>
      <c r="C265" s="3111">
        <v>0.84489999999999998</v>
      </c>
      <c r="D265" s="3111">
        <v>0.81100000000000005</v>
      </c>
      <c r="E265" s="3111">
        <v>0.81100000000000005</v>
      </c>
      <c r="F265" s="3111">
        <v>0.81100000000000005</v>
      </c>
      <c r="G265" s="3111">
        <v>0.81100000000000005</v>
      </c>
      <c r="H265" s="3111">
        <v>0.81100000000000005</v>
      </c>
      <c r="I265" s="3111">
        <v>0.63549999999999995</v>
      </c>
      <c r="J265" s="3111">
        <v>0.63549999999999995</v>
      </c>
      <c r="K265" s="3111">
        <v>0.63549999999999995</v>
      </c>
      <c r="L265" s="3111">
        <v>0.63549999999999995</v>
      </c>
      <c r="M265" s="3112">
        <v>0.63549999999999995</v>
      </c>
    </row>
    <row r="266" spans="1:13">
      <c r="A266" s="3110">
        <v>8.9</v>
      </c>
      <c r="B266" s="3111">
        <v>0.84360000000000002</v>
      </c>
      <c r="C266" s="3111">
        <v>0.84360000000000002</v>
      </c>
      <c r="D266" s="3111">
        <v>0.80930000000000002</v>
      </c>
      <c r="E266" s="3111">
        <v>0.80930000000000002</v>
      </c>
      <c r="F266" s="3111">
        <v>0.80930000000000002</v>
      </c>
      <c r="G266" s="3111">
        <v>0.80930000000000002</v>
      </c>
      <c r="H266" s="3111">
        <v>0.80930000000000002</v>
      </c>
      <c r="I266" s="3111">
        <v>0.63339999999999996</v>
      </c>
      <c r="J266" s="3111">
        <v>0.63339999999999996</v>
      </c>
      <c r="K266" s="3111">
        <v>0.63339999999999996</v>
      </c>
      <c r="L266" s="3111">
        <v>0.63339999999999996</v>
      </c>
      <c r="M266" s="3112">
        <v>0.63339999999999996</v>
      </c>
    </row>
    <row r="267" spans="1:13">
      <c r="A267" s="3113">
        <v>9</v>
      </c>
      <c r="B267" s="3111">
        <v>0.84230000000000005</v>
      </c>
      <c r="C267" s="3111">
        <v>0.84230000000000005</v>
      </c>
      <c r="D267" s="3111">
        <v>0.80759999999999998</v>
      </c>
      <c r="E267" s="3111">
        <v>0.80759999999999998</v>
      </c>
      <c r="F267" s="3111">
        <v>0.80759999999999998</v>
      </c>
      <c r="G267" s="3111">
        <v>0.80759999999999998</v>
      </c>
      <c r="H267" s="3111">
        <v>0.80759999999999998</v>
      </c>
      <c r="I267" s="3111">
        <v>0.63129999999999997</v>
      </c>
      <c r="J267" s="3111">
        <v>0.63129999999999997</v>
      </c>
      <c r="K267" s="3111">
        <v>0.63129999999999997</v>
      </c>
      <c r="L267" s="3111">
        <v>0.63129999999999997</v>
      </c>
      <c r="M267" s="3112">
        <v>0.63129999999999997</v>
      </c>
    </row>
    <row r="268" spans="1:13">
      <c r="A268" s="3113">
        <v>9.1</v>
      </c>
      <c r="B268" s="3111">
        <v>0.84099999999999997</v>
      </c>
      <c r="C268" s="3111">
        <v>0.84099999999999997</v>
      </c>
      <c r="D268" s="3111">
        <v>0.80600000000000005</v>
      </c>
      <c r="E268" s="3111">
        <v>0.80600000000000005</v>
      </c>
      <c r="F268" s="3111">
        <v>0.80600000000000005</v>
      </c>
      <c r="G268" s="3111">
        <v>0.80600000000000005</v>
      </c>
      <c r="H268" s="3111">
        <v>0.80600000000000005</v>
      </c>
      <c r="I268" s="3111">
        <v>0.62919999999999998</v>
      </c>
      <c r="J268" s="3111">
        <v>0.62919999999999998</v>
      </c>
      <c r="K268" s="3111">
        <v>0.62919999999999998</v>
      </c>
      <c r="L268" s="3111">
        <v>0.62919999999999998</v>
      </c>
      <c r="M268" s="3112">
        <v>0.62919999999999998</v>
      </c>
    </row>
    <row r="269" spans="1:13">
      <c r="A269" s="3113">
        <v>9.1999999999999993</v>
      </c>
      <c r="B269" s="3111">
        <v>0.8397</v>
      </c>
      <c r="C269" s="3111">
        <v>0.8397</v>
      </c>
      <c r="D269" s="3111">
        <v>0.8044</v>
      </c>
      <c r="E269" s="3111">
        <v>0.8044</v>
      </c>
      <c r="F269" s="3111">
        <v>0.8044</v>
      </c>
      <c r="G269" s="3111">
        <v>0.8044</v>
      </c>
      <c r="H269" s="3111">
        <v>0.8044</v>
      </c>
      <c r="I269" s="3111">
        <v>0.62709999999999999</v>
      </c>
      <c r="J269" s="3111">
        <v>0.62709999999999999</v>
      </c>
      <c r="K269" s="3111">
        <v>0.62709999999999999</v>
      </c>
      <c r="L269" s="3111">
        <v>0.62709999999999999</v>
      </c>
      <c r="M269" s="3112">
        <v>0.62709999999999999</v>
      </c>
    </row>
    <row r="270" spans="1:13">
      <c r="A270" s="3113">
        <v>9.3000000000000007</v>
      </c>
      <c r="B270" s="3111">
        <v>0.83840000000000003</v>
      </c>
      <c r="C270" s="3111">
        <v>0.83840000000000003</v>
      </c>
      <c r="D270" s="3111">
        <v>0.80279999999999996</v>
      </c>
      <c r="E270" s="3111">
        <v>0.80279999999999996</v>
      </c>
      <c r="F270" s="3111">
        <v>0.80279999999999996</v>
      </c>
      <c r="G270" s="3111">
        <v>0.80279999999999996</v>
      </c>
      <c r="H270" s="3111">
        <v>0.80279999999999996</v>
      </c>
      <c r="I270" s="3111">
        <v>0.62509999999999999</v>
      </c>
      <c r="J270" s="3111">
        <v>0.62509999999999999</v>
      </c>
      <c r="K270" s="3111">
        <v>0.62509999999999999</v>
      </c>
      <c r="L270" s="3111">
        <v>0.62509999999999999</v>
      </c>
      <c r="M270" s="3112">
        <v>0.62509999999999999</v>
      </c>
    </row>
    <row r="271" spans="1:13">
      <c r="A271" s="3113">
        <v>9.4</v>
      </c>
      <c r="B271" s="3111">
        <v>0.83709999999999996</v>
      </c>
      <c r="C271" s="3111">
        <v>0.83709999999999996</v>
      </c>
      <c r="D271" s="3111">
        <v>0.80120000000000002</v>
      </c>
      <c r="E271" s="3111">
        <v>0.80120000000000002</v>
      </c>
      <c r="F271" s="3111">
        <v>0.80120000000000002</v>
      </c>
      <c r="G271" s="3111">
        <v>0.80120000000000002</v>
      </c>
      <c r="H271" s="3111">
        <v>0.80120000000000002</v>
      </c>
      <c r="I271" s="3111">
        <v>0.62309999999999999</v>
      </c>
      <c r="J271" s="3111">
        <v>0.62309999999999999</v>
      </c>
      <c r="K271" s="3111">
        <v>0.62309999999999999</v>
      </c>
      <c r="L271" s="3111">
        <v>0.62309999999999999</v>
      </c>
      <c r="M271" s="3112">
        <v>0.62309999999999999</v>
      </c>
    </row>
    <row r="272" spans="1:13">
      <c r="A272" s="3113">
        <v>9.5</v>
      </c>
      <c r="B272" s="3111">
        <v>0.83579999999999999</v>
      </c>
      <c r="C272" s="3111">
        <v>0.83579999999999999</v>
      </c>
      <c r="D272" s="3111">
        <v>0.79959999999999998</v>
      </c>
      <c r="E272" s="3111">
        <v>0.79959999999999998</v>
      </c>
      <c r="F272" s="3111">
        <v>0.79959999999999998</v>
      </c>
      <c r="G272" s="3111">
        <v>0.79959999999999998</v>
      </c>
      <c r="H272" s="3111">
        <v>0.79959999999999998</v>
      </c>
      <c r="I272" s="3111">
        <v>0.62109999999999999</v>
      </c>
      <c r="J272" s="3111">
        <v>0.62109999999999999</v>
      </c>
      <c r="K272" s="3111">
        <v>0.62109999999999999</v>
      </c>
      <c r="L272" s="3111">
        <v>0.62109999999999999</v>
      </c>
      <c r="M272" s="3112">
        <v>0.62109999999999999</v>
      </c>
    </row>
    <row r="273" spans="1:21">
      <c r="A273" s="3113">
        <v>9.6</v>
      </c>
      <c r="B273" s="3111">
        <v>0.83460000000000001</v>
      </c>
      <c r="C273" s="3111">
        <v>0.83460000000000001</v>
      </c>
      <c r="D273" s="3111">
        <v>0.79800000000000004</v>
      </c>
      <c r="E273" s="3111">
        <v>0.79800000000000004</v>
      </c>
      <c r="F273" s="3111">
        <v>0.79800000000000004</v>
      </c>
      <c r="G273" s="3111">
        <v>0.79800000000000004</v>
      </c>
      <c r="H273" s="3111">
        <v>0.79800000000000004</v>
      </c>
      <c r="I273" s="3111">
        <v>0.61909999999999998</v>
      </c>
      <c r="J273" s="3111">
        <v>0.61909999999999998</v>
      </c>
      <c r="K273" s="3111">
        <v>0.61909999999999998</v>
      </c>
      <c r="L273" s="3111">
        <v>0.61909999999999998</v>
      </c>
      <c r="M273" s="3112">
        <v>0.61909999999999998</v>
      </c>
    </row>
    <row r="274" spans="1:21">
      <c r="A274" s="3113">
        <v>9.6999999999999993</v>
      </c>
      <c r="B274" s="3111">
        <v>0.83340000000000003</v>
      </c>
      <c r="C274" s="3111">
        <v>0.83340000000000003</v>
      </c>
      <c r="D274" s="3111">
        <v>0.79649999999999999</v>
      </c>
      <c r="E274" s="3111">
        <v>0.79649999999999999</v>
      </c>
      <c r="F274" s="3111">
        <v>0.79649999999999999</v>
      </c>
      <c r="G274" s="3111">
        <v>0.79649999999999999</v>
      </c>
      <c r="H274" s="3111">
        <v>0.79649999999999999</v>
      </c>
      <c r="I274" s="3111">
        <v>0.61719999999999997</v>
      </c>
      <c r="J274" s="3111">
        <v>0.61719999999999997</v>
      </c>
      <c r="K274" s="3111">
        <v>0.61719999999999997</v>
      </c>
      <c r="L274" s="3111">
        <v>0.61719999999999997</v>
      </c>
      <c r="M274" s="3112">
        <v>0.61719999999999997</v>
      </c>
    </row>
    <row r="275" spans="1:21">
      <c r="A275" s="3113">
        <v>9.8000000000000007</v>
      </c>
      <c r="B275" s="3111">
        <v>0.83220000000000005</v>
      </c>
      <c r="C275" s="3111">
        <v>0.83220000000000005</v>
      </c>
      <c r="D275" s="3111">
        <v>0.79500000000000004</v>
      </c>
      <c r="E275" s="3111">
        <v>0.79500000000000004</v>
      </c>
      <c r="F275" s="3111">
        <v>0.79500000000000004</v>
      </c>
      <c r="G275" s="3111">
        <v>0.79500000000000004</v>
      </c>
      <c r="H275" s="3111">
        <v>0.79500000000000004</v>
      </c>
      <c r="I275" s="3111">
        <v>0.61529999999999996</v>
      </c>
      <c r="J275" s="3111">
        <v>0.61529999999999996</v>
      </c>
      <c r="K275" s="3111">
        <v>0.61529999999999996</v>
      </c>
      <c r="L275" s="3111">
        <v>0.61529999999999996</v>
      </c>
      <c r="M275" s="3112">
        <v>0.61529999999999996</v>
      </c>
    </row>
    <row r="276" spans="1:21" ht="14.25" thickBot="1">
      <c r="A276" s="3114">
        <v>9.9</v>
      </c>
      <c r="B276" s="3115">
        <v>0.83099999999999996</v>
      </c>
      <c r="C276" s="3115">
        <v>0.83099999999999996</v>
      </c>
      <c r="D276" s="3115">
        <v>0.79349999999999998</v>
      </c>
      <c r="E276" s="3115">
        <v>0.79349999999999998</v>
      </c>
      <c r="F276" s="3115">
        <v>0.79349999999999998</v>
      </c>
      <c r="G276" s="3115">
        <v>0.79349999999999998</v>
      </c>
      <c r="H276" s="3115">
        <v>0.79349999999999998</v>
      </c>
      <c r="I276" s="3115">
        <v>0.61339999999999995</v>
      </c>
      <c r="J276" s="3115">
        <v>0.61339999999999995</v>
      </c>
      <c r="K276" s="3115">
        <v>0.61339999999999995</v>
      </c>
      <c r="L276" s="3115">
        <v>0.61339999999999995</v>
      </c>
      <c r="M276" s="3116">
        <v>0.61339999999999995</v>
      </c>
    </row>
    <row r="277" spans="1:21" ht="15" thickBot="1">
      <c r="A277" s="3104" t="s">
        <v>2786</v>
      </c>
      <c r="B277" s="3104"/>
      <c r="C277" s="3104"/>
      <c r="D277" s="3104"/>
      <c r="E277" s="3104"/>
      <c r="F277" s="3104"/>
      <c r="G277" s="3104"/>
      <c r="H277" s="3104"/>
      <c r="I277" s="3104"/>
      <c r="J277" s="3104"/>
      <c r="K277" s="3104"/>
      <c r="L277" s="3104"/>
      <c r="M277" s="3104"/>
    </row>
    <row r="278" spans="1:21">
      <c r="A278" s="3105" t="s">
        <v>2783</v>
      </c>
      <c r="B278" s="3106" t="s">
        <v>2579</v>
      </c>
      <c r="C278" s="3106" t="s">
        <v>2580</v>
      </c>
      <c r="D278" s="3106" t="s">
        <v>2581</v>
      </c>
      <c r="E278" s="3106" t="s">
        <v>2582</v>
      </c>
      <c r="F278" s="3106" t="s">
        <v>2583</v>
      </c>
      <c r="G278" s="3106" t="s">
        <v>2584</v>
      </c>
      <c r="H278" s="3107" t="s">
        <v>2585</v>
      </c>
      <c r="I278" s="3107" t="s">
        <v>2586</v>
      </c>
      <c r="J278" s="3108" t="s">
        <v>2587</v>
      </c>
      <c r="K278" s="3108" t="s">
        <v>2588</v>
      </c>
      <c r="L278" s="3108" t="s">
        <v>2589</v>
      </c>
      <c r="M278" s="3109" t="s">
        <v>2590</v>
      </c>
      <c r="Q278" s="3119" t="s">
        <v>2788</v>
      </c>
      <c r="R278" s="3119" t="s">
        <v>2789</v>
      </c>
      <c r="S278" s="3119" t="s">
        <v>2792</v>
      </c>
      <c r="T278" s="3119" t="s">
        <v>2793</v>
      </c>
      <c r="U278" s="3119" t="s">
        <v>2791</v>
      </c>
    </row>
    <row r="279" spans="1:21">
      <c r="A279" s="3110">
        <v>1</v>
      </c>
      <c r="B279" s="3111">
        <v>1.1055999999999999</v>
      </c>
      <c r="C279" s="3111">
        <v>1.1055999999999999</v>
      </c>
      <c r="D279" s="3111">
        <v>1.1220000000000001</v>
      </c>
      <c r="E279" s="3111">
        <v>1.1220000000000001</v>
      </c>
      <c r="F279" s="3111">
        <v>1.1220000000000001</v>
      </c>
      <c r="G279" s="3111">
        <v>1.0583</v>
      </c>
      <c r="H279" s="3111">
        <v>1.0583</v>
      </c>
      <c r="I279" s="3111">
        <v>1</v>
      </c>
      <c r="J279" s="3111">
        <v>1</v>
      </c>
      <c r="K279" s="3111">
        <v>1</v>
      </c>
      <c r="L279" s="3111">
        <v>1</v>
      </c>
      <c r="M279" s="3112">
        <v>1</v>
      </c>
      <c r="Q279" s="3119">
        <v>10</v>
      </c>
      <c r="R279" s="3119">
        <f>ROUND(0.7836-0.012*Q279,4)</f>
        <v>0.66359999999999997</v>
      </c>
      <c r="S279" s="3119">
        <f>ROUND(0.753-0.015*Q279,4)</f>
        <v>0.60299999999999998</v>
      </c>
      <c r="T279" s="3119">
        <f>ROUND(0.6612-0.018*Q279,4)</f>
        <v>0.48120000000000002</v>
      </c>
      <c r="U279" s="3119">
        <f>ROUND(0.5905-0.019*R279,4)</f>
        <v>0.57789999999999997</v>
      </c>
    </row>
    <row r="280" spans="1:21">
      <c r="A280" s="3110">
        <v>1.1000000000000001</v>
      </c>
      <c r="B280" s="3111">
        <v>1.0820000000000001</v>
      </c>
      <c r="C280" s="3111">
        <v>1.0820000000000001</v>
      </c>
      <c r="D280" s="3111">
        <v>1.0948</v>
      </c>
      <c r="E280" s="3111">
        <v>1.0948</v>
      </c>
      <c r="F280" s="3111">
        <v>1.0948</v>
      </c>
      <c r="G280" s="3111">
        <v>1.0284</v>
      </c>
      <c r="H280" s="3111">
        <v>1.0284</v>
      </c>
      <c r="I280" s="3111">
        <v>0.96860000000000002</v>
      </c>
      <c r="J280" s="3111">
        <v>0.96860000000000002</v>
      </c>
      <c r="K280" s="3111">
        <v>0.96860000000000002</v>
      </c>
      <c r="L280" s="3111">
        <v>0.96860000000000002</v>
      </c>
      <c r="M280" s="3112">
        <v>0.96860000000000002</v>
      </c>
    </row>
    <row r="281" spans="1:21">
      <c r="A281" s="3110">
        <v>1.2</v>
      </c>
      <c r="B281" s="3111">
        <v>1.0598000000000001</v>
      </c>
      <c r="C281" s="3111">
        <v>1.0598000000000001</v>
      </c>
      <c r="D281" s="3111">
        <v>1.0690999999999999</v>
      </c>
      <c r="E281" s="3111">
        <v>1.0690999999999999</v>
      </c>
      <c r="F281" s="3111">
        <v>1.0690999999999999</v>
      </c>
      <c r="G281" s="3111">
        <v>1</v>
      </c>
      <c r="H281" s="3111">
        <v>1</v>
      </c>
      <c r="I281" s="3111">
        <v>0.93879999999999997</v>
      </c>
      <c r="J281" s="3111">
        <v>0.93879999999999997</v>
      </c>
      <c r="K281" s="3111">
        <v>0.93879999999999997</v>
      </c>
      <c r="L281" s="3111">
        <v>0.93879999999999997</v>
      </c>
      <c r="M281" s="3112">
        <v>0.93879999999999997</v>
      </c>
    </row>
    <row r="282" spans="1:21">
      <c r="A282" s="3110">
        <v>1.3</v>
      </c>
      <c r="B282" s="3111">
        <v>1.0387</v>
      </c>
      <c r="C282" s="3111">
        <v>1.0387</v>
      </c>
      <c r="D282" s="3111">
        <v>1.0447</v>
      </c>
      <c r="E282" s="3111">
        <v>1.0447</v>
      </c>
      <c r="F282" s="3111">
        <v>1.0447</v>
      </c>
      <c r="G282" s="3111">
        <v>0.97319999999999995</v>
      </c>
      <c r="H282" s="3111">
        <v>0.97319999999999995</v>
      </c>
      <c r="I282" s="3111">
        <v>0.91069999999999995</v>
      </c>
      <c r="J282" s="3111">
        <v>0.91069999999999995</v>
      </c>
      <c r="K282" s="3111">
        <v>0.91069999999999995</v>
      </c>
      <c r="L282" s="3111">
        <v>0.91069999999999995</v>
      </c>
      <c r="M282" s="3112">
        <v>0.91069999999999995</v>
      </c>
    </row>
    <row r="283" spans="1:21">
      <c r="A283" s="3110">
        <v>1.4</v>
      </c>
      <c r="B283" s="3111">
        <v>1.0187999999999999</v>
      </c>
      <c r="C283" s="3111">
        <v>1.0187999999999999</v>
      </c>
      <c r="D283" s="3111">
        <v>1.0217000000000001</v>
      </c>
      <c r="E283" s="3111">
        <v>1.0217000000000001</v>
      </c>
      <c r="F283" s="3111">
        <v>1.0217000000000001</v>
      </c>
      <c r="G283" s="3111">
        <v>0.94779999999999998</v>
      </c>
      <c r="H283" s="3111">
        <v>0.94779999999999998</v>
      </c>
      <c r="I283" s="3111">
        <v>0.8841</v>
      </c>
      <c r="J283" s="3111">
        <v>0.8841</v>
      </c>
      <c r="K283" s="3111">
        <v>0.8841</v>
      </c>
      <c r="L283" s="3111">
        <v>0.8841</v>
      </c>
      <c r="M283" s="3112">
        <v>0.8841</v>
      </c>
    </row>
    <row r="284" spans="1:21">
      <c r="A284" s="3110">
        <v>1.5</v>
      </c>
      <c r="B284" s="3111">
        <v>1</v>
      </c>
      <c r="C284" s="3111">
        <v>1</v>
      </c>
      <c r="D284" s="3111">
        <v>1</v>
      </c>
      <c r="E284" s="3111">
        <v>1</v>
      </c>
      <c r="F284" s="3111">
        <v>1</v>
      </c>
      <c r="G284" s="3111">
        <v>0.92379999999999995</v>
      </c>
      <c r="H284" s="3111">
        <v>0.92379999999999995</v>
      </c>
      <c r="I284" s="3111">
        <v>0.8589</v>
      </c>
      <c r="J284" s="3111">
        <v>0.8589</v>
      </c>
      <c r="K284" s="3111">
        <v>0.8589</v>
      </c>
      <c r="L284" s="3111">
        <v>0.8589</v>
      </c>
      <c r="M284" s="3112">
        <v>0.8589</v>
      </c>
    </row>
    <row r="285" spans="1:21">
      <c r="A285" s="3110">
        <v>1.6</v>
      </c>
      <c r="B285" s="3111">
        <v>0.98229999999999995</v>
      </c>
      <c r="C285" s="3111">
        <v>0.98229999999999995</v>
      </c>
      <c r="D285" s="3111">
        <v>0.97950000000000004</v>
      </c>
      <c r="E285" s="3111">
        <v>0.97950000000000004</v>
      </c>
      <c r="F285" s="3111">
        <v>0.97950000000000004</v>
      </c>
      <c r="G285" s="3111">
        <v>0.9012</v>
      </c>
      <c r="H285" s="3111">
        <v>0.9012</v>
      </c>
      <c r="I285" s="3111">
        <v>0.83509999999999995</v>
      </c>
      <c r="J285" s="3111">
        <v>0.83509999999999995</v>
      </c>
      <c r="K285" s="3111">
        <v>0.83509999999999995</v>
      </c>
      <c r="L285" s="3111">
        <v>0.83509999999999995</v>
      </c>
      <c r="M285" s="3112">
        <v>0.83509999999999995</v>
      </c>
    </row>
    <row r="286" spans="1:21">
      <c r="A286" s="3110">
        <v>1.7</v>
      </c>
      <c r="B286" s="3111">
        <v>0.96550000000000002</v>
      </c>
      <c r="C286" s="3111">
        <v>0.96550000000000002</v>
      </c>
      <c r="D286" s="3111">
        <v>0.96009999999999995</v>
      </c>
      <c r="E286" s="3111">
        <v>0.96009999999999995</v>
      </c>
      <c r="F286" s="3111">
        <v>0.96009999999999995</v>
      </c>
      <c r="G286" s="3111">
        <v>0.87980000000000003</v>
      </c>
      <c r="H286" s="3111">
        <v>0.87980000000000003</v>
      </c>
      <c r="I286" s="3111">
        <v>0.81269999999999998</v>
      </c>
      <c r="J286" s="3111">
        <v>0.81269999999999998</v>
      </c>
      <c r="K286" s="3111">
        <v>0.81269999999999998</v>
      </c>
      <c r="L286" s="3111">
        <v>0.81269999999999998</v>
      </c>
      <c r="M286" s="3112">
        <v>0.81269999999999998</v>
      </c>
    </row>
    <row r="287" spans="1:21">
      <c r="A287" s="3110">
        <v>1.8</v>
      </c>
      <c r="B287" s="3111">
        <v>0.94969999999999999</v>
      </c>
      <c r="C287" s="3111">
        <v>0.94969999999999999</v>
      </c>
      <c r="D287" s="3111">
        <v>0.94189999999999996</v>
      </c>
      <c r="E287" s="3111">
        <v>0.94189999999999996</v>
      </c>
      <c r="F287" s="3111">
        <v>0.94189999999999996</v>
      </c>
      <c r="G287" s="3111">
        <v>0.85960000000000003</v>
      </c>
      <c r="H287" s="3111">
        <v>0.85960000000000003</v>
      </c>
      <c r="I287" s="3111">
        <v>0.79149999999999998</v>
      </c>
      <c r="J287" s="3111">
        <v>0.79149999999999998</v>
      </c>
      <c r="K287" s="3111">
        <v>0.79149999999999998</v>
      </c>
      <c r="L287" s="3111">
        <v>0.79149999999999998</v>
      </c>
      <c r="M287" s="3112">
        <v>0.79149999999999998</v>
      </c>
    </row>
    <row r="288" spans="1:21">
      <c r="A288" s="3110">
        <v>1.9</v>
      </c>
      <c r="B288" s="3111">
        <v>0.93479999999999996</v>
      </c>
      <c r="C288" s="3111">
        <v>0.93479999999999996</v>
      </c>
      <c r="D288" s="3111">
        <v>0.92459999999999998</v>
      </c>
      <c r="E288" s="3111">
        <v>0.92459999999999998</v>
      </c>
      <c r="F288" s="3111">
        <v>0.92459999999999998</v>
      </c>
      <c r="G288" s="3111">
        <v>0.84060000000000001</v>
      </c>
      <c r="H288" s="3111">
        <v>0.84060000000000001</v>
      </c>
      <c r="I288" s="3111">
        <v>0.77149999999999996</v>
      </c>
      <c r="J288" s="3111">
        <v>0.77149999999999996</v>
      </c>
      <c r="K288" s="3111">
        <v>0.77149999999999996</v>
      </c>
      <c r="L288" s="3111">
        <v>0.77149999999999996</v>
      </c>
      <c r="M288" s="3112">
        <v>0.77149999999999996</v>
      </c>
    </row>
    <row r="289" spans="1:13">
      <c r="A289" s="3110">
        <v>2</v>
      </c>
      <c r="B289" s="3111">
        <v>0.92079999999999995</v>
      </c>
      <c r="C289" s="3111">
        <v>0.92079999999999995</v>
      </c>
      <c r="D289" s="3111">
        <v>0.90839999999999999</v>
      </c>
      <c r="E289" s="3111">
        <v>0.90839999999999999</v>
      </c>
      <c r="F289" s="3111">
        <v>0.90839999999999999</v>
      </c>
      <c r="G289" s="3111">
        <v>0.82269999999999999</v>
      </c>
      <c r="H289" s="3111">
        <v>0.82269999999999999</v>
      </c>
      <c r="I289" s="3111">
        <v>0.75270000000000004</v>
      </c>
      <c r="J289" s="3111">
        <v>0.75270000000000004</v>
      </c>
      <c r="K289" s="3111">
        <v>0.75270000000000004</v>
      </c>
      <c r="L289" s="3111">
        <v>0.75270000000000004</v>
      </c>
      <c r="M289" s="3112">
        <v>0.75270000000000004</v>
      </c>
    </row>
    <row r="290" spans="1:13">
      <c r="A290" s="3113">
        <v>2.1</v>
      </c>
      <c r="B290" s="3111">
        <v>0.90759999999999996</v>
      </c>
      <c r="C290" s="3111">
        <v>0.90759999999999996</v>
      </c>
      <c r="D290" s="3111">
        <v>0.89319999999999999</v>
      </c>
      <c r="E290" s="3111">
        <v>0.89319999999999999</v>
      </c>
      <c r="F290" s="3111">
        <v>0.89319999999999999</v>
      </c>
      <c r="G290" s="3111">
        <v>0.80589999999999995</v>
      </c>
      <c r="H290" s="3111">
        <v>0.80589999999999995</v>
      </c>
      <c r="I290" s="3111">
        <v>0.73499999999999999</v>
      </c>
      <c r="J290" s="3111">
        <v>0.73499999999999999</v>
      </c>
      <c r="K290" s="3111">
        <v>0.73499999999999999</v>
      </c>
      <c r="L290" s="3111">
        <v>0.73499999999999999</v>
      </c>
      <c r="M290" s="3112">
        <v>0.73499999999999999</v>
      </c>
    </row>
    <row r="291" spans="1:13">
      <c r="A291" s="3113">
        <v>2.2000000000000002</v>
      </c>
      <c r="B291" s="3111">
        <v>0.8952</v>
      </c>
      <c r="C291" s="3111">
        <v>0.8952</v>
      </c>
      <c r="D291" s="3111">
        <v>0.87880000000000003</v>
      </c>
      <c r="E291" s="3111">
        <v>0.87880000000000003</v>
      </c>
      <c r="F291" s="3111">
        <v>0.87880000000000003</v>
      </c>
      <c r="G291" s="3111">
        <v>0.79</v>
      </c>
      <c r="H291" s="3111">
        <v>0.79</v>
      </c>
      <c r="I291" s="3111">
        <v>0.71840000000000004</v>
      </c>
      <c r="J291" s="3111">
        <v>0.71840000000000004</v>
      </c>
      <c r="K291" s="3111">
        <v>0.71840000000000004</v>
      </c>
      <c r="L291" s="3111">
        <v>0.71840000000000004</v>
      </c>
      <c r="M291" s="3112">
        <v>0.71840000000000004</v>
      </c>
    </row>
    <row r="292" spans="1:13">
      <c r="A292" s="3113">
        <v>2.2999999999999998</v>
      </c>
      <c r="B292" s="3111">
        <v>0.88360000000000005</v>
      </c>
      <c r="C292" s="3111">
        <v>0.88360000000000005</v>
      </c>
      <c r="D292" s="3111">
        <v>0.86529999999999996</v>
      </c>
      <c r="E292" s="3111">
        <v>0.86529999999999996</v>
      </c>
      <c r="F292" s="3111">
        <v>0.86529999999999996</v>
      </c>
      <c r="G292" s="3111">
        <v>0.77510000000000001</v>
      </c>
      <c r="H292" s="3111">
        <v>0.77510000000000001</v>
      </c>
      <c r="I292" s="3111">
        <v>0.70269999999999999</v>
      </c>
      <c r="J292" s="3111">
        <v>0.70269999999999999</v>
      </c>
      <c r="K292" s="3111">
        <v>0.70269999999999999</v>
      </c>
      <c r="L292" s="3111">
        <v>0.70269999999999999</v>
      </c>
      <c r="M292" s="3112">
        <v>0.70269999999999999</v>
      </c>
    </row>
    <row r="293" spans="1:13">
      <c r="A293" s="3113">
        <v>2.4</v>
      </c>
      <c r="B293" s="3111">
        <v>0.87260000000000004</v>
      </c>
      <c r="C293" s="3111">
        <v>0.87260000000000004</v>
      </c>
      <c r="D293" s="3111">
        <v>0.85260000000000002</v>
      </c>
      <c r="E293" s="3111">
        <v>0.85260000000000002</v>
      </c>
      <c r="F293" s="3111">
        <v>0.85260000000000002</v>
      </c>
      <c r="G293" s="3111">
        <v>0.76100000000000001</v>
      </c>
      <c r="H293" s="3111">
        <v>0.76100000000000001</v>
      </c>
      <c r="I293" s="3111">
        <v>0.68799999999999994</v>
      </c>
      <c r="J293" s="3111">
        <v>0.68799999999999994</v>
      </c>
      <c r="K293" s="3111">
        <v>0.68799999999999994</v>
      </c>
      <c r="L293" s="3111">
        <v>0.68799999999999994</v>
      </c>
      <c r="M293" s="3112">
        <v>0.68799999999999994</v>
      </c>
    </row>
    <row r="294" spans="1:13">
      <c r="A294" s="3113">
        <v>2.5</v>
      </c>
      <c r="B294" s="3111">
        <v>0.86229999999999996</v>
      </c>
      <c r="C294" s="3111">
        <v>0.86229999999999996</v>
      </c>
      <c r="D294" s="3111">
        <v>0.8407</v>
      </c>
      <c r="E294" s="3111">
        <v>0.8407</v>
      </c>
      <c r="F294" s="3111">
        <v>0.8407</v>
      </c>
      <c r="G294" s="3111">
        <v>0.74780000000000002</v>
      </c>
      <c r="H294" s="3111">
        <v>0.74780000000000002</v>
      </c>
      <c r="I294" s="3111">
        <v>0.67410000000000003</v>
      </c>
      <c r="J294" s="3111">
        <v>0.67410000000000003</v>
      </c>
      <c r="K294" s="3111">
        <v>0.67410000000000003</v>
      </c>
      <c r="L294" s="3111">
        <v>0.67410000000000003</v>
      </c>
      <c r="M294" s="3112">
        <v>0.67410000000000003</v>
      </c>
    </row>
    <row r="295" spans="1:13">
      <c r="A295" s="3113">
        <v>2.6</v>
      </c>
      <c r="B295" s="3111">
        <v>0.85270000000000001</v>
      </c>
      <c r="C295" s="3111">
        <v>0.85270000000000001</v>
      </c>
      <c r="D295" s="3111">
        <v>0.82950000000000002</v>
      </c>
      <c r="E295" s="3111">
        <v>0.82950000000000002</v>
      </c>
      <c r="F295" s="3111">
        <v>0.82950000000000002</v>
      </c>
      <c r="G295" s="3111">
        <v>0.73540000000000005</v>
      </c>
      <c r="H295" s="3111">
        <v>0.73540000000000005</v>
      </c>
      <c r="I295" s="3111">
        <v>0.66110000000000002</v>
      </c>
      <c r="J295" s="3111">
        <v>0.66110000000000002</v>
      </c>
      <c r="K295" s="3111">
        <v>0.66110000000000002</v>
      </c>
      <c r="L295" s="3111">
        <v>0.66110000000000002</v>
      </c>
      <c r="M295" s="3112">
        <v>0.66110000000000002</v>
      </c>
    </row>
    <row r="296" spans="1:13">
      <c r="A296" s="3113">
        <v>2.7</v>
      </c>
      <c r="B296" s="3111">
        <v>0.84360000000000002</v>
      </c>
      <c r="C296" s="3111">
        <v>0.84360000000000002</v>
      </c>
      <c r="D296" s="3111">
        <v>0.81899999999999995</v>
      </c>
      <c r="E296" s="3111">
        <v>0.81899999999999995</v>
      </c>
      <c r="F296" s="3111">
        <v>0.81899999999999995</v>
      </c>
      <c r="G296" s="3111">
        <v>0.7238</v>
      </c>
      <c r="H296" s="3111">
        <v>0.7238</v>
      </c>
      <c r="I296" s="3111">
        <v>0.64880000000000004</v>
      </c>
      <c r="J296" s="3111">
        <v>0.64880000000000004</v>
      </c>
      <c r="K296" s="3111">
        <v>0.64880000000000004</v>
      </c>
      <c r="L296" s="3111">
        <v>0.64880000000000004</v>
      </c>
      <c r="M296" s="3112">
        <v>0.64880000000000004</v>
      </c>
    </row>
    <row r="297" spans="1:13">
      <c r="A297" s="3113">
        <v>2.8</v>
      </c>
      <c r="B297" s="3111">
        <v>0.83509999999999995</v>
      </c>
      <c r="C297" s="3111">
        <v>0.83509999999999995</v>
      </c>
      <c r="D297" s="3111">
        <v>0.80910000000000004</v>
      </c>
      <c r="E297" s="3111">
        <v>0.80910000000000004</v>
      </c>
      <c r="F297" s="3111">
        <v>0.80910000000000004</v>
      </c>
      <c r="G297" s="3111">
        <v>0.71289999999999998</v>
      </c>
      <c r="H297" s="3111">
        <v>0.71289999999999998</v>
      </c>
      <c r="I297" s="3111">
        <v>0.63739999999999997</v>
      </c>
      <c r="J297" s="3111">
        <v>0.63739999999999997</v>
      </c>
      <c r="K297" s="3111">
        <v>0.63739999999999997</v>
      </c>
      <c r="L297" s="3111">
        <v>0.63739999999999997</v>
      </c>
      <c r="M297" s="3112">
        <v>0.63739999999999997</v>
      </c>
    </row>
    <row r="298" spans="1:13">
      <c r="A298" s="3113">
        <v>2.9</v>
      </c>
      <c r="B298" s="3111">
        <v>0.82720000000000005</v>
      </c>
      <c r="C298" s="3111">
        <v>0.82720000000000005</v>
      </c>
      <c r="D298" s="3111">
        <v>0.79990000000000006</v>
      </c>
      <c r="E298" s="3111">
        <v>0.79990000000000006</v>
      </c>
      <c r="F298" s="3111">
        <v>0.79990000000000006</v>
      </c>
      <c r="G298" s="3111">
        <v>0.7026</v>
      </c>
      <c r="H298" s="3111">
        <v>0.7026</v>
      </c>
      <c r="I298" s="3111">
        <v>0.62660000000000005</v>
      </c>
      <c r="J298" s="3111">
        <v>0.62660000000000005</v>
      </c>
      <c r="K298" s="3111">
        <v>0.62660000000000005</v>
      </c>
      <c r="L298" s="3111">
        <v>0.62660000000000005</v>
      </c>
      <c r="M298" s="3112">
        <v>0.62660000000000005</v>
      </c>
    </row>
    <row r="299" spans="1:13">
      <c r="A299" s="3113">
        <v>3</v>
      </c>
      <c r="B299" s="3111">
        <v>0.81969999999999998</v>
      </c>
      <c r="C299" s="3111">
        <v>0.81969999999999998</v>
      </c>
      <c r="D299" s="3111">
        <v>0.79120000000000001</v>
      </c>
      <c r="E299" s="3111">
        <v>0.79120000000000001</v>
      </c>
      <c r="F299" s="3111">
        <v>0.79120000000000001</v>
      </c>
      <c r="G299" s="3111">
        <v>0.69299999999999995</v>
      </c>
      <c r="H299" s="3111">
        <v>0.69299999999999995</v>
      </c>
      <c r="I299" s="3111">
        <v>0.61650000000000005</v>
      </c>
      <c r="J299" s="3111">
        <v>0.61650000000000005</v>
      </c>
      <c r="K299" s="3111">
        <v>0.61650000000000005</v>
      </c>
      <c r="L299" s="3111">
        <v>0.61650000000000005</v>
      </c>
      <c r="M299" s="3112">
        <v>0.61650000000000005</v>
      </c>
    </row>
    <row r="300" spans="1:13">
      <c r="A300" s="3113">
        <v>3.1</v>
      </c>
      <c r="B300" s="3111">
        <v>0.81279999999999997</v>
      </c>
      <c r="C300" s="3111">
        <v>0.81279999999999997</v>
      </c>
      <c r="D300" s="3111">
        <v>0.78310000000000002</v>
      </c>
      <c r="E300" s="3111">
        <v>0.78310000000000002</v>
      </c>
      <c r="F300" s="3111">
        <v>0.78310000000000002</v>
      </c>
      <c r="G300" s="3111">
        <v>0.68400000000000005</v>
      </c>
      <c r="H300" s="3111">
        <v>0.68400000000000005</v>
      </c>
      <c r="I300" s="3111">
        <v>0.60709999999999997</v>
      </c>
      <c r="J300" s="3111">
        <v>0.60709999999999997</v>
      </c>
      <c r="K300" s="3111">
        <v>0.60709999999999997</v>
      </c>
      <c r="L300" s="3111">
        <v>0.60709999999999997</v>
      </c>
      <c r="M300" s="3112">
        <v>0.60709999999999997</v>
      </c>
    </row>
    <row r="301" spans="1:13">
      <c r="A301" s="3113">
        <v>3.2</v>
      </c>
      <c r="B301" s="3111">
        <v>0.80620000000000003</v>
      </c>
      <c r="C301" s="3111">
        <v>0.80620000000000003</v>
      </c>
      <c r="D301" s="3111">
        <v>0.77549999999999997</v>
      </c>
      <c r="E301" s="3111">
        <v>0.77549999999999997</v>
      </c>
      <c r="F301" s="3111">
        <v>0.77549999999999997</v>
      </c>
      <c r="G301" s="3111">
        <v>0.67559999999999998</v>
      </c>
      <c r="H301" s="3111">
        <v>0.67559999999999998</v>
      </c>
      <c r="I301" s="3111">
        <v>0.59809999999999997</v>
      </c>
      <c r="J301" s="3111">
        <v>0.59809999999999997</v>
      </c>
      <c r="K301" s="3111">
        <v>0.59809999999999997</v>
      </c>
      <c r="L301" s="3111">
        <v>0.59809999999999997</v>
      </c>
      <c r="M301" s="3112">
        <v>0.59809999999999997</v>
      </c>
    </row>
    <row r="302" spans="1:13">
      <c r="A302" s="3113">
        <v>3.3</v>
      </c>
      <c r="B302" s="3111">
        <v>0.80010000000000003</v>
      </c>
      <c r="C302" s="3111">
        <v>0.80010000000000003</v>
      </c>
      <c r="D302" s="3111">
        <v>0.76839999999999997</v>
      </c>
      <c r="E302" s="3111">
        <v>0.76839999999999997</v>
      </c>
      <c r="F302" s="3111">
        <v>0.76839999999999997</v>
      </c>
      <c r="G302" s="3111">
        <v>0.66769999999999996</v>
      </c>
      <c r="H302" s="3111">
        <v>0.66769999999999996</v>
      </c>
      <c r="I302" s="3111">
        <v>0.58979999999999999</v>
      </c>
      <c r="J302" s="3111">
        <v>0.58979999999999999</v>
      </c>
      <c r="K302" s="3111">
        <v>0.58979999999999999</v>
      </c>
      <c r="L302" s="3111">
        <v>0.58979999999999999</v>
      </c>
      <c r="M302" s="3112">
        <v>0.58979999999999999</v>
      </c>
    </row>
    <row r="303" spans="1:13">
      <c r="A303" s="3113">
        <v>3.4</v>
      </c>
      <c r="B303" s="3111">
        <v>0.7944</v>
      </c>
      <c r="C303" s="3111">
        <v>0.7944</v>
      </c>
      <c r="D303" s="3111">
        <v>0.76170000000000004</v>
      </c>
      <c r="E303" s="3111">
        <v>0.76170000000000004</v>
      </c>
      <c r="F303" s="3111">
        <v>0.76170000000000004</v>
      </c>
      <c r="G303" s="3111">
        <v>0.66020000000000001</v>
      </c>
      <c r="H303" s="3111">
        <v>0.66020000000000001</v>
      </c>
      <c r="I303" s="3111">
        <v>0.58209999999999995</v>
      </c>
      <c r="J303" s="3111">
        <v>0.58209999999999995</v>
      </c>
      <c r="K303" s="3111">
        <v>0.58209999999999995</v>
      </c>
      <c r="L303" s="3111">
        <v>0.58209999999999995</v>
      </c>
      <c r="M303" s="3112">
        <v>0.58209999999999995</v>
      </c>
    </row>
    <row r="304" spans="1:13">
      <c r="A304" s="3113">
        <v>3.5</v>
      </c>
      <c r="B304" s="3111">
        <v>0.78910000000000002</v>
      </c>
      <c r="C304" s="3111">
        <v>0.78910000000000002</v>
      </c>
      <c r="D304" s="3111">
        <v>0.75549999999999995</v>
      </c>
      <c r="E304" s="3111">
        <v>0.75549999999999995</v>
      </c>
      <c r="F304" s="3111">
        <v>0.75549999999999995</v>
      </c>
      <c r="G304" s="3111">
        <v>0.65329999999999999</v>
      </c>
      <c r="H304" s="3111">
        <v>0.65329999999999999</v>
      </c>
      <c r="I304" s="3111">
        <v>0.57479999999999998</v>
      </c>
      <c r="J304" s="3111">
        <v>0.57479999999999998</v>
      </c>
      <c r="K304" s="3111">
        <v>0.57479999999999998</v>
      </c>
      <c r="L304" s="3111">
        <v>0.57479999999999998</v>
      </c>
      <c r="M304" s="3112">
        <v>0.57479999999999998</v>
      </c>
    </row>
    <row r="305" spans="1:13">
      <c r="A305" s="3113">
        <v>3.6</v>
      </c>
      <c r="B305" s="3111">
        <v>0.78410000000000002</v>
      </c>
      <c r="C305" s="3111">
        <v>0.78410000000000002</v>
      </c>
      <c r="D305" s="3111">
        <v>0.74960000000000004</v>
      </c>
      <c r="E305" s="3111">
        <v>0.74960000000000004</v>
      </c>
      <c r="F305" s="3111">
        <v>0.74960000000000004</v>
      </c>
      <c r="G305" s="3111">
        <v>0.64680000000000004</v>
      </c>
      <c r="H305" s="3111">
        <v>0.64680000000000004</v>
      </c>
      <c r="I305" s="3111">
        <v>0.56789999999999996</v>
      </c>
      <c r="J305" s="3111">
        <v>0.56789999999999996</v>
      </c>
      <c r="K305" s="3111">
        <v>0.56789999999999996</v>
      </c>
      <c r="L305" s="3111">
        <v>0.56789999999999996</v>
      </c>
      <c r="M305" s="3112">
        <v>0.56789999999999996</v>
      </c>
    </row>
    <row r="306" spans="1:13">
      <c r="A306" s="3113">
        <v>3.7</v>
      </c>
      <c r="B306" s="3111">
        <v>0.77939999999999998</v>
      </c>
      <c r="C306" s="3111">
        <v>0.77939999999999998</v>
      </c>
      <c r="D306" s="3111">
        <v>0.74409999999999998</v>
      </c>
      <c r="E306" s="3111">
        <v>0.74409999999999998</v>
      </c>
      <c r="F306" s="3111">
        <v>0.74409999999999998</v>
      </c>
      <c r="G306" s="3111">
        <v>0.64070000000000005</v>
      </c>
      <c r="H306" s="3111">
        <v>0.64070000000000005</v>
      </c>
      <c r="I306" s="3111">
        <v>0.5615</v>
      </c>
      <c r="J306" s="3111">
        <v>0.5615</v>
      </c>
      <c r="K306" s="3111">
        <v>0.5615</v>
      </c>
      <c r="L306" s="3111">
        <v>0.5615</v>
      </c>
      <c r="M306" s="3112">
        <v>0.5615</v>
      </c>
    </row>
    <row r="307" spans="1:13">
      <c r="A307" s="3113">
        <v>3.8</v>
      </c>
      <c r="B307" s="3111">
        <v>0.77500000000000002</v>
      </c>
      <c r="C307" s="3111">
        <v>0.77500000000000002</v>
      </c>
      <c r="D307" s="3111">
        <v>0.73899999999999999</v>
      </c>
      <c r="E307" s="3111">
        <v>0.73899999999999999</v>
      </c>
      <c r="F307" s="3111">
        <v>0.73899999999999999</v>
      </c>
      <c r="G307" s="3111">
        <v>0.63490000000000002</v>
      </c>
      <c r="H307" s="3111">
        <v>0.63490000000000002</v>
      </c>
      <c r="I307" s="3111">
        <v>0.55549999999999999</v>
      </c>
      <c r="J307" s="3111">
        <v>0.55549999999999999</v>
      </c>
      <c r="K307" s="3111">
        <v>0.55549999999999999</v>
      </c>
      <c r="L307" s="3111">
        <v>0.55549999999999999</v>
      </c>
      <c r="M307" s="3112">
        <v>0.55549999999999999</v>
      </c>
    </row>
    <row r="308" spans="1:13">
      <c r="A308" s="3113">
        <v>3.9</v>
      </c>
      <c r="B308" s="3111">
        <v>0.77090000000000003</v>
      </c>
      <c r="C308" s="3111">
        <v>0.77090000000000003</v>
      </c>
      <c r="D308" s="3111">
        <v>0.73419999999999996</v>
      </c>
      <c r="E308" s="3111">
        <v>0.73419999999999996</v>
      </c>
      <c r="F308" s="3111">
        <v>0.73419999999999996</v>
      </c>
      <c r="G308" s="3111">
        <v>0.62949999999999995</v>
      </c>
      <c r="H308" s="3111">
        <v>0.62949999999999995</v>
      </c>
      <c r="I308" s="3111">
        <v>0.54990000000000006</v>
      </c>
      <c r="J308" s="3111">
        <v>0.54990000000000006</v>
      </c>
      <c r="K308" s="3111">
        <v>0.54990000000000006</v>
      </c>
      <c r="L308" s="3111">
        <v>0.54990000000000006</v>
      </c>
      <c r="M308" s="3112">
        <v>0.54990000000000006</v>
      </c>
    </row>
    <row r="309" spans="1:13">
      <c r="A309" s="3113">
        <v>4</v>
      </c>
      <c r="B309" s="3111">
        <v>0.7671</v>
      </c>
      <c r="C309" s="3111">
        <v>0.7671</v>
      </c>
      <c r="D309" s="3111">
        <v>0.72970000000000002</v>
      </c>
      <c r="E309" s="3111">
        <v>0.72970000000000002</v>
      </c>
      <c r="F309" s="3111">
        <v>0.72970000000000002</v>
      </c>
      <c r="G309" s="3111">
        <v>0.62450000000000006</v>
      </c>
      <c r="H309" s="3111">
        <v>0.62450000000000006</v>
      </c>
      <c r="I309" s="3111">
        <v>0.54449999999999998</v>
      </c>
      <c r="J309" s="3111">
        <v>0.54449999999999998</v>
      </c>
      <c r="K309" s="3111">
        <v>0.54449999999999998</v>
      </c>
      <c r="L309" s="3111">
        <v>0.54449999999999998</v>
      </c>
      <c r="M309" s="3112">
        <v>0.54449999999999998</v>
      </c>
    </row>
    <row r="310" spans="1:13">
      <c r="A310" s="3113">
        <v>4.0999999999999996</v>
      </c>
      <c r="B310" s="3111">
        <v>0.76349999999999996</v>
      </c>
      <c r="C310" s="3111">
        <v>0.76349999999999996</v>
      </c>
      <c r="D310" s="3111">
        <v>0.72540000000000004</v>
      </c>
      <c r="E310" s="3111">
        <v>0.72540000000000004</v>
      </c>
      <c r="F310" s="3111">
        <v>0.72540000000000004</v>
      </c>
      <c r="G310" s="3111">
        <v>0.61970000000000003</v>
      </c>
      <c r="H310" s="3111">
        <v>0.61970000000000003</v>
      </c>
      <c r="I310" s="3111">
        <v>0.53959999999999997</v>
      </c>
      <c r="J310" s="3111">
        <v>0.53959999999999997</v>
      </c>
      <c r="K310" s="3111">
        <v>0.53959999999999997</v>
      </c>
      <c r="L310" s="3111">
        <v>0.53959999999999997</v>
      </c>
      <c r="M310" s="3112">
        <v>0.53959999999999997</v>
      </c>
    </row>
    <row r="311" spans="1:13">
      <c r="A311" s="3113">
        <v>4.2</v>
      </c>
      <c r="B311" s="3111">
        <v>0.7601</v>
      </c>
      <c r="C311" s="3111">
        <v>0.7601</v>
      </c>
      <c r="D311" s="3111">
        <v>0.72140000000000004</v>
      </c>
      <c r="E311" s="3111">
        <v>0.72140000000000004</v>
      </c>
      <c r="F311" s="3111">
        <v>0.72140000000000004</v>
      </c>
      <c r="G311" s="3111">
        <v>0.61529999999999996</v>
      </c>
      <c r="H311" s="3111">
        <v>0.61529999999999996</v>
      </c>
      <c r="I311" s="3111">
        <v>0.53490000000000004</v>
      </c>
      <c r="J311" s="3111">
        <v>0.53490000000000004</v>
      </c>
      <c r="K311" s="3111">
        <v>0.53490000000000004</v>
      </c>
      <c r="L311" s="3111">
        <v>0.53490000000000004</v>
      </c>
      <c r="M311" s="3112">
        <v>0.53490000000000004</v>
      </c>
    </row>
    <row r="312" spans="1:13">
      <c r="A312" s="3113">
        <v>4.3</v>
      </c>
      <c r="B312" s="3111">
        <v>0.75700000000000001</v>
      </c>
      <c r="C312" s="3111">
        <v>0.75700000000000001</v>
      </c>
      <c r="D312" s="3111">
        <v>0.7177</v>
      </c>
      <c r="E312" s="3111">
        <v>0.7177</v>
      </c>
      <c r="F312" s="3111">
        <v>0.7177</v>
      </c>
      <c r="G312" s="3111">
        <v>0.61109999999999998</v>
      </c>
      <c r="H312" s="3111">
        <v>0.61109999999999998</v>
      </c>
      <c r="I312" s="3111">
        <v>0.53049999999999997</v>
      </c>
      <c r="J312" s="3111">
        <v>0.53049999999999997</v>
      </c>
      <c r="K312" s="3111">
        <v>0.53049999999999997</v>
      </c>
      <c r="L312" s="3111">
        <v>0.53049999999999997</v>
      </c>
      <c r="M312" s="3112">
        <v>0.53049999999999997</v>
      </c>
    </row>
    <row r="313" spans="1:13">
      <c r="A313" s="3113">
        <v>4.4000000000000004</v>
      </c>
      <c r="B313" s="3111">
        <v>0.754</v>
      </c>
      <c r="C313" s="3111">
        <v>0.754</v>
      </c>
      <c r="D313" s="3111">
        <v>0.71409999999999996</v>
      </c>
      <c r="E313" s="3111">
        <v>0.71409999999999996</v>
      </c>
      <c r="F313" s="3111">
        <v>0.71409999999999996</v>
      </c>
      <c r="G313" s="3111">
        <v>0.60709999999999997</v>
      </c>
      <c r="H313" s="3111">
        <v>0.60709999999999997</v>
      </c>
      <c r="I313" s="3111">
        <v>0.52639999999999998</v>
      </c>
      <c r="J313" s="3111">
        <v>0.52639999999999998</v>
      </c>
      <c r="K313" s="3111">
        <v>0.52639999999999998</v>
      </c>
      <c r="L313" s="3111">
        <v>0.52639999999999998</v>
      </c>
      <c r="M313" s="3112">
        <v>0.52639999999999998</v>
      </c>
    </row>
    <row r="314" spans="1:13">
      <c r="A314" s="3113">
        <v>4.5</v>
      </c>
      <c r="B314" s="3111">
        <v>0.75119999999999998</v>
      </c>
      <c r="C314" s="3111">
        <v>0.75119999999999998</v>
      </c>
      <c r="D314" s="3111">
        <v>0.71079999999999999</v>
      </c>
      <c r="E314" s="3111">
        <v>0.71079999999999999</v>
      </c>
      <c r="F314" s="3111">
        <v>0.71079999999999999</v>
      </c>
      <c r="G314" s="3111">
        <v>0.60329999999999995</v>
      </c>
      <c r="H314" s="3111">
        <v>0.60329999999999995</v>
      </c>
      <c r="I314" s="3111">
        <v>0.52249999999999996</v>
      </c>
      <c r="J314" s="3111">
        <v>0.52249999999999996</v>
      </c>
      <c r="K314" s="3111">
        <v>0.52249999999999996</v>
      </c>
      <c r="L314" s="3111">
        <v>0.52249999999999996</v>
      </c>
      <c r="M314" s="3112">
        <v>0.52249999999999996</v>
      </c>
    </row>
    <row r="315" spans="1:13">
      <c r="A315" s="3113">
        <v>4.5999999999999996</v>
      </c>
      <c r="B315" s="3111">
        <v>0.74860000000000004</v>
      </c>
      <c r="C315" s="3111">
        <v>0.74860000000000004</v>
      </c>
      <c r="D315" s="3111">
        <v>0.70760000000000001</v>
      </c>
      <c r="E315" s="3111">
        <v>0.70760000000000001</v>
      </c>
      <c r="F315" s="3111">
        <v>0.70760000000000001</v>
      </c>
      <c r="G315" s="3111">
        <v>0.59970000000000001</v>
      </c>
      <c r="H315" s="3111">
        <v>0.59970000000000001</v>
      </c>
      <c r="I315" s="3111">
        <v>0.51890000000000003</v>
      </c>
      <c r="J315" s="3111">
        <v>0.51890000000000003</v>
      </c>
      <c r="K315" s="3111">
        <v>0.51890000000000003</v>
      </c>
      <c r="L315" s="3111">
        <v>0.51890000000000003</v>
      </c>
      <c r="M315" s="3112">
        <v>0.51890000000000003</v>
      </c>
    </row>
    <row r="316" spans="1:13">
      <c r="A316" s="3113">
        <v>4.7</v>
      </c>
      <c r="B316" s="3111">
        <v>0.74609999999999999</v>
      </c>
      <c r="C316" s="3111">
        <v>0.74609999999999999</v>
      </c>
      <c r="D316" s="3111">
        <v>0.7046</v>
      </c>
      <c r="E316" s="3111">
        <v>0.7046</v>
      </c>
      <c r="F316" s="3111">
        <v>0.7046</v>
      </c>
      <c r="G316" s="3111">
        <v>0.59630000000000005</v>
      </c>
      <c r="H316" s="3111">
        <v>0.59630000000000005</v>
      </c>
      <c r="I316" s="3111">
        <v>0.51529999999999998</v>
      </c>
      <c r="J316" s="3111">
        <v>0.51529999999999998</v>
      </c>
      <c r="K316" s="3111">
        <v>0.51529999999999998</v>
      </c>
      <c r="L316" s="3111">
        <v>0.51529999999999998</v>
      </c>
      <c r="M316" s="3112">
        <v>0.51529999999999998</v>
      </c>
    </row>
    <row r="317" spans="1:13">
      <c r="A317" s="3113">
        <v>4.8</v>
      </c>
      <c r="B317" s="3111">
        <v>0.74380000000000002</v>
      </c>
      <c r="C317" s="3111">
        <v>0.74380000000000002</v>
      </c>
      <c r="D317" s="3111">
        <v>0.70169999999999999</v>
      </c>
      <c r="E317" s="3111">
        <v>0.70169999999999999</v>
      </c>
      <c r="F317" s="3111">
        <v>0.70169999999999999</v>
      </c>
      <c r="G317" s="3111">
        <v>0.59309999999999996</v>
      </c>
      <c r="H317" s="3111">
        <v>0.59309999999999996</v>
      </c>
      <c r="I317" s="3111">
        <v>0.5121</v>
      </c>
      <c r="J317" s="3111">
        <v>0.5121</v>
      </c>
      <c r="K317" s="3111">
        <v>0.5121</v>
      </c>
      <c r="L317" s="3111">
        <v>0.5121</v>
      </c>
      <c r="M317" s="3112">
        <v>0.5121</v>
      </c>
    </row>
    <row r="318" spans="1:13">
      <c r="A318" s="3113">
        <v>4.9000000000000004</v>
      </c>
      <c r="B318" s="3111">
        <v>0.74160000000000004</v>
      </c>
      <c r="C318" s="3111">
        <v>0.74160000000000004</v>
      </c>
      <c r="D318" s="3111">
        <v>0.69889999999999997</v>
      </c>
      <c r="E318" s="3111">
        <v>0.69889999999999997</v>
      </c>
      <c r="F318" s="3111">
        <v>0.69889999999999997</v>
      </c>
      <c r="G318" s="3111">
        <v>0.59009999999999996</v>
      </c>
      <c r="H318" s="3111">
        <v>0.59009999999999996</v>
      </c>
      <c r="I318" s="3111">
        <v>0.50900000000000001</v>
      </c>
      <c r="J318" s="3111">
        <v>0.50900000000000001</v>
      </c>
      <c r="K318" s="3111">
        <v>0.50900000000000001</v>
      </c>
      <c r="L318" s="3111">
        <v>0.50900000000000001</v>
      </c>
      <c r="M318" s="3112">
        <v>0.50900000000000001</v>
      </c>
    </row>
    <row r="319" spans="1:13">
      <c r="A319" s="3113">
        <v>5</v>
      </c>
      <c r="B319" s="3111">
        <v>0.73950000000000005</v>
      </c>
      <c r="C319" s="3111">
        <v>0.73950000000000005</v>
      </c>
      <c r="D319" s="3111">
        <v>0.69620000000000004</v>
      </c>
      <c r="E319" s="3111">
        <v>0.69620000000000004</v>
      </c>
      <c r="F319" s="3111">
        <v>0.69620000000000004</v>
      </c>
      <c r="G319" s="3111">
        <v>0.58720000000000006</v>
      </c>
      <c r="H319" s="3111">
        <v>0.58720000000000006</v>
      </c>
      <c r="I319" s="3111">
        <v>0.50609999999999999</v>
      </c>
      <c r="J319" s="3111">
        <v>0.50609999999999999</v>
      </c>
      <c r="K319" s="3111">
        <v>0.50609999999999999</v>
      </c>
      <c r="L319" s="3111">
        <v>0.50609999999999999</v>
      </c>
      <c r="M319" s="3112">
        <v>0.50609999999999999</v>
      </c>
    </row>
    <row r="320" spans="1:13">
      <c r="A320" s="3110">
        <v>5.0999999999999996</v>
      </c>
      <c r="B320" s="3111">
        <v>0.73750000000000004</v>
      </c>
      <c r="C320" s="3111">
        <v>0.73750000000000004</v>
      </c>
      <c r="D320" s="3111">
        <v>0.69359999999999999</v>
      </c>
      <c r="E320" s="3111">
        <v>0.69359999999999999</v>
      </c>
      <c r="F320" s="3111">
        <v>0.69359999999999999</v>
      </c>
      <c r="G320" s="3111">
        <v>0.58440000000000003</v>
      </c>
      <c r="H320" s="3111">
        <v>0.58440000000000003</v>
      </c>
      <c r="I320" s="3111">
        <v>0.50329999999999997</v>
      </c>
      <c r="J320" s="3111">
        <v>0.50329999999999997</v>
      </c>
      <c r="K320" s="3111">
        <v>0.50329999999999997</v>
      </c>
      <c r="L320" s="3111">
        <v>0.50329999999999997</v>
      </c>
      <c r="M320" s="3112">
        <v>0.50329999999999997</v>
      </c>
    </row>
    <row r="321" spans="1:13">
      <c r="A321" s="3110">
        <v>5.2</v>
      </c>
      <c r="B321" s="3111">
        <v>0.73560000000000003</v>
      </c>
      <c r="C321" s="3111">
        <v>0.73560000000000003</v>
      </c>
      <c r="D321" s="3111">
        <v>0.69110000000000005</v>
      </c>
      <c r="E321" s="3111">
        <v>0.69110000000000005</v>
      </c>
      <c r="F321" s="3111">
        <v>0.69110000000000005</v>
      </c>
      <c r="G321" s="3111">
        <v>0.58169999999999999</v>
      </c>
      <c r="H321" s="3111">
        <v>0.58169999999999999</v>
      </c>
      <c r="I321" s="3111">
        <v>0.50060000000000004</v>
      </c>
      <c r="J321" s="3111">
        <v>0.50060000000000004</v>
      </c>
      <c r="K321" s="3111">
        <v>0.50060000000000004</v>
      </c>
      <c r="L321" s="3111">
        <v>0.50060000000000004</v>
      </c>
      <c r="M321" s="3112">
        <v>0.50060000000000004</v>
      </c>
    </row>
    <row r="322" spans="1:13">
      <c r="A322" s="3110">
        <v>5.3</v>
      </c>
      <c r="B322" s="3111">
        <v>0.73380000000000001</v>
      </c>
      <c r="C322" s="3111">
        <v>0.73380000000000001</v>
      </c>
      <c r="D322" s="3111">
        <v>0.68869999999999998</v>
      </c>
      <c r="E322" s="3111">
        <v>0.68869999999999998</v>
      </c>
      <c r="F322" s="3111">
        <v>0.68869999999999998</v>
      </c>
      <c r="G322" s="3111">
        <v>0.57909999999999995</v>
      </c>
      <c r="H322" s="3111">
        <v>0.57909999999999995</v>
      </c>
      <c r="I322" s="3111">
        <v>0.49809999999999999</v>
      </c>
      <c r="J322" s="3111">
        <v>0.49809999999999999</v>
      </c>
      <c r="K322" s="3111">
        <v>0.49809999999999999</v>
      </c>
      <c r="L322" s="3111">
        <v>0.49809999999999999</v>
      </c>
      <c r="M322" s="3112">
        <v>0.49809999999999999</v>
      </c>
    </row>
    <row r="323" spans="1:13">
      <c r="A323" s="3110">
        <v>5.4</v>
      </c>
      <c r="B323" s="3111">
        <v>0.73199999999999998</v>
      </c>
      <c r="C323" s="3111">
        <v>0.73199999999999998</v>
      </c>
      <c r="D323" s="3111">
        <v>0.68640000000000001</v>
      </c>
      <c r="E323" s="3111">
        <v>0.68640000000000001</v>
      </c>
      <c r="F323" s="3111">
        <v>0.68640000000000001</v>
      </c>
      <c r="G323" s="3111">
        <v>0.57650000000000001</v>
      </c>
      <c r="H323" s="3111">
        <v>0.57650000000000001</v>
      </c>
      <c r="I323" s="3111">
        <v>0.49559999999999998</v>
      </c>
      <c r="J323" s="3111">
        <v>0.49559999999999998</v>
      </c>
      <c r="K323" s="3111">
        <v>0.49559999999999998</v>
      </c>
      <c r="L323" s="3111">
        <v>0.49559999999999998</v>
      </c>
      <c r="M323" s="3112">
        <v>0.49559999999999998</v>
      </c>
    </row>
    <row r="324" spans="1:13">
      <c r="A324" s="3110">
        <v>5.5</v>
      </c>
      <c r="B324" s="3111">
        <v>0.73009999999999997</v>
      </c>
      <c r="C324" s="3111">
        <v>0.73009999999999997</v>
      </c>
      <c r="D324" s="3111">
        <v>0.68420000000000003</v>
      </c>
      <c r="E324" s="3111">
        <v>0.68420000000000003</v>
      </c>
      <c r="F324" s="3111">
        <v>0.68420000000000003</v>
      </c>
      <c r="G324" s="3111">
        <v>0.57399999999999995</v>
      </c>
      <c r="H324" s="3111">
        <v>0.57399999999999995</v>
      </c>
      <c r="I324" s="3111">
        <v>0.49320000000000003</v>
      </c>
      <c r="J324" s="3111">
        <v>0.49320000000000003</v>
      </c>
      <c r="K324" s="3111">
        <v>0.49320000000000003</v>
      </c>
      <c r="L324" s="3111">
        <v>0.49320000000000003</v>
      </c>
      <c r="M324" s="3112">
        <v>0.49320000000000003</v>
      </c>
    </row>
    <row r="325" spans="1:13">
      <c r="A325" s="3110">
        <v>5.6</v>
      </c>
      <c r="B325" s="3111">
        <v>0.72819999999999996</v>
      </c>
      <c r="C325" s="3111">
        <v>0.72819999999999996</v>
      </c>
      <c r="D325" s="3111">
        <v>0.68200000000000005</v>
      </c>
      <c r="E325" s="3111">
        <v>0.68200000000000005</v>
      </c>
      <c r="F325" s="3111">
        <v>0.68200000000000005</v>
      </c>
      <c r="G325" s="3111">
        <v>0.57150000000000001</v>
      </c>
      <c r="H325" s="3111">
        <v>0.57150000000000001</v>
      </c>
      <c r="I325" s="3111">
        <v>0.49080000000000001</v>
      </c>
      <c r="J325" s="3111">
        <v>0.49080000000000001</v>
      </c>
      <c r="K325" s="3111">
        <v>0.49080000000000001</v>
      </c>
      <c r="L325" s="3111">
        <v>0.49080000000000001</v>
      </c>
      <c r="M325" s="3112">
        <v>0.49080000000000001</v>
      </c>
    </row>
    <row r="326" spans="1:13">
      <c r="A326" s="3113">
        <v>5.7</v>
      </c>
      <c r="B326" s="3111">
        <v>0.72640000000000005</v>
      </c>
      <c r="C326" s="3111">
        <v>0.72640000000000005</v>
      </c>
      <c r="D326" s="3111">
        <v>0.67989999999999995</v>
      </c>
      <c r="E326" s="3111">
        <v>0.67989999999999995</v>
      </c>
      <c r="F326" s="3111">
        <v>0.67989999999999995</v>
      </c>
      <c r="G326" s="3111">
        <v>0.56899999999999995</v>
      </c>
      <c r="H326" s="3111">
        <v>0.56899999999999995</v>
      </c>
      <c r="I326" s="3111">
        <v>0.4884</v>
      </c>
      <c r="J326" s="3111">
        <v>0.4884</v>
      </c>
      <c r="K326" s="3111">
        <v>0.4884</v>
      </c>
      <c r="L326" s="3111">
        <v>0.4884</v>
      </c>
      <c r="M326" s="3112">
        <v>0.4884</v>
      </c>
    </row>
    <row r="327" spans="1:13">
      <c r="A327" s="3110">
        <v>5.8</v>
      </c>
      <c r="B327" s="3111">
        <v>0.72460000000000002</v>
      </c>
      <c r="C327" s="3111">
        <v>0.72460000000000002</v>
      </c>
      <c r="D327" s="3111">
        <v>0.67779999999999996</v>
      </c>
      <c r="E327" s="3111">
        <v>0.67779999999999996</v>
      </c>
      <c r="F327" s="3111">
        <v>0.67779999999999996</v>
      </c>
      <c r="G327" s="3111">
        <v>0.56659999999999999</v>
      </c>
      <c r="H327" s="3111">
        <v>0.56659999999999999</v>
      </c>
      <c r="I327" s="3111">
        <v>0.48609999999999998</v>
      </c>
      <c r="J327" s="3111">
        <v>0.48609999999999998</v>
      </c>
      <c r="K327" s="3111">
        <v>0.48609999999999998</v>
      </c>
      <c r="L327" s="3111">
        <v>0.48609999999999998</v>
      </c>
      <c r="M327" s="3112">
        <v>0.48609999999999998</v>
      </c>
    </row>
    <row r="328" spans="1:13">
      <c r="A328" s="3110">
        <v>5.9</v>
      </c>
      <c r="B328" s="3111">
        <v>0.7228</v>
      </c>
      <c r="C328" s="3111">
        <v>0.7228</v>
      </c>
      <c r="D328" s="3111">
        <v>0.67569999999999997</v>
      </c>
      <c r="E328" s="3111">
        <v>0.67569999999999997</v>
      </c>
      <c r="F328" s="3111">
        <v>0.67569999999999997</v>
      </c>
      <c r="G328" s="3111">
        <v>0.56420000000000003</v>
      </c>
      <c r="H328" s="3111">
        <v>0.56420000000000003</v>
      </c>
      <c r="I328" s="3111">
        <v>0.48380000000000001</v>
      </c>
      <c r="J328" s="3111">
        <v>0.48380000000000001</v>
      </c>
      <c r="K328" s="3111">
        <v>0.48380000000000001</v>
      </c>
      <c r="L328" s="3111">
        <v>0.48380000000000001</v>
      </c>
      <c r="M328" s="3112">
        <v>0.48380000000000001</v>
      </c>
    </row>
    <row r="329" spans="1:13">
      <c r="A329" s="3110">
        <v>6</v>
      </c>
      <c r="B329" s="3111">
        <v>0.72099999999999997</v>
      </c>
      <c r="C329" s="3111">
        <v>0.72099999999999997</v>
      </c>
      <c r="D329" s="3111">
        <v>0.67359999999999998</v>
      </c>
      <c r="E329" s="3111">
        <v>0.67359999999999998</v>
      </c>
      <c r="F329" s="3111">
        <v>0.67359999999999998</v>
      </c>
      <c r="G329" s="3111">
        <v>0.56179999999999997</v>
      </c>
      <c r="H329" s="3111">
        <v>0.56179999999999997</v>
      </c>
      <c r="I329" s="3111">
        <v>0.48159999999999997</v>
      </c>
      <c r="J329" s="3111">
        <v>0.48159999999999997</v>
      </c>
      <c r="K329" s="3111">
        <v>0.48159999999999997</v>
      </c>
      <c r="L329" s="3111">
        <v>0.48159999999999997</v>
      </c>
      <c r="M329" s="3112">
        <v>0.48159999999999997</v>
      </c>
    </row>
    <row r="330" spans="1:13">
      <c r="A330" s="3110">
        <v>6.1</v>
      </c>
      <c r="B330" s="3111">
        <v>0.71930000000000005</v>
      </c>
      <c r="C330" s="3111">
        <v>0.71930000000000005</v>
      </c>
      <c r="D330" s="3111">
        <v>0.67159999999999997</v>
      </c>
      <c r="E330" s="3111">
        <v>0.67159999999999997</v>
      </c>
      <c r="F330" s="3111">
        <v>0.67159999999999997</v>
      </c>
      <c r="G330" s="3111">
        <v>0.55940000000000001</v>
      </c>
      <c r="H330" s="3111">
        <v>0.55940000000000001</v>
      </c>
      <c r="I330" s="3111">
        <v>0.4793</v>
      </c>
      <c r="J330" s="3111">
        <v>0.4793</v>
      </c>
      <c r="K330" s="3111">
        <v>0.4793</v>
      </c>
      <c r="L330" s="3111">
        <v>0.4793</v>
      </c>
      <c r="M330" s="3112">
        <v>0.4793</v>
      </c>
    </row>
    <row r="331" spans="1:13">
      <c r="A331" s="3110">
        <v>6.2</v>
      </c>
      <c r="B331" s="3111">
        <v>0.71760000000000002</v>
      </c>
      <c r="C331" s="3111">
        <v>0.71760000000000002</v>
      </c>
      <c r="D331" s="3111">
        <v>0.66959999999999997</v>
      </c>
      <c r="E331" s="3111">
        <v>0.66959999999999997</v>
      </c>
      <c r="F331" s="3111">
        <v>0.66959999999999997</v>
      </c>
      <c r="G331" s="3111">
        <v>0.55710000000000004</v>
      </c>
      <c r="H331" s="3111">
        <v>0.55710000000000004</v>
      </c>
      <c r="I331" s="3111">
        <v>0.47710000000000002</v>
      </c>
      <c r="J331" s="3111">
        <v>0.47710000000000002</v>
      </c>
      <c r="K331" s="3111">
        <v>0.47710000000000002</v>
      </c>
      <c r="L331" s="3111">
        <v>0.47710000000000002</v>
      </c>
      <c r="M331" s="3112">
        <v>0.47710000000000002</v>
      </c>
    </row>
    <row r="332" spans="1:13">
      <c r="A332" s="3110">
        <v>6.3</v>
      </c>
      <c r="B332" s="3111">
        <v>0.71589999999999998</v>
      </c>
      <c r="C332" s="3111">
        <v>0.71589999999999998</v>
      </c>
      <c r="D332" s="3111">
        <v>0.66759999999999997</v>
      </c>
      <c r="E332" s="3111">
        <v>0.66759999999999997</v>
      </c>
      <c r="F332" s="3111">
        <v>0.66759999999999997</v>
      </c>
      <c r="G332" s="3111">
        <v>0.55479999999999996</v>
      </c>
      <c r="H332" s="3111">
        <v>0.55479999999999996</v>
      </c>
      <c r="I332" s="3111">
        <v>0.47489999999999999</v>
      </c>
      <c r="J332" s="3111">
        <v>0.47489999999999999</v>
      </c>
      <c r="K332" s="3111">
        <v>0.47489999999999999</v>
      </c>
      <c r="L332" s="3111">
        <v>0.47489999999999999</v>
      </c>
      <c r="M332" s="3112">
        <v>0.47489999999999999</v>
      </c>
    </row>
    <row r="333" spans="1:13">
      <c r="A333" s="3110">
        <v>6.4</v>
      </c>
      <c r="B333" s="3111">
        <v>0.71419999999999995</v>
      </c>
      <c r="C333" s="3111">
        <v>0.71419999999999995</v>
      </c>
      <c r="D333" s="3111">
        <v>0.66559999999999997</v>
      </c>
      <c r="E333" s="3111">
        <v>0.66559999999999997</v>
      </c>
      <c r="F333" s="3111">
        <v>0.66559999999999997</v>
      </c>
      <c r="G333" s="3111">
        <v>0.55249999999999999</v>
      </c>
      <c r="H333" s="3111">
        <v>0.55249999999999999</v>
      </c>
      <c r="I333" s="3111">
        <v>0.47270000000000001</v>
      </c>
      <c r="J333" s="3111">
        <v>0.47270000000000001</v>
      </c>
      <c r="K333" s="3111">
        <v>0.47270000000000001</v>
      </c>
      <c r="L333" s="3111">
        <v>0.47270000000000001</v>
      </c>
      <c r="M333" s="3112">
        <v>0.47270000000000001</v>
      </c>
    </row>
    <row r="334" spans="1:13">
      <c r="A334" s="3110">
        <v>6.5</v>
      </c>
      <c r="B334" s="3111">
        <v>0.71250000000000002</v>
      </c>
      <c r="C334" s="3111">
        <v>0.71250000000000002</v>
      </c>
      <c r="D334" s="3111">
        <v>0.66359999999999997</v>
      </c>
      <c r="E334" s="3111">
        <v>0.66359999999999997</v>
      </c>
      <c r="F334" s="3111">
        <v>0.66359999999999997</v>
      </c>
      <c r="G334" s="3111">
        <v>0.55020000000000002</v>
      </c>
      <c r="H334" s="3111">
        <v>0.55020000000000002</v>
      </c>
      <c r="I334" s="3111">
        <v>0.47060000000000002</v>
      </c>
      <c r="J334" s="3111">
        <v>0.47060000000000002</v>
      </c>
      <c r="K334" s="3111">
        <v>0.47060000000000002</v>
      </c>
      <c r="L334" s="3111">
        <v>0.47060000000000002</v>
      </c>
      <c r="M334" s="3112">
        <v>0.47060000000000002</v>
      </c>
    </row>
    <row r="335" spans="1:13">
      <c r="A335" s="3110">
        <v>6.6</v>
      </c>
      <c r="B335" s="3111">
        <v>0.71089999999999998</v>
      </c>
      <c r="C335" s="3111">
        <v>0.71089999999999998</v>
      </c>
      <c r="D335" s="3111">
        <v>0.66159999999999997</v>
      </c>
      <c r="E335" s="3111">
        <v>0.66159999999999997</v>
      </c>
      <c r="F335" s="3111">
        <v>0.66159999999999997</v>
      </c>
      <c r="G335" s="3111">
        <v>0.54800000000000004</v>
      </c>
      <c r="H335" s="3111">
        <v>0.54800000000000004</v>
      </c>
      <c r="I335" s="3111">
        <v>0.46839999999999998</v>
      </c>
      <c r="J335" s="3111">
        <v>0.46839999999999998</v>
      </c>
      <c r="K335" s="3111">
        <v>0.46839999999999998</v>
      </c>
      <c r="L335" s="3111">
        <v>0.46839999999999998</v>
      </c>
      <c r="M335" s="3112">
        <v>0.46839999999999998</v>
      </c>
    </row>
    <row r="336" spans="1:13">
      <c r="A336" s="3110">
        <v>6.7</v>
      </c>
      <c r="B336" s="3111">
        <v>0.70930000000000004</v>
      </c>
      <c r="C336" s="3111">
        <v>0.70930000000000004</v>
      </c>
      <c r="D336" s="3111">
        <v>0.65969999999999995</v>
      </c>
      <c r="E336" s="3111">
        <v>0.65969999999999995</v>
      </c>
      <c r="F336" s="3111">
        <v>0.65969999999999995</v>
      </c>
      <c r="G336" s="3111">
        <v>0.54579999999999995</v>
      </c>
      <c r="H336" s="3111">
        <v>0.54579999999999995</v>
      </c>
      <c r="I336" s="3111">
        <v>0.46629999999999999</v>
      </c>
      <c r="J336" s="3111">
        <v>0.46629999999999999</v>
      </c>
      <c r="K336" s="3111">
        <v>0.46629999999999999</v>
      </c>
      <c r="L336" s="3111">
        <v>0.46629999999999999</v>
      </c>
      <c r="M336" s="3112">
        <v>0.46629999999999999</v>
      </c>
    </row>
    <row r="337" spans="1:13">
      <c r="A337" s="3110">
        <v>6.8</v>
      </c>
      <c r="B337" s="3111">
        <v>0.7077</v>
      </c>
      <c r="C337" s="3111">
        <v>0.7077</v>
      </c>
      <c r="D337" s="3111">
        <v>0.65780000000000005</v>
      </c>
      <c r="E337" s="3111">
        <v>0.65780000000000005</v>
      </c>
      <c r="F337" s="3111">
        <v>0.65780000000000005</v>
      </c>
      <c r="G337" s="3111">
        <v>0.54359999999999997</v>
      </c>
      <c r="H337" s="3111">
        <v>0.54359999999999997</v>
      </c>
      <c r="I337" s="3111">
        <v>0.46410000000000001</v>
      </c>
      <c r="J337" s="3111">
        <v>0.46410000000000001</v>
      </c>
      <c r="K337" s="3111">
        <v>0.46410000000000001</v>
      </c>
      <c r="L337" s="3111">
        <v>0.46410000000000001</v>
      </c>
      <c r="M337" s="3112">
        <v>0.46410000000000001</v>
      </c>
    </row>
    <row r="338" spans="1:13">
      <c r="A338" s="3110">
        <v>6.9</v>
      </c>
      <c r="B338" s="3111">
        <v>0.70609999999999995</v>
      </c>
      <c r="C338" s="3111">
        <v>0.70609999999999995</v>
      </c>
      <c r="D338" s="3111">
        <v>0.65590000000000004</v>
      </c>
      <c r="E338" s="3111">
        <v>0.65590000000000004</v>
      </c>
      <c r="F338" s="3111">
        <v>0.65590000000000004</v>
      </c>
      <c r="G338" s="3111">
        <v>0.54139999999999999</v>
      </c>
      <c r="H338" s="3111">
        <v>0.54139999999999999</v>
      </c>
      <c r="I338" s="3111">
        <v>0.46200000000000002</v>
      </c>
      <c r="J338" s="3111">
        <v>0.46200000000000002</v>
      </c>
      <c r="K338" s="3111">
        <v>0.46200000000000002</v>
      </c>
      <c r="L338" s="3111">
        <v>0.46200000000000002</v>
      </c>
      <c r="M338" s="3112">
        <v>0.46200000000000002</v>
      </c>
    </row>
    <row r="339" spans="1:13">
      <c r="A339" s="3110">
        <v>7</v>
      </c>
      <c r="B339" s="3111">
        <v>0.70450000000000002</v>
      </c>
      <c r="C339" s="3111">
        <v>0.70450000000000002</v>
      </c>
      <c r="D339" s="3111">
        <v>0.65400000000000003</v>
      </c>
      <c r="E339" s="3111">
        <v>0.65400000000000003</v>
      </c>
      <c r="F339" s="3111">
        <v>0.65400000000000003</v>
      </c>
      <c r="G339" s="3111">
        <v>0.53920000000000001</v>
      </c>
      <c r="H339" s="3111">
        <v>0.53920000000000001</v>
      </c>
      <c r="I339" s="3111">
        <v>0.45979999999999999</v>
      </c>
      <c r="J339" s="3111">
        <v>0.45979999999999999</v>
      </c>
      <c r="K339" s="3111">
        <v>0.45979999999999999</v>
      </c>
      <c r="L339" s="3111">
        <v>0.45979999999999999</v>
      </c>
      <c r="M339" s="3112">
        <v>0.45979999999999999</v>
      </c>
    </row>
    <row r="340" spans="1:13">
      <c r="A340" s="3110">
        <v>7.1</v>
      </c>
      <c r="B340" s="3111">
        <v>0.70289999999999997</v>
      </c>
      <c r="C340" s="3111">
        <v>0.70289999999999997</v>
      </c>
      <c r="D340" s="3111">
        <v>0.65210000000000001</v>
      </c>
      <c r="E340" s="3111">
        <v>0.65210000000000001</v>
      </c>
      <c r="F340" s="3111">
        <v>0.65210000000000001</v>
      </c>
      <c r="G340" s="3111">
        <v>0.53710000000000002</v>
      </c>
      <c r="H340" s="3111">
        <v>0.53710000000000002</v>
      </c>
      <c r="I340" s="3111">
        <v>0.45779999999999998</v>
      </c>
      <c r="J340" s="3111">
        <v>0.45779999999999998</v>
      </c>
      <c r="K340" s="3111">
        <v>0.45779999999999998</v>
      </c>
      <c r="L340" s="3111">
        <v>0.45779999999999998</v>
      </c>
      <c r="M340" s="3112">
        <v>0.45779999999999998</v>
      </c>
    </row>
    <row r="341" spans="1:13">
      <c r="A341" s="3110">
        <v>7.2</v>
      </c>
      <c r="B341" s="3111">
        <v>0.70140000000000002</v>
      </c>
      <c r="C341" s="3111">
        <v>0.70140000000000002</v>
      </c>
      <c r="D341" s="3111">
        <v>0.6502</v>
      </c>
      <c r="E341" s="3111">
        <v>0.6502</v>
      </c>
      <c r="F341" s="3111">
        <v>0.6502</v>
      </c>
      <c r="G341" s="3111">
        <v>0.53500000000000003</v>
      </c>
      <c r="H341" s="3111">
        <v>0.53500000000000003</v>
      </c>
      <c r="I341" s="3111">
        <v>0.45569999999999999</v>
      </c>
      <c r="J341" s="3111">
        <v>0.45569999999999999</v>
      </c>
      <c r="K341" s="3111">
        <v>0.45569999999999999</v>
      </c>
      <c r="L341" s="3111">
        <v>0.45569999999999999</v>
      </c>
      <c r="M341" s="3112">
        <v>0.45569999999999999</v>
      </c>
    </row>
    <row r="342" spans="1:13">
      <c r="A342" s="3110">
        <v>7.3</v>
      </c>
      <c r="B342" s="3111">
        <v>0.69989999999999997</v>
      </c>
      <c r="C342" s="3111">
        <v>0.69989999999999997</v>
      </c>
      <c r="D342" s="3111">
        <v>0.64829999999999999</v>
      </c>
      <c r="E342" s="3111">
        <v>0.64829999999999999</v>
      </c>
      <c r="F342" s="3111">
        <v>0.64829999999999999</v>
      </c>
      <c r="G342" s="3111">
        <v>0.53290000000000004</v>
      </c>
      <c r="H342" s="3111">
        <v>0.53290000000000004</v>
      </c>
      <c r="I342" s="3111">
        <v>0.45369999999999999</v>
      </c>
      <c r="J342" s="3111">
        <v>0.45369999999999999</v>
      </c>
      <c r="K342" s="3111">
        <v>0.45369999999999999</v>
      </c>
      <c r="L342" s="3111">
        <v>0.45369999999999999</v>
      </c>
      <c r="M342" s="3112">
        <v>0.45369999999999999</v>
      </c>
    </row>
    <row r="343" spans="1:13">
      <c r="A343" s="3110">
        <v>7.4</v>
      </c>
      <c r="B343" s="3111">
        <v>0.69840000000000002</v>
      </c>
      <c r="C343" s="3111">
        <v>0.69840000000000002</v>
      </c>
      <c r="D343" s="3111">
        <v>0.64649999999999996</v>
      </c>
      <c r="E343" s="3111">
        <v>0.64649999999999996</v>
      </c>
      <c r="F343" s="3111">
        <v>0.64649999999999996</v>
      </c>
      <c r="G343" s="3111">
        <v>0.53080000000000005</v>
      </c>
      <c r="H343" s="3111">
        <v>0.53080000000000005</v>
      </c>
      <c r="I343" s="3111">
        <v>0.4516</v>
      </c>
      <c r="J343" s="3111">
        <v>0.4516</v>
      </c>
      <c r="K343" s="3111">
        <v>0.4516</v>
      </c>
      <c r="L343" s="3111">
        <v>0.4516</v>
      </c>
      <c r="M343" s="3112">
        <v>0.4516</v>
      </c>
    </row>
    <row r="344" spans="1:13">
      <c r="A344" s="3110">
        <v>7.5</v>
      </c>
      <c r="B344" s="3111">
        <v>0.69689999999999996</v>
      </c>
      <c r="C344" s="3111">
        <v>0.69689999999999996</v>
      </c>
      <c r="D344" s="3111">
        <v>0.64470000000000005</v>
      </c>
      <c r="E344" s="3111">
        <v>0.64470000000000005</v>
      </c>
      <c r="F344" s="3111">
        <v>0.64470000000000005</v>
      </c>
      <c r="G344" s="3111">
        <v>0.52869999999999995</v>
      </c>
      <c r="H344" s="3111">
        <v>0.52869999999999995</v>
      </c>
      <c r="I344" s="3111">
        <v>0.44950000000000001</v>
      </c>
      <c r="J344" s="3111">
        <v>0.44950000000000001</v>
      </c>
      <c r="K344" s="3111">
        <v>0.44950000000000001</v>
      </c>
      <c r="L344" s="3111">
        <v>0.44950000000000001</v>
      </c>
      <c r="M344" s="3112">
        <v>0.44950000000000001</v>
      </c>
    </row>
    <row r="345" spans="1:13">
      <c r="A345" s="3110">
        <v>7.6</v>
      </c>
      <c r="B345" s="3111">
        <v>0.69540000000000002</v>
      </c>
      <c r="C345" s="3111">
        <v>0.69540000000000002</v>
      </c>
      <c r="D345" s="3111">
        <v>0.64290000000000003</v>
      </c>
      <c r="E345" s="3111">
        <v>0.64290000000000003</v>
      </c>
      <c r="F345" s="3111">
        <v>0.64290000000000003</v>
      </c>
      <c r="G345" s="3111">
        <v>0.52659999999999996</v>
      </c>
      <c r="H345" s="3111">
        <v>0.52659999999999996</v>
      </c>
      <c r="I345" s="3111">
        <v>0.44750000000000001</v>
      </c>
      <c r="J345" s="3111">
        <v>0.44750000000000001</v>
      </c>
      <c r="K345" s="3111">
        <v>0.44750000000000001</v>
      </c>
      <c r="L345" s="3111">
        <v>0.44750000000000001</v>
      </c>
      <c r="M345" s="3112">
        <v>0.44750000000000001</v>
      </c>
    </row>
    <row r="346" spans="1:13">
      <c r="A346" s="3110">
        <v>7.7</v>
      </c>
      <c r="B346" s="3111">
        <v>0.69389999999999996</v>
      </c>
      <c r="C346" s="3111">
        <v>0.69389999999999996</v>
      </c>
      <c r="D346" s="3111">
        <v>0.6411</v>
      </c>
      <c r="E346" s="3111">
        <v>0.6411</v>
      </c>
      <c r="F346" s="3111">
        <v>0.6411</v>
      </c>
      <c r="G346" s="3111">
        <v>0.52459999999999996</v>
      </c>
      <c r="H346" s="3111">
        <v>0.52459999999999996</v>
      </c>
      <c r="I346" s="3111">
        <v>0.44540000000000002</v>
      </c>
      <c r="J346" s="3111">
        <v>0.44540000000000002</v>
      </c>
      <c r="K346" s="3111">
        <v>0.44540000000000002</v>
      </c>
      <c r="L346" s="3111">
        <v>0.44540000000000002</v>
      </c>
      <c r="M346" s="3112">
        <v>0.44540000000000002</v>
      </c>
    </row>
    <row r="347" spans="1:13">
      <c r="A347" s="3110">
        <v>7.8</v>
      </c>
      <c r="B347" s="3111">
        <v>0.69240000000000002</v>
      </c>
      <c r="C347" s="3111">
        <v>0.69240000000000002</v>
      </c>
      <c r="D347" s="3111">
        <v>0.63929999999999998</v>
      </c>
      <c r="E347" s="3111">
        <v>0.63929999999999998</v>
      </c>
      <c r="F347" s="3111">
        <v>0.63929999999999998</v>
      </c>
      <c r="G347" s="3111">
        <v>0.52259999999999995</v>
      </c>
      <c r="H347" s="3111">
        <v>0.52259999999999995</v>
      </c>
      <c r="I347" s="3111">
        <v>0.44340000000000002</v>
      </c>
      <c r="J347" s="3111">
        <v>0.44340000000000002</v>
      </c>
      <c r="K347" s="3111">
        <v>0.44340000000000002</v>
      </c>
      <c r="L347" s="3111">
        <v>0.44340000000000002</v>
      </c>
      <c r="M347" s="3112">
        <v>0.44340000000000002</v>
      </c>
    </row>
    <row r="348" spans="1:13">
      <c r="A348" s="3110">
        <v>7.9</v>
      </c>
      <c r="B348" s="3111">
        <v>0.69099999999999995</v>
      </c>
      <c r="C348" s="3111">
        <v>0.69099999999999995</v>
      </c>
      <c r="D348" s="3111">
        <v>0.63749999999999996</v>
      </c>
      <c r="E348" s="3111">
        <v>0.63749999999999996</v>
      </c>
      <c r="F348" s="3111">
        <v>0.63749999999999996</v>
      </c>
      <c r="G348" s="3111">
        <v>0.52059999999999995</v>
      </c>
      <c r="H348" s="3111">
        <v>0.52059999999999995</v>
      </c>
      <c r="I348" s="3111">
        <v>0.44130000000000003</v>
      </c>
      <c r="J348" s="3111">
        <v>0.44130000000000003</v>
      </c>
      <c r="K348" s="3111">
        <v>0.44130000000000003</v>
      </c>
      <c r="L348" s="3111">
        <v>0.44130000000000003</v>
      </c>
      <c r="M348" s="3112">
        <v>0.44130000000000003</v>
      </c>
    </row>
    <row r="349" spans="1:13">
      <c r="A349" s="3110">
        <v>8</v>
      </c>
      <c r="B349" s="3111">
        <v>0.68959999999999999</v>
      </c>
      <c r="C349" s="3111">
        <v>0.68959999999999999</v>
      </c>
      <c r="D349" s="3111">
        <v>0.63570000000000004</v>
      </c>
      <c r="E349" s="3111">
        <v>0.63570000000000004</v>
      </c>
      <c r="F349" s="3111">
        <v>0.63570000000000004</v>
      </c>
      <c r="G349" s="3111">
        <v>0.51859999999999995</v>
      </c>
      <c r="H349" s="3111">
        <v>0.51859999999999995</v>
      </c>
      <c r="I349" s="3111">
        <v>0.43919999999999998</v>
      </c>
      <c r="J349" s="3111">
        <v>0.43919999999999998</v>
      </c>
      <c r="K349" s="3111">
        <v>0.43919999999999998</v>
      </c>
      <c r="L349" s="3111">
        <v>0.43919999999999998</v>
      </c>
      <c r="M349" s="3112">
        <v>0.43919999999999998</v>
      </c>
    </row>
    <row r="350" spans="1:13">
      <c r="A350" s="3110">
        <v>8.1</v>
      </c>
      <c r="B350" s="3111">
        <v>0.68820000000000003</v>
      </c>
      <c r="C350" s="3111">
        <v>0.68820000000000003</v>
      </c>
      <c r="D350" s="3111">
        <v>0.63390000000000002</v>
      </c>
      <c r="E350" s="3111">
        <v>0.63390000000000002</v>
      </c>
      <c r="F350" s="3111">
        <v>0.63390000000000002</v>
      </c>
      <c r="G350" s="3111">
        <v>0.51659999999999995</v>
      </c>
      <c r="H350" s="3111">
        <v>0.51659999999999995</v>
      </c>
      <c r="I350" s="3111">
        <v>0.43730000000000002</v>
      </c>
      <c r="J350" s="3111">
        <v>0.43730000000000002</v>
      </c>
      <c r="K350" s="3111">
        <v>0.43730000000000002</v>
      </c>
      <c r="L350" s="3111">
        <v>0.43730000000000002</v>
      </c>
      <c r="M350" s="3112">
        <v>0.43730000000000002</v>
      </c>
    </row>
    <row r="351" spans="1:13">
      <c r="A351" s="3110">
        <v>8.1999999999999993</v>
      </c>
      <c r="B351" s="3111">
        <v>0.68679999999999997</v>
      </c>
      <c r="C351" s="3111">
        <v>0.68679999999999997</v>
      </c>
      <c r="D351" s="3111">
        <v>0.63219999999999998</v>
      </c>
      <c r="E351" s="3111">
        <v>0.63219999999999998</v>
      </c>
      <c r="F351" s="3111">
        <v>0.63219999999999998</v>
      </c>
      <c r="G351" s="3111">
        <v>0.51459999999999995</v>
      </c>
      <c r="H351" s="3111">
        <v>0.51459999999999995</v>
      </c>
      <c r="I351" s="3111">
        <v>0.43530000000000002</v>
      </c>
      <c r="J351" s="3111">
        <v>0.43530000000000002</v>
      </c>
      <c r="K351" s="3111">
        <v>0.43530000000000002</v>
      </c>
      <c r="L351" s="3111">
        <v>0.43530000000000002</v>
      </c>
      <c r="M351" s="3112">
        <v>0.43530000000000002</v>
      </c>
    </row>
    <row r="352" spans="1:13">
      <c r="A352" s="3110">
        <v>8.3000000000000007</v>
      </c>
      <c r="B352" s="3111">
        <v>0.68540000000000001</v>
      </c>
      <c r="C352" s="3111">
        <v>0.68540000000000001</v>
      </c>
      <c r="D352" s="3111">
        <v>0.63049999999999995</v>
      </c>
      <c r="E352" s="3111">
        <v>0.63049999999999995</v>
      </c>
      <c r="F352" s="3111">
        <v>0.63049999999999995</v>
      </c>
      <c r="G352" s="3111">
        <v>0.51259999999999994</v>
      </c>
      <c r="H352" s="3111">
        <v>0.51259999999999994</v>
      </c>
      <c r="I352" s="3111">
        <v>0.43330000000000002</v>
      </c>
      <c r="J352" s="3111">
        <v>0.43330000000000002</v>
      </c>
      <c r="K352" s="3111">
        <v>0.43330000000000002</v>
      </c>
      <c r="L352" s="3111">
        <v>0.43330000000000002</v>
      </c>
      <c r="M352" s="3112">
        <v>0.43330000000000002</v>
      </c>
    </row>
    <row r="353" spans="1:13">
      <c r="A353" s="3110">
        <v>8.4</v>
      </c>
      <c r="B353" s="3111">
        <v>0.68400000000000005</v>
      </c>
      <c r="C353" s="3111">
        <v>0.68400000000000005</v>
      </c>
      <c r="D353" s="3111">
        <v>0.62880000000000003</v>
      </c>
      <c r="E353" s="3111">
        <v>0.62880000000000003</v>
      </c>
      <c r="F353" s="3111">
        <v>0.62880000000000003</v>
      </c>
      <c r="G353" s="3111">
        <v>0.51070000000000004</v>
      </c>
      <c r="H353" s="3111">
        <v>0.51070000000000004</v>
      </c>
      <c r="I353" s="3111">
        <v>0.43130000000000002</v>
      </c>
      <c r="J353" s="3111">
        <v>0.43130000000000002</v>
      </c>
      <c r="K353" s="3111">
        <v>0.43130000000000002</v>
      </c>
      <c r="L353" s="3111">
        <v>0.43130000000000002</v>
      </c>
      <c r="M353" s="3112">
        <v>0.43130000000000002</v>
      </c>
    </row>
    <row r="354" spans="1:13">
      <c r="A354" s="3110">
        <v>8.5</v>
      </c>
      <c r="B354" s="3111">
        <v>0.68259999999999998</v>
      </c>
      <c r="C354" s="3111">
        <v>0.68259999999999998</v>
      </c>
      <c r="D354" s="3111">
        <v>0.62709999999999999</v>
      </c>
      <c r="E354" s="3111">
        <v>0.62709999999999999</v>
      </c>
      <c r="F354" s="3111">
        <v>0.62709999999999999</v>
      </c>
      <c r="G354" s="3111">
        <v>0.50880000000000003</v>
      </c>
      <c r="H354" s="3111">
        <v>0.50880000000000003</v>
      </c>
      <c r="I354" s="3111">
        <v>0.4294</v>
      </c>
      <c r="J354" s="3111">
        <v>0.4294</v>
      </c>
      <c r="K354" s="3111">
        <v>0.4294</v>
      </c>
      <c r="L354" s="3111">
        <v>0.4294</v>
      </c>
      <c r="M354" s="3112">
        <v>0.4294</v>
      </c>
    </row>
    <row r="355" spans="1:13">
      <c r="A355" s="3110">
        <v>8.6</v>
      </c>
      <c r="B355" s="3111">
        <v>0.68120000000000003</v>
      </c>
      <c r="C355" s="3111">
        <v>0.68120000000000003</v>
      </c>
      <c r="D355" s="3111">
        <v>0.62539999999999996</v>
      </c>
      <c r="E355" s="3111">
        <v>0.62539999999999996</v>
      </c>
      <c r="F355" s="3111">
        <v>0.62539999999999996</v>
      </c>
      <c r="G355" s="3111">
        <v>0.50690000000000002</v>
      </c>
      <c r="H355" s="3111">
        <v>0.50690000000000002</v>
      </c>
      <c r="I355" s="3111">
        <v>0.4274</v>
      </c>
      <c r="J355" s="3111">
        <v>0.4274</v>
      </c>
      <c r="K355" s="3111">
        <v>0.4274</v>
      </c>
      <c r="L355" s="3111">
        <v>0.4274</v>
      </c>
      <c r="M355" s="3112">
        <v>0.4274</v>
      </c>
    </row>
    <row r="356" spans="1:13">
      <c r="A356" s="3110">
        <v>8.6999999999999993</v>
      </c>
      <c r="B356" s="3111">
        <v>0.67989999999999995</v>
      </c>
      <c r="C356" s="3111">
        <v>0.67989999999999995</v>
      </c>
      <c r="D356" s="3111">
        <v>0.62370000000000003</v>
      </c>
      <c r="E356" s="3111">
        <v>0.62370000000000003</v>
      </c>
      <c r="F356" s="3111">
        <v>0.62370000000000003</v>
      </c>
      <c r="G356" s="3111">
        <v>0.505</v>
      </c>
      <c r="H356" s="3111">
        <v>0.505</v>
      </c>
      <c r="I356" s="3111">
        <v>0.4254</v>
      </c>
      <c r="J356" s="3111">
        <v>0.4254</v>
      </c>
      <c r="K356" s="3111">
        <v>0.4254</v>
      </c>
      <c r="L356" s="3111">
        <v>0.4254</v>
      </c>
      <c r="M356" s="3112">
        <v>0.4254</v>
      </c>
    </row>
    <row r="357" spans="1:13">
      <c r="A357" s="3110">
        <v>8.8000000000000007</v>
      </c>
      <c r="B357" s="3111">
        <v>0.67859999999999998</v>
      </c>
      <c r="C357" s="3111">
        <v>0.67859999999999998</v>
      </c>
      <c r="D357" s="3111">
        <v>0.622</v>
      </c>
      <c r="E357" s="3111">
        <v>0.622</v>
      </c>
      <c r="F357" s="3111">
        <v>0.622</v>
      </c>
      <c r="G357" s="3111">
        <v>0.50309999999999999</v>
      </c>
      <c r="H357" s="3111">
        <v>0.50309999999999999</v>
      </c>
      <c r="I357" s="3111">
        <v>0.4234</v>
      </c>
      <c r="J357" s="3111">
        <v>0.4234</v>
      </c>
      <c r="K357" s="3111">
        <v>0.4234</v>
      </c>
      <c r="L357" s="3111">
        <v>0.4234</v>
      </c>
      <c r="M357" s="3112">
        <v>0.4234</v>
      </c>
    </row>
    <row r="358" spans="1:13">
      <c r="A358" s="3110">
        <v>8.9</v>
      </c>
      <c r="B358" s="3111">
        <v>0.67730000000000001</v>
      </c>
      <c r="C358" s="3111">
        <v>0.67730000000000001</v>
      </c>
      <c r="D358" s="3111">
        <v>0.62029999999999996</v>
      </c>
      <c r="E358" s="3111">
        <v>0.62029999999999996</v>
      </c>
      <c r="F358" s="3111">
        <v>0.62029999999999996</v>
      </c>
      <c r="G358" s="3111">
        <v>0.50119999999999998</v>
      </c>
      <c r="H358" s="3111">
        <v>0.50119999999999998</v>
      </c>
      <c r="I358" s="3111">
        <v>0.42149999999999999</v>
      </c>
      <c r="J358" s="3111">
        <v>0.42149999999999999</v>
      </c>
      <c r="K358" s="3111">
        <v>0.42149999999999999</v>
      </c>
      <c r="L358" s="3111">
        <v>0.42149999999999999</v>
      </c>
      <c r="M358" s="3112">
        <v>0.42149999999999999</v>
      </c>
    </row>
    <row r="359" spans="1:13">
      <c r="A359" s="3113">
        <v>9</v>
      </c>
      <c r="B359" s="3111">
        <v>0.67600000000000005</v>
      </c>
      <c r="C359" s="3111">
        <v>0.67600000000000005</v>
      </c>
      <c r="D359" s="3111">
        <v>0.61870000000000003</v>
      </c>
      <c r="E359" s="3111">
        <v>0.61870000000000003</v>
      </c>
      <c r="F359" s="3111">
        <v>0.61870000000000003</v>
      </c>
      <c r="G359" s="3111">
        <v>0.49930000000000002</v>
      </c>
      <c r="H359" s="3111">
        <v>0.49930000000000002</v>
      </c>
      <c r="I359" s="3111">
        <v>0.41949999999999998</v>
      </c>
      <c r="J359" s="3111">
        <v>0.41949999999999998</v>
      </c>
      <c r="K359" s="3111">
        <v>0.41949999999999998</v>
      </c>
      <c r="L359" s="3111">
        <v>0.41949999999999998</v>
      </c>
      <c r="M359" s="3112">
        <v>0.41949999999999998</v>
      </c>
    </row>
    <row r="360" spans="1:13">
      <c r="A360" s="3113">
        <v>9.1</v>
      </c>
      <c r="B360" s="3111">
        <v>0.67469999999999997</v>
      </c>
      <c r="C360" s="3111">
        <v>0.67469999999999997</v>
      </c>
      <c r="D360" s="3111">
        <v>0.61709999999999998</v>
      </c>
      <c r="E360" s="3111">
        <v>0.61709999999999998</v>
      </c>
      <c r="F360" s="3111">
        <v>0.61709999999999998</v>
      </c>
      <c r="G360" s="3111">
        <v>0.49740000000000001</v>
      </c>
      <c r="H360" s="3111">
        <v>0.49740000000000001</v>
      </c>
      <c r="I360" s="3111">
        <v>0.41760000000000003</v>
      </c>
      <c r="J360" s="3111">
        <v>0.41760000000000003</v>
      </c>
      <c r="K360" s="3111">
        <v>0.41760000000000003</v>
      </c>
      <c r="L360" s="3111">
        <v>0.41760000000000003</v>
      </c>
      <c r="M360" s="3112">
        <v>0.41760000000000003</v>
      </c>
    </row>
    <row r="361" spans="1:13">
      <c r="A361" s="3113">
        <v>9.1999999999999993</v>
      </c>
      <c r="B361" s="3111">
        <v>0.6734</v>
      </c>
      <c r="C361" s="3111">
        <v>0.6734</v>
      </c>
      <c r="D361" s="3111">
        <v>0.61550000000000005</v>
      </c>
      <c r="E361" s="3111">
        <v>0.61550000000000005</v>
      </c>
      <c r="F361" s="3111">
        <v>0.61550000000000005</v>
      </c>
      <c r="G361" s="3111">
        <v>0.49559999999999998</v>
      </c>
      <c r="H361" s="3111">
        <v>0.49559999999999998</v>
      </c>
      <c r="I361" s="3111">
        <v>0.41570000000000001</v>
      </c>
      <c r="J361" s="3111">
        <v>0.41570000000000001</v>
      </c>
      <c r="K361" s="3111">
        <v>0.41570000000000001</v>
      </c>
      <c r="L361" s="3111">
        <v>0.41570000000000001</v>
      </c>
      <c r="M361" s="3112">
        <v>0.41570000000000001</v>
      </c>
    </row>
    <row r="362" spans="1:13">
      <c r="A362" s="3113">
        <v>9.3000000000000007</v>
      </c>
      <c r="B362" s="3111">
        <v>0.67210000000000003</v>
      </c>
      <c r="C362" s="3111">
        <v>0.67210000000000003</v>
      </c>
      <c r="D362" s="3111">
        <v>0.6139</v>
      </c>
      <c r="E362" s="3111">
        <v>0.6139</v>
      </c>
      <c r="F362" s="3111">
        <v>0.6139</v>
      </c>
      <c r="G362" s="3111">
        <v>0.49380000000000002</v>
      </c>
      <c r="H362" s="3111">
        <v>0.49380000000000002</v>
      </c>
      <c r="I362" s="3111">
        <v>0.4138</v>
      </c>
      <c r="J362" s="3111">
        <v>0.4138</v>
      </c>
      <c r="K362" s="3111">
        <v>0.4138</v>
      </c>
      <c r="L362" s="3111">
        <v>0.4138</v>
      </c>
      <c r="M362" s="3112">
        <v>0.4138</v>
      </c>
    </row>
    <row r="363" spans="1:13">
      <c r="A363" s="3113">
        <v>9.4</v>
      </c>
      <c r="B363" s="3111">
        <v>0.67079999999999995</v>
      </c>
      <c r="C363" s="3111">
        <v>0.67079999999999995</v>
      </c>
      <c r="D363" s="3111">
        <v>0.61229999999999996</v>
      </c>
      <c r="E363" s="3111">
        <v>0.61229999999999996</v>
      </c>
      <c r="F363" s="3111">
        <v>0.61229999999999996</v>
      </c>
      <c r="G363" s="3111">
        <v>0.49199999999999999</v>
      </c>
      <c r="H363" s="3111">
        <v>0.49199999999999999</v>
      </c>
      <c r="I363" s="3111">
        <v>0.41189999999999999</v>
      </c>
      <c r="J363" s="3111">
        <v>0.41189999999999999</v>
      </c>
      <c r="K363" s="3111">
        <v>0.41189999999999999</v>
      </c>
      <c r="L363" s="3111">
        <v>0.41189999999999999</v>
      </c>
      <c r="M363" s="3112">
        <v>0.41189999999999999</v>
      </c>
    </row>
    <row r="364" spans="1:13">
      <c r="A364" s="3113">
        <v>9.5</v>
      </c>
      <c r="B364" s="3111">
        <v>0.66959999999999997</v>
      </c>
      <c r="C364" s="3111">
        <v>0.66959999999999997</v>
      </c>
      <c r="D364" s="3111">
        <v>0.61070000000000002</v>
      </c>
      <c r="E364" s="3111">
        <v>0.61070000000000002</v>
      </c>
      <c r="F364" s="3111">
        <v>0.61070000000000002</v>
      </c>
      <c r="G364" s="3111">
        <v>0.49020000000000002</v>
      </c>
      <c r="H364" s="3111">
        <v>0.49020000000000002</v>
      </c>
      <c r="I364" s="3111">
        <v>0.41</v>
      </c>
      <c r="J364" s="3111">
        <v>0.41</v>
      </c>
      <c r="K364" s="3111">
        <v>0.41</v>
      </c>
      <c r="L364" s="3111">
        <v>0.41</v>
      </c>
      <c r="M364" s="3112">
        <v>0.41</v>
      </c>
    </row>
    <row r="365" spans="1:13">
      <c r="A365" s="3113">
        <v>9.6</v>
      </c>
      <c r="B365" s="3111">
        <v>0.66839999999999999</v>
      </c>
      <c r="C365" s="3111">
        <v>0.66839999999999999</v>
      </c>
      <c r="D365" s="3111">
        <v>0.60909999999999997</v>
      </c>
      <c r="E365" s="3111">
        <v>0.60909999999999997</v>
      </c>
      <c r="F365" s="3111">
        <v>0.60909999999999997</v>
      </c>
      <c r="G365" s="3111">
        <v>0.4884</v>
      </c>
      <c r="H365" s="3111">
        <v>0.4884</v>
      </c>
      <c r="I365" s="3111">
        <v>0.40810000000000002</v>
      </c>
      <c r="J365" s="3111">
        <v>0.40810000000000002</v>
      </c>
      <c r="K365" s="3111">
        <v>0.40810000000000002</v>
      </c>
      <c r="L365" s="3111">
        <v>0.40810000000000002</v>
      </c>
      <c r="M365" s="3112">
        <v>0.40810000000000002</v>
      </c>
    </row>
    <row r="366" spans="1:13">
      <c r="A366" s="3113">
        <v>9.6999999999999993</v>
      </c>
      <c r="B366" s="3111">
        <v>0.66720000000000002</v>
      </c>
      <c r="C366" s="3111">
        <v>0.66720000000000002</v>
      </c>
      <c r="D366" s="3111">
        <v>0.60750000000000004</v>
      </c>
      <c r="E366" s="3111">
        <v>0.60750000000000004</v>
      </c>
      <c r="F366" s="3111">
        <v>0.60750000000000004</v>
      </c>
      <c r="G366" s="3111">
        <v>0.48659999999999998</v>
      </c>
      <c r="H366" s="3111">
        <v>0.48659999999999998</v>
      </c>
      <c r="I366" s="3111">
        <v>0.40620000000000001</v>
      </c>
      <c r="J366" s="3111">
        <v>0.40620000000000001</v>
      </c>
      <c r="K366" s="3111">
        <v>0.40620000000000001</v>
      </c>
      <c r="L366" s="3111">
        <v>0.40620000000000001</v>
      </c>
      <c r="M366" s="3112">
        <v>0.40620000000000001</v>
      </c>
    </row>
    <row r="367" spans="1:13">
      <c r="A367" s="3113">
        <v>9.8000000000000007</v>
      </c>
      <c r="B367" s="3111">
        <v>0.66600000000000004</v>
      </c>
      <c r="C367" s="3111">
        <v>0.66600000000000004</v>
      </c>
      <c r="D367" s="3111">
        <v>0.60599999999999998</v>
      </c>
      <c r="E367" s="3111">
        <v>0.60599999999999998</v>
      </c>
      <c r="F367" s="3111">
        <v>0.60599999999999998</v>
      </c>
      <c r="G367" s="3111">
        <v>0.48480000000000001</v>
      </c>
      <c r="H367" s="3111">
        <v>0.48480000000000001</v>
      </c>
      <c r="I367" s="3111">
        <v>0.40429999999999999</v>
      </c>
      <c r="J367" s="3111">
        <v>0.40429999999999999</v>
      </c>
      <c r="K367" s="3111">
        <v>0.40429999999999999</v>
      </c>
      <c r="L367" s="3111">
        <v>0.40429999999999999</v>
      </c>
      <c r="M367" s="3112">
        <v>0.40429999999999999</v>
      </c>
    </row>
    <row r="368" spans="1:13" ht="14.25" thickBot="1">
      <c r="A368" s="3114">
        <v>9.9</v>
      </c>
      <c r="B368" s="3115">
        <v>0.66479999999999995</v>
      </c>
      <c r="C368" s="3115">
        <v>0.66479999999999995</v>
      </c>
      <c r="D368" s="3115">
        <v>0.60450000000000004</v>
      </c>
      <c r="E368" s="3115">
        <v>0.60450000000000004</v>
      </c>
      <c r="F368" s="3115">
        <v>0.60450000000000004</v>
      </c>
      <c r="G368" s="3115">
        <v>0.48299999999999998</v>
      </c>
      <c r="H368" s="3115">
        <v>0.48299999999999998</v>
      </c>
      <c r="I368" s="3115">
        <v>0.40239999999999998</v>
      </c>
      <c r="J368" s="3115">
        <v>0.40239999999999998</v>
      </c>
      <c r="K368" s="3115">
        <v>0.40239999999999998</v>
      </c>
      <c r="L368" s="3115">
        <v>0.40239999999999998</v>
      </c>
      <c r="M368" s="3116">
        <v>0.40239999999999998</v>
      </c>
    </row>
    <row r="369" spans="1:20" ht="15" thickBot="1">
      <c r="A369" s="3104" t="s">
        <v>2787</v>
      </c>
      <c r="B369" s="3117"/>
      <c r="C369" s="3117"/>
      <c r="D369" s="3117"/>
      <c r="E369" s="3117"/>
      <c r="F369" s="3117"/>
      <c r="G369" s="3117"/>
      <c r="H369" s="3117"/>
      <c r="I369" s="3117"/>
      <c r="J369" s="3117"/>
      <c r="K369" s="3117"/>
      <c r="L369" s="3117"/>
      <c r="M369" s="3117"/>
    </row>
    <row r="370" spans="1:20">
      <c r="A370" s="3105" t="s">
        <v>2783</v>
      </c>
      <c r="B370" s="3106" t="s">
        <v>2579</v>
      </c>
      <c r="C370" s="3106" t="s">
        <v>2580</v>
      </c>
      <c r="D370" s="3106" t="s">
        <v>2581</v>
      </c>
      <c r="E370" s="3106" t="s">
        <v>2582</v>
      </c>
      <c r="F370" s="3106" t="s">
        <v>2583</v>
      </c>
      <c r="G370" s="3106" t="s">
        <v>2584</v>
      </c>
      <c r="H370" s="3107" t="s">
        <v>2585</v>
      </c>
      <c r="I370" s="3107" t="s">
        <v>2586</v>
      </c>
      <c r="J370" s="3108" t="s">
        <v>2587</v>
      </c>
      <c r="K370" s="3108" t="s">
        <v>2588</v>
      </c>
      <c r="L370" s="3108" t="s">
        <v>2589</v>
      </c>
      <c r="M370" s="3109" t="s">
        <v>2590</v>
      </c>
      <c r="N370" s="750" t="e">
        <f>SUMPRODUCT((A371:A460=ROUNDDOWN(基准地价修正!G3,1))*(B370:M370=基准地价修正!G2)*(B371:M460))</f>
        <v>#DIV/0!</v>
      </c>
      <c r="Q370" s="3119" t="s">
        <v>2788</v>
      </c>
      <c r="R370" s="3119" t="s">
        <v>2789</v>
      </c>
      <c r="S370" s="3119" t="s">
        <v>2790</v>
      </c>
      <c r="T370" s="3119" t="s">
        <v>2791</v>
      </c>
    </row>
    <row r="371" spans="1:20">
      <c r="A371" s="3110">
        <v>1</v>
      </c>
      <c r="B371" s="3111">
        <v>1.1839999999999999</v>
      </c>
      <c r="C371" s="3111">
        <v>1.1839999999999999</v>
      </c>
      <c r="D371" s="3111">
        <v>1.1565000000000001</v>
      </c>
      <c r="E371" s="3111">
        <v>1.1565000000000001</v>
      </c>
      <c r="F371" s="3111">
        <v>1.1565000000000001</v>
      </c>
      <c r="G371" s="3111">
        <v>1.1565000000000001</v>
      </c>
      <c r="H371" s="3111">
        <v>1.1565000000000001</v>
      </c>
      <c r="I371" s="3111">
        <v>1.1198999999999999</v>
      </c>
      <c r="J371" s="3111">
        <v>1.1198999999999999</v>
      </c>
      <c r="K371" s="3111">
        <v>1.1198999999999999</v>
      </c>
      <c r="L371" s="3111">
        <v>1.1198999999999999</v>
      </c>
      <c r="M371" s="3112">
        <v>1.1198999999999999</v>
      </c>
      <c r="Q371" s="3119">
        <v>10</v>
      </c>
      <c r="R371" s="3119">
        <f>ROUND(0.9404-0.0106*Q371,4)</f>
        <v>0.83440000000000003</v>
      </c>
      <c r="S371" s="3119">
        <f>ROUND(0.8955-0.0135*Q371,4)</f>
        <v>0.76049999999999995</v>
      </c>
      <c r="T371" s="3119">
        <f>ROUND(0.7632-0.0166*Q371,4)</f>
        <v>0.59719999999999995</v>
      </c>
    </row>
    <row r="372" spans="1:20">
      <c r="A372" s="3110">
        <v>1.1000000000000001</v>
      </c>
      <c r="B372" s="3111">
        <v>1.1658999999999999</v>
      </c>
      <c r="C372" s="3111">
        <v>1.1658999999999999</v>
      </c>
      <c r="D372" s="3111">
        <v>1.1364000000000001</v>
      </c>
      <c r="E372" s="3111">
        <v>1.1364000000000001</v>
      </c>
      <c r="F372" s="3111">
        <v>1.1364000000000001</v>
      </c>
      <c r="G372" s="3111">
        <v>1.1364000000000001</v>
      </c>
      <c r="H372" s="3111">
        <v>1.1364000000000001</v>
      </c>
      <c r="I372" s="3111">
        <v>1.0931</v>
      </c>
      <c r="J372" s="3111">
        <v>1.0931</v>
      </c>
      <c r="K372" s="3111">
        <v>1.0931</v>
      </c>
      <c r="L372" s="3111">
        <v>1.0931</v>
      </c>
      <c r="M372" s="3112">
        <v>1.0931</v>
      </c>
    </row>
    <row r="373" spans="1:20">
      <c r="A373" s="3110">
        <v>1.2</v>
      </c>
      <c r="B373" s="3111">
        <v>1.1489</v>
      </c>
      <c r="C373" s="3111">
        <v>1.1489</v>
      </c>
      <c r="D373" s="3111">
        <v>1.1174999999999999</v>
      </c>
      <c r="E373" s="3111">
        <v>1.1174999999999999</v>
      </c>
      <c r="F373" s="3111">
        <v>1.1174999999999999</v>
      </c>
      <c r="G373" s="3111">
        <v>1.1174999999999999</v>
      </c>
      <c r="H373" s="3111">
        <v>1.1174999999999999</v>
      </c>
      <c r="I373" s="3111">
        <v>1.0678000000000001</v>
      </c>
      <c r="J373" s="3111">
        <v>1.0678000000000001</v>
      </c>
      <c r="K373" s="3111">
        <v>1.0678000000000001</v>
      </c>
      <c r="L373" s="3111">
        <v>1.0678000000000001</v>
      </c>
      <c r="M373" s="3112">
        <v>1.0678000000000001</v>
      </c>
    </row>
    <row r="374" spans="1:20">
      <c r="A374" s="3110">
        <v>1.3</v>
      </c>
      <c r="B374" s="3111">
        <v>1.1328</v>
      </c>
      <c r="C374" s="3111">
        <v>1.1328</v>
      </c>
      <c r="D374" s="3111">
        <v>1.0995999999999999</v>
      </c>
      <c r="E374" s="3111">
        <v>1.0995999999999999</v>
      </c>
      <c r="F374" s="3111">
        <v>1.0995999999999999</v>
      </c>
      <c r="G374" s="3111">
        <v>1.0995999999999999</v>
      </c>
      <c r="H374" s="3111">
        <v>1.0995999999999999</v>
      </c>
      <c r="I374" s="3111">
        <v>1.044</v>
      </c>
      <c r="J374" s="3111">
        <v>1.044</v>
      </c>
      <c r="K374" s="3111">
        <v>1.044</v>
      </c>
      <c r="L374" s="3111">
        <v>1.044</v>
      </c>
      <c r="M374" s="3112">
        <v>1.044</v>
      </c>
    </row>
    <row r="375" spans="1:20">
      <c r="A375" s="3110">
        <v>1.4</v>
      </c>
      <c r="B375" s="3111">
        <v>1.1175999999999999</v>
      </c>
      <c r="C375" s="3111">
        <v>1.1175999999999999</v>
      </c>
      <c r="D375" s="3111">
        <v>1.0827</v>
      </c>
      <c r="E375" s="3111">
        <v>1.0827</v>
      </c>
      <c r="F375" s="3111">
        <v>1.0827</v>
      </c>
      <c r="G375" s="3111">
        <v>1.0827</v>
      </c>
      <c r="H375" s="3111">
        <v>1.0827</v>
      </c>
      <c r="I375" s="3111">
        <v>1.0214000000000001</v>
      </c>
      <c r="J375" s="3111">
        <v>1.0214000000000001</v>
      </c>
      <c r="K375" s="3111">
        <v>1.0214000000000001</v>
      </c>
      <c r="L375" s="3111">
        <v>1.0214000000000001</v>
      </c>
      <c r="M375" s="3112">
        <v>1.0214000000000001</v>
      </c>
    </row>
    <row r="376" spans="1:20">
      <c r="A376" s="3110">
        <v>1.5</v>
      </c>
      <c r="B376" s="3111">
        <v>1.1032999999999999</v>
      </c>
      <c r="C376" s="3111">
        <v>1.1032999999999999</v>
      </c>
      <c r="D376" s="3111">
        <v>1.0668</v>
      </c>
      <c r="E376" s="3111">
        <v>1.0668</v>
      </c>
      <c r="F376" s="3111">
        <v>1.0668</v>
      </c>
      <c r="G376" s="3111">
        <v>1.0668</v>
      </c>
      <c r="H376" s="3111">
        <v>1.0668</v>
      </c>
      <c r="I376" s="3111">
        <v>1</v>
      </c>
      <c r="J376" s="3111">
        <v>1</v>
      </c>
      <c r="K376" s="3111">
        <v>1</v>
      </c>
      <c r="L376" s="3111">
        <v>1</v>
      </c>
      <c r="M376" s="3112">
        <v>1</v>
      </c>
    </row>
    <row r="377" spans="1:20">
      <c r="A377" s="3110">
        <v>1.6</v>
      </c>
      <c r="B377" s="3111">
        <v>1.0899000000000001</v>
      </c>
      <c r="C377" s="3111">
        <v>1.0899000000000001</v>
      </c>
      <c r="D377" s="3111">
        <v>1.0517000000000001</v>
      </c>
      <c r="E377" s="3111">
        <v>1.0517000000000001</v>
      </c>
      <c r="F377" s="3111">
        <v>1.0517000000000001</v>
      </c>
      <c r="G377" s="3111">
        <v>1.0517000000000001</v>
      </c>
      <c r="H377" s="3111">
        <v>1.0517000000000001</v>
      </c>
      <c r="I377" s="3111">
        <v>0.97989999999999999</v>
      </c>
      <c r="J377" s="3111">
        <v>0.97989999999999999</v>
      </c>
      <c r="K377" s="3111">
        <v>0.97989999999999999</v>
      </c>
      <c r="L377" s="3111">
        <v>0.97989999999999999</v>
      </c>
      <c r="M377" s="3112">
        <v>0.97989999999999999</v>
      </c>
    </row>
    <row r="378" spans="1:20">
      <c r="A378" s="3110">
        <v>1.7</v>
      </c>
      <c r="B378" s="3111">
        <v>1.0771999999999999</v>
      </c>
      <c r="C378" s="3111">
        <v>1.0771999999999999</v>
      </c>
      <c r="D378" s="3111">
        <v>1.0376000000000001</v>
      </c>
      <c r="E378" s="3111">
        <v>1.0376000000000001</v>
      </c>
      <c r="F378" s="3111">
        <v>1.0376000000000001</v>
      </c>
      <c r="G378" s="3111">
        <v>1.0376000000000001</v>
      </c>
      <c r="H378" s="3111">
        <v>1.0376000000000001</v>
      </c>
      <c r="I378" s="3111">
        <v>0.96089999999999998</v>
      </c>
      <c r="J378" s="3111">
        <v>0.96089999999999998</v>
      </c>
      <c r="K378" s="3111">
        <v>0.96089999999999998</v>
      </c>
      <c r="L378" s="3111">
        <v>0.96089999999999998</v>
      </c>
      <c r="M378" s="3112">
        <v>0.96089999999999998</v>
      </c>
    </row>
    <row r="379" spans="1:20">
      <c r="A379" s="3110">
        <v>1.8</v>
      </c>
      <c r="B379" s="3111">
        <v>1.0652999999999999</v>
      </c>
      <c r="C379" s="3111">
        <v>1.0652999999999999</v>
      </c>
      <c r="D379" s="3111">
        <v>1.0243</v>
      </c>
      <c r="E379" s="3111">
        <v>1.0243</v>
      </c>
      <c r="F379" s="3111">
        <v>1.0243</v>
      </c>
      <c r="G379" s="3111">
        <v>1.0243</v>
      </c>
      <c r="H379" s="3111">
        <v>1.0243</v>
      </c>
      <c r="I379" s="3111">
        <v>0.94299999999999995</v>
      </c>
      <c r="J379" s="3111">
        <v>0.94299999999999995</v>
      </c>
      <c r="K379" s="3111">
        <v>0.94299999999999995</v>
      </c>
      <c r="L379" s="3111">
        <v>0.94299999999999995</v>
      </c>
      <c r="M379" s="3112">
        <v>0.94299999999999995</v>
      </c>
    </row>
    <row r="380" spans="1:20">
      <c r="A380" s="3110">
        <v>1.9</v>
      </c>
      <c r="B380" s="3111">
        <v>1.054</v>
      </c>
      <c r="C380" s="3111">
        <v>1.054</v>
      </c>
      <c r="D380" s="3111">
        <v>1.0118</v>
      </c>
      <c r="E380" s="3111">
        <v>1.0118</v>
      </c>
      <c r="F380" s="3111">
        <v>1.0118</v>
      </c>
      <c r="G380" s="3111">
        <v>1.0118</v>
      </c>
      <c r="H380" s="3111">
        <v>1.0118</v>
      </c>
      <c r="I380" s="3111">
        <v>0.92620000000000002</v>
      </c>
      <c r="J380" s="3111">
        <v>0.92620000000000002</v>
      </c>
      <c r="K380" s="3111">
        <v>0.92620000000000002</v>
      </c>
      <c r="L380" s="3111">
        <v>0.92620000000000002</v>
      </c>
      <c r="M380" s="3112">
        <v>0.92620000000000002</v>
      </c>
    </row>
    <row r="381" spans="1:20">
      <c r="A381" s="3110">
        <v>2</v>
      </c>
      <c r="B381" s="3111">
        <v>1.0435000000000001</v>
      </c>
      <c r="C381" s="3111">
        <v>1.0435000000000001</v>
      </c>
      <c r="D381" s="3111">
        <v>1</v>
      </c>
      <c r="E381" s="3111">
        <v>1</v>
      </c>
      <c r="F381" s="3111">
        <v>1</v>
      </c>
      <c r="G381" s="3111">
        <v>1</v>
      </c>
      <c r="H381" s="3111">
        <v>1</v>
      </c>
      <c r="I381" s="3111">
        <v>0.9103</v>
      </c>
      <c r="J381" s="3111">
        <v>0.9103</v>
      </c>
      <c r="K381" s="3111">
        <v>0.9103</v>
      </c>
      <c r="L381" s="3111">
        <v>0.9103</v>
      </c>
      <c r="M381" s="3112">
        <v>0.9103</v>
      </c>
    </row>
    <row r="382" spans="1:20">
      <c r="A382" s="3113">
        <v>2.1</v>
      </c>
      <c r="B382" s="3111">
        <v>1.0336000000000001</v>
      </c>
      <c r="C382" s="3111">
        <v>1.0336000000000001</v>
      </c>
      <c r="D382" s="3111">
        <v>0.98899999999999999</v>
      </c>
      <c r="E382" s="3111">
        <v>0.98899999999999999</v>
      </c>
      <c r="F382" s="3111">
        <v>0.98899999999999999</v>
      </c>
      <c r="G382" s="3111">
        <v>0.98899999999999999</v>
      </c>
      <c r="H382" s="3111">
        <v>0.98899999999999999</v>
      </c>
      <c r="I382" s="3111">
        <v>0.89539999999999997</v>
      </c>
      <c r="J382" s="3111">
        <v>0.89539999999999997</v>
      </c>
      <c r="K382" s="3111">
        <v>0.89539999999999997</v>
      </c>
      <c r="L382" s="3111">
        <v>0.89539999999999997</v>
      </c>
      <c r="M382" s="3112">
        <v>0.89539999999999997</v>
      </c>
    </row>
    <row r="383" spans="1:20">
      <c r="A383" s="3113">
        <v>2.2000000000000002</v>
      </c>
      <c r="B383" s="3111">
        <v>1.0243</v>
      </c>
      <c r="C383" s="3111">
        <v>1.0243</v>
      </c>
      <c r="D383" s="3111">
        <v>0.97860000000000003</v>
      </c>
      <c r="E383" s="3111">
        <v>0.97860000000000003</v>
      </c>
      <c r="F383" s="3111">
        <v>0.97860000000000003</v>
      </c>
      <c r="G383" s="3111">
        <v>0.97860000000000003</v>
      </c>
      <c r="H383" s="3111">
        <v>0.97860000000000003</v>
      </c>
      <c r="I383" s="3111">
        <v>0.88139999999999996</v>
      </c>
      <c r="J383" s="3111">
        <v>0.88139999999999996</v>
      </c>
      <c r="K383" s="3111">
        <v>0.88139999999999996</v>
      </c>
      <c r="L383" s="3111">
        <v>0.88139999999999996</v>
      </c>
      <c r="M383" s="3112">
        <v>0.88139999999999996</v>
      </c>
    </row>
    <row r="384" spans="1:20">
      <c r="A384" s="3113">
        <v>2.2999999999999998</v>
      </c>
      <c r="B384" s="3111">
        <v>1.0157</v>
      </c>
      <c r="C384" s="3111">
        <v>1.0157</v>
      </c>
      <c r="D384" s="3111">
        <v>0.96889999999999998</v>
      </c>
      <c r="E384" s="3111">
        <v>0.96889999999999998</v>
      </c>
      <c r="F384" s="3111">
        <v>0.96889999999999998</v>
      </c>
      <c r="G384" s="3111">
        <v>0.96889999999999998</v>
      </c>
      <c r="H384" s="3111">
        <v>0.96889999999999998</v>
      </c>
      <c r="I384" s="3111">
        <v>0.86819999999999997</v>
      </c>
      <c r="J384" s="3111">
        <v>0.86819999999999997</v>
      </c>
      <c r="K384" s="3111">
        <v>0.86819999999999997</v>
      </c>
      <c r="L384" s="3111">
        <v>0.86819999999999997</v>
      </c>
      <c r="M384" s="3112">
        <v>0.86819999999999997</v>
      </c>
    </row>
    <row r="385" spans="1:13">
      <c r="A385" s="3113">
        <v>2.4</v>
      </c>
      <c r="B385" s="3111">
        <v>1.0076000000000001</v>
      </c>
      <c r="C385" s="3111">
        <v>1.0076000000000001</v>
      </c>
      <c r="D385" s="3111">
        <v>0.95979999999999999</v>
      </c>
      <c r="E385" s="3111">
        <v>0.95979999999999999</v>
      </c>
      <c r="F385" s="3111">
        <v>0.95979999999999999</v>
      </c>
      <c r="G385" s="3111">
        <v>0.95979999999999999</v>
      </c>
      <c r="H385" s="3111">
        <v>0.95979999999999999</v>
      </c>
      <c r="I385" s="3111">
        <v>0.85580000000000001</v>
      </c>
      <c r="J385" s="3111">
        <v>0.85580000000000001</v>
      </c>
      <c r="K385" s="3111">
        <v>0.85580000000000001</v>
      </c>
      <c r="L385" s="3111">
        <v>0.85580000000000001</v>
      </c>
      <c r="M385" s="3112">
        <v>0.85580000000000001</v>
      </c>
    </row>
    <row r="386" spans="1:13">
      <c r="A386" s="3113">
        <v>2.5</v>
      </c>
      <c r="B386" s="3111">
        <v>1</v>
      </c>
      <c r="C386" s="3111">
        <v>1</v>
      </c>
      <c r="D386" s="3111">
        <v>0.95120000000000005</v>
      </c>
      <c r="E386" s="3111">
        <v>0.95120000000000005</v>
      </c>
      <c r="F386" s="3111">
        <v>0.95120000000000005</v>
      </c>
      <c r="G386" s="3111">
        <v>0.95120000000000005</v>
      </c>
      <c r="H386" s="3111">
        <v>0.95120000000000005</v>
      </c>
      <c r="I386" s="3111">
        <v>0.84419999999999995</v>
      </c>
      <c r="J386" s="3111">
        <v>0.84419999999999995</v>
      </c>
      <c r="K386" s="3111">
        <v>0.84419999999999995</v>
      </c>
      <c r="L386" s="3111">
        <v>0.84419999999999995</v>
      </c>
      <c r="M386" s="3112">
        <v>0.84419999999999995</v>
      </c>
    </row>
    <row r="387" spans="1:13">
      <c r="A387" s="3113">
        <v>2.6</v>
      </c>
      <c r="B387" s="3111">
        <v>0.9929</v>
      </c>
      <c r="C387" s="3111">
        <v>0.9929</v>
      </c>
      <c r="D387" s="3111">
        <v>0.94320000000000004</v>
      </c>
      <c r="E387" s="3111">
        <v>0.94320000000000004</v>
      </c>
      <c r="F387" s="3111">
        <v>0.94320000000000004</v>
      </c>
      <c r="G387" s="3111">
        <v>0.94320000000000004</v>
      </c>
      <c r="H387" s="3111">
        <v>0.94320000000000004</v>
      </c>
      <c r="I387" s="3111">
        <v>0.83330000000000004</v>
      </c>
      <c r="J387" s="3111">
        <v>0.83330000000000004</v>
      </c>
      <c r="K387" s="3111">
        <v>0.83330000000000004</v>
      </c>
      <c r="L387" s="3111">
        <v>0.83330000000000004</v>
      </c>
      <c r="M387" s="3112">
        <v>0.83330000000000004</v>
      </c>
    </row>
    <row r="388" spans="1:13">
      <c r="A388" s="3113">
        <v>2.7</v>
      </c>
      <c r="B388" s="3111">
        <v>0.98629999999999995</v>
      </c>
      <c r="C388" s="3111">
        <v>0.98629999999999995</v>
      </c>
      <c r="D388" s="3111">
        <v>0.93569999999999998</v>
      </c>
      <c r="E388" s="3111">
        <v>0.93569999999999998</v>
      </c>
      <c r="F388" s="3111">
        <v>0.93569999999999998</v>
      </c>
      <c r="G388" s="3111">
        <v>0.93569999999999998</v>
      </c>
      <c r="H388" s="3111">
        <v>0.93569999999999998</v>
      </c>
      <c r="I388" s="3111">
        <v>0.82320000000000004</v>
      </c>
      <c r="J388" s="3111">
        <v>0.82320000000000004</v>
      </c>
      <c r="K388" s="3111">
        <v>0.82320000000000004</v>
      </c>
      <c r="L388" s="3111">
        <v>0.82320000000000004</v>
      </c>
      <c r="M388" s="3112">
        <v>0.82320000000000004</v>
      </c>
    </row>
    <row r="389" spans="1:13">
      <c r="A389" s="3113">
        <v>2.8</v>
      </c>
      <c r="B389" s="3111">
        <v>0.98009999999999997</v>
      </c>
      <c r="C389" s="3111">
        <v>0.98009999999999997</v>
      </c>
      <c r="D389" s="3111">
        <v>0.92879999999999996</v>
      </c>
      <c r="E389" s="3111">
        <v>0.92879999999999996</v>
      </c>
      <c r="F389" s="3111">
        <v>0.92879999999999996</v>
      </c>
      <c r="G389" s="3111">
        <v>0.92879999999999996</v>
      </c>
      <c r="H389" s="3111">
        <v>0.92879999999999996</v>
      </c>
      <c r="I389" s="3111">
        <v>0.81359999999999999</v>
      </c>
      <c r="J389" s="3111">
        <v>0.81359999999999999</v>
      </c>
      <c r="K389" s="3111">
        <v>0.81359999999999999</v>
      </c>
      <c r="L389" s="3111">
        <v>0.81359999999999999</v>
      </c>
      <c r="M389" s="3112">
        <v>0.81359999999999999</v>
      </c>
    </row>
    <row r="390" spans="1:13">
      <c r="A390" s="3113">
        <v>2.9</v>
      </c>
      <c r="B390" s="3111">
        <v>0.97430000000000005</v>
      </c>
      <c r="C390" s="3111">
        <v>0.97430000000000005</v>
      </c>
      <c r="D390" s="3111">
        <v>0.92220000000000002</v>
      </c>
      <c r="E390" s="3111">
        <v>0.92220000000000002</v>
      </c>
      <c r="F390" s="3111">
        <v>0.92220000000000002</v>
      </c>
      <c r="G390" s="3111">
        <v>0.92220000000000002</v>
      </c>
      <c r="H390" s="3111">
        <v>0.92220000000000002</v>
      </c>
      <c r="I390" s="3111">
        <v>0.80459999999999998</v>
      </c>
      <c r="J390" s="3111">
        <v>0.80459999999999998</v>
      </c>
      <c r="K390" s="3111">
        <v>0.80459999999999998</v>
      </c>
      <c r="L390" s="3111">
        <v>0.80459999999999998</v>
      </c>
      <c r="M390" s="3112">
        <v>0.80459999999999998</v>
      </c>
    </row>
    <row r="391" spans="1:13">
      <c r="A391" s="3113">
        <v>3</v>
      </c>
      <c r="B391" s="3111">
        <v>0.96889999999999998</v>
      </c>
      <c r="C391" s="3111">
        <v>0.96889999999999998</v>
      </c>
      <c r="D391" s="3111">
        <v>0.91610000000000003</v>
      </c>
      <c r="E391" s="3111">
        <v>0.91610000000000003</v>
      </c>
      <c r="F391" s="3111">
        <v>0.91610000000000003</v>
      </c>
      <c r="G391" s="3111">
        <v>0.91610000000000003</v>
      </c>
      <c r="H391" s="3111">
        <v>0.91610000000000003</v>
      </c>
      <c r="I391" s="3111">
        <v>0.79620000000000002</v>
      </c>
      <c r="J391" s="3111">
        <v>0.79620000000000002</v>
      </c>
      <c r="K391" s="3111">
        <v>0.79620000000000002</v>
      </c>
      <c r="L391" s="3111">
        <v>0.79620000000000002</v>
      </c>
      <c r="M391" s="3112">
        <v>0.79620000000000002</v>
      </c>
    </row>
    <row r="392" spans="1:13">
      <c r="A392" s="3113">
        <v>3.1</v>
      </c>
      <c r="B392" s="3111">
        <v>0.96389999999999998</v>
      </c>
      <c r="C392" s="3111">
        <v>0.96389999999999998</v>
      </c>
      <c r="D392" s="3111">
        <v>0.91039999999999999</v>
      </c>
      <c r="E392" s="3111">
        <v>0.91039999999999999</v>
      </c>
      <c r="F392" s="3111">
        <v>0.91039999999999999</v>
      </c>
      <c r="G392" s="3111">
        <v>0.91039999999999999</v>
      </c>
      <c r="H392" s="3111">
        <v>0.91039999999999999</v>
      </c>
      <c r="I392" s="3111">
        <v>0.7883</v>
      </c>
      <c r="J392" s="3111">
        <v>0.7883</v>
      </c>
      <c r="K392" s="3111">
        <v>0.7883</v>
      </c>
      <c r="L392" s="3111">
        <v>0.7883</v>
      </c>
      <c r="M392" s="3112">
        <v>0.7883</v>
      </c>
    </row>
    <row r="393" spans="1:13">
      <c r="A393" s="3113">
        <v>3.2</v>
      </c>
      <c r="B393" s="3111">
        <v>0.95930000000000004</v>
      </c>
      <c r="C393" s="3111">
        <v>0.95930000000000004</v>
      </c>
      <c r="D393" s="3111">
        <v>0.9052</v>
      </c>
      <c r="E393" s="3111">
        <v>0.9052</v>
      </c>
      <c r="F393" s="3111">
        <v>0.9052</v>
      </c>
      <c r="G393" s="3111">
        <v>0.9052</v>
      </c>
      <c r="H393" s="3111">
        <v>0.9052</v>
      </c>
      <c r="I393" s="3111">
        <v>0.78090000000000004</v>
      </c>
      <c r="J393" s="3111">
        <v>0.78090000000000004</v>
      </c>
      <c r="K393" s="3111">
        <v>0.78090000000000004</v>
      </c>
      <c r="L393" s="3111">
        <v>0.78090000000000004</v>
      </c>
      <c r="M393" s="3112">
        <v>0.78090000000000004</v>
      </c>
    </row>
    <row r="394" spans="1:13">
      <c r="A394" s="3113">
        <v>3.3</v>
      </c>
      <c r="B394" s="3111">
        <v>0.95489999999999997</v>
      </c>
      <c r="C394" s="3111">
        <v>0.95489999999999997</v>
      </c>
      <c r="D394" s="3111">
        <v>0.9002</v>
      </c>
      <c r="E394" s="3111">
        <v>0.9002</v>
      </c>
      <c r="F394" s="3111">
        <v>0.9002</v>
      </c>
      <c r="G394" s="3111">
        <v>0.9002</v>
      </c>
      <c r="H394" s="3111">
        <v>0.9002</v>
      </c>
      <c r="I394" s="3111">
        <v>0.77410000000000001</v>
      </c>
      <c r="J394" s="3111">
        <v>0.77410000000000001</v>
      </c>
      <c r="K394" s="3111">
        <v>0.77410000000000001</v>
      </c>
      <c r="L394" s="3111">
        <v>0.77410000000000001</v>
      </c>
      <c r="M394" s="3112">
        <v>0.77410000000000001</v>
      </c>
    </row>
    <row r="395" spans="1:13">
      <c r="A395" s="3113">
        <v>3.4</v>
      </c>
      <c r="B395" s="3111">
        <v>0.95089999999999997</v>
      </c>
      <c r="C395" s="3111">
        <v>0.95089999999999997</v>
      </c>
      <c r="D395" s="3111">
        <v>0.89559999999999995</v>
      </c>
      <c r="E395" s="3111">
        <v>0.89559999999999995</v>
      </c>
      <c r="F395" s="3111">
        <v>0.89559999999999995</v>
      </c>
      <c r="G395" s="3111">
        <v>0.89559999999999995</v>
      </c>
      <c r="H395" s="3111">
        <v>0.89559999999999995</v>
      </c>
      <c r="I395" s="3111">
        <v>0.76759999999999995</v>
      </c>
      <c r="J395" s="3111">
        <v>0.76759999999999995</v>
      </c>
      <c r="K395" s="3111">
        <v>0.76759999999999995</v>
      </c>
      <c r="L395" s="3111">
        <v>0.76759999999999995</v>
      </c>
      <c r="M395" s="3112">
        <v>0.76759999999999995</v>
      </c>
    </row>
    <row r="396" spans="1:13">
      <c r="A396" s="3113">
        <v>3.5</v>
      </c>
      <c r="B396" s="3111">
        <v>0.94710000000000005</v>
      </c>
      <c r="C396" s="3111">
        <v>0.94710000000000005</v>
      </c>
      <c r="D396" s="3111">
        <v>0.89129999999999998</v>
      </c>
      <c r="E396" s="3111">
        <v>0.89129999999999998</v>
      </c>
      <c r="F396" s="3111">
        <v>0.89129999999999998</v>
      </c>
      <c r="G396" s="3111">
        <v>0.89129999999999998</v>
      </c>
      <c r="H396" s="3111">
        <v>0.89129999999999998</v>
      </c>
      <c r="I396" s="3111">
        <v>0.76160000000000005</v>
      </c>
      <c r="J396" s="3111">
        <v>0.76160000000000005</v>
      </c>
      <c r="K396" s="3111">
        <v>0.76160000000000005</v>
      </c>
      <c r="L396" s="3111">
        <v>0.76160000000000005</v>
      </c>
      <c r="M396" s="3112">
        <v>0.76160000000000005</v>
      </c>
    </row>
    <row r="397" spans="1:13">
      <c r="A397" s="3113">
        <v>3.6</v>
      </c>
      <c r="B397" s="3111">
        <v>0.94359999999999999</v>
      </c>
      <c r="C397" s="3111">
        <v>0.94359999999999999</v>
      </c>
      <c r="D397" s="3111">
        <v>0.88729999999999998</v>
      </c>
      <c r="E397" s="3111">
        <v>0.88729999999999998</v>
      </c>
      <c r="F397" s="3111">
        <v>0.88729999999999998</v>
      </c>
      <c r="G397" s="3111">
        <v>0.88729999999999998</v>
      </c>
      <c r="H397" s="3111">
        <v>0.88729999999999998</v>
      </c>
      <c r="I397" s="3111">
        <v>0.75590000000000002</v>
      </c>
      <c r="J397" s="3111">
        <v>0.75590000000000002</v>
      </c>
      <c r="K397" s="3111">
        <v>0.75590000000000002</v>
      </c>
      <c r="L397" s="3111">
        <v>0.75590000000000002</v>
      </c>
      <c r="M397" s="3112">
        <v>0.75590000000000002</v>
      </c>
    </row>
    <row r="398" spans="1:13">
      <c r="A398" s="3113">
        <v>3.7</v>
      </c>
      <c r="B398" s="3111">
        <v>0.94040000000000001</v>
      </c>
      <c r="C398" s="3111">
        <v>0.94040000000000001</v>
      </c>
      <c r="D398" s="3111">
        <v>0.88349999999999995</v>
      </c>
      <c r="E398" s="3111">
        <v>0.88349999999999995</v>
      </c>
      <c r="F398" s="3111">
        <v>0.88349999999999995</v>
      </c>
      <c r="G398" s="3111">
        <v>0.88349999999999995</v>
      </c>
      <c r="H398" s="3111">
        <v>0.88349999999999995</v>
      </c>
      <c r="I398" s="3111">
        <v>0.75070000000000003</v>
      </c>
      <c r="J398" s="3111">
        <v>0.75070000000000003</v>
      </c>
      <c r="K398" s="3111">
        <v>0.75070000000000003</v>
      </c>
      <c r="L398" s="3111">
        <v>0.75070000000000003</v>
      </c>
      <c r="M398" s="3112">
        <v>0.75070000000000003</v>
      </c>
    </row>
    <row r="399" spans="1:13">
      <c r="A399" s="3113">
        <v>3.8</v>
      </c>
      <c r="B399" s="3111">
        <v>0.93740000000000001</v>
      </c>
      <c r="C399" s="3111">
        <v>0.93740000000000001</v>
      </c>
      <c r="D399" s="3111">
        <v>0.88009999999999999</v>
      </c>
      <c r="E399" s="3111">
        <v>0.88009999999999999</v>
      </c>
      <c r="F399" s="3111">
        <v>0.88009999999999999</v>
      </c>
      <c r="G399" s="3111">
        <v>0.88009999999999999</v>
      </c>
      <c r="H399" s="3111">
        <v>0.88009999999999999</v>
      </c>
      <c r="I399" s="3111">
        <v>0.74570000000000003</v>
      </c>
      <c r="J399" s="3111">
        <v>0.74570000000000003</v>
      </c>
      <c r="K399" s="3111">
        <v>0.74570000000000003</v>
      </c>
      <c r="L399" s="3111">
        <v>0.74570000000000003</v>
      </c>
      <c r="M399" s="3112">
        <v>0.74570000000000003</v>
      </c>
    </row>
    <row r="400" spans="1:13">
      <c r="A400" s="3113">
        <v>3.9</v>
      </c>
      <c r="B400" s="3111">
        <v>0.93459999999999999</v>
      </c>
      <c r="C400" s="3111">
        <v>0.93459999999999999</v>
      </c>
      <c r="D400" s="3111">
        <v>0.87680000000000002</v>
      </c>
      <c r="E400" s="3111">
        <v>0.87680000000000002</v>
      </c>
      <c r="F400" s="3111">
        <v>0.87680000000000002</v>
      </c>
      <c r="G400" s="3111">
        <v>0.87680000000000002</v>
      </c>
      <c r="H400" s="3111">
        <v>0.87680000000000002</v>
      </c>
      <c r="I400" s="3111">
        <v>0.74109999999999998</v>
      </c>
      <c r="J400" s="3111">
        <v>0.74109999999999998</v>
      </c>
      <c r="K400" s="3111">
        <v>0.74109999999999998</v>
      </c>
      <c r="L400" s="3111">
        <v>0.74109999999999998</v>
      </c>
      <c r="M400" s="3112">
        <v>0.74109999999999998</v>
      </c>
    </row>
    <row r="401" spans="1:13">
      <c r="A401" s="3113">
        <v>4</v>
      </c>
      <c r="B401" s="3111">
        <v>0.93179999999999996</v>
      </c>
      <c r="C401" s="3111">
        <v>0.93179999999999996</v>
      </c>
      <c r="D401" s="3111">
        <v>0.87380000000000002</v>
      </c>
      <c r="E401" s="3111">
        <v>0.87380000000000002</v>
      </c>
      <c r="F401" s="3111">
        <v>0.87380000000000002</v>
      </c>
      <c r="G401" s="3111">
        <v>0.87380000000000002</v>
      </c>
      <c r="H401" s="3111">
        <v>0.87380000000000002</v>
      </c>
      <c r="I401" s="3111">
        <v>0.73680000000000001</v>
      </c>
      <c r="J401" s="3111">
        <v>0.73680000000000001</v>
      </c>
      <c r="K401" s="3111">
        <v>0.73680000000000001</v>
      </c>
      <c r="L401" s="3111">
        <v>0.73680000000000001</v>
      </c>
      <c r="M401" s="3112">
        <v>0.73680000000000001</v>
      </c>
    </row>
    <row r="402" spans="1:13">
      <c r="A402" s="3113">
        <v>4.0999999999999996</v>
      </c>
      <c r="B402" s="3111">
        <v>0.92920000000000003</v>
      </c>
      <c r="C402" s="3111">
        <v>0.92920000000000003</v>
      </c>
      <c r="D402" s="3111">
        <v>0.87090000000000001</v>
      </c>
      <c r="E402" s="3111">
        <v>0.87090000000000001</v>
      </c>
      <c r="F402" s="3111">
        <v>0.87090000000000001</v>
      </c>
      <c r="G402" s="3111">
        <v>0.87090000000000001</v>
      </c>
      <c r="H402" s="3111">
        <v>0.87090000000000001</v>
      </c>
      <c r="I402" s="3111">
        <v>0.73270000000000002</v>
      </c>
      <c r="J402" s="3111">
        <v>0.73270000000000002</v>
      </c>
      <c r="K402" s="3111">
        <v>0.73270000000000002</v>
      </c>
      <c r="L402" s="3111">
        <v>0.73270000000000002</v>
      </c>
      <c r="M402" s="3112">
        <v>0.73270000000000002</v>
      </c>
    </row>
    <row r="403" spans="1:13">
      <c r="A403" s="3113">
        <v>4.2</v>
      </c>
      <c r="B403" s="3111">
        <v>0.92659999999999998</v>
      </c>
      <c r="C403" s="3111">
        <v>0.92659999999999998</v>
      </c>
      <c r="D403" s="3111">
        <v>0.86819999999999997</v>
      </c>
      <c r="E403" s="3111">
        <v>0.86819999999999997</v>
      </c>
      <c r="F403" s="3111">
        <v>0.86819999999999997</v>
      </c>
      <c r="G403" s="3111">
        <v>0.86819999999999997</v>
      </c>
      <c r="H403" s="3111">
        <v>0.86819999999999997</v>
      </c>
      <c r="I403" s="3111">
        <v>0.7288</v>
      </c>
      <c r="J403" s="3111">
        <v>0.7288</v>
      </c>
      <c r="K403" s="3111">
        <v>0.7288</v>
      </c>
      <c r="L403" s="3111">
        <v>0.7288</v>
      </c>
      <c r="M403" s="3112">
        <v>0.7288</v>
      </c>
    </row>
    <row r="404" spans="1:13">
      <c r="A404" s="3113">
        <v>4.3</v>
      </c>
      <c r="B404" s="3111">
        <v>0.92410000000000003</v>
      </c>
      <c r="C404" s="3111">
        <v>0.92410000000000003</v>
      </c>
      <c r="D404" s="3111">
        <v>0.86550000000000005</v>
      </c>
      <c r="E404" s="3111">
        <v>0.86550000000000005</v>
      </c>
      <c r="F404" s="3111">
        <v>0.86550000000000005</v>
      </c>
      <c r="G404" s="3111">
        <v>0.86550000000000005</v>
      </c>
      <c r="H404" s="3111">
        <v>0.86550000000000005</v>
      </c>
      <c r="I404" s="3111">
        <v>0.72509999999999997</v>
      </c>
      <c r="J404" s="3111">
        <v>0.72509999999999997</v>
      </c>
      <c r="K404" s="3111">
        <v>0.72509999999999997</v>
      </c>
      <c r="L404" s="3111">
        <v>0.72509999999999997</v>
      </c>
      <c r="M404" s="3112">
        <v>0.72509999999999997</v>
      </c>
    </row>
    <row r="405" spans="1:13">
      <c r="A405" s="3113">
        <v>4.4000000000000004</v>
      </c>
      <c r="B405" s="3111">
        <v>0.92179999999999995</v>
      </c>
      <c r="C405" s="3111">
        <v>0.92179999999999995</v>
      </c>
      <c r="D405" s="3111">
        <v>0.8629</v>
      </c>
      <c r="E405" s="3111">
        <v>0.8629</v>
      </c>
      <c r="F405" s="3111">
        <v>0.8629</v>
      </c>
      <c r="G405" s="3111">
        <v>0.8629</v>
      </c>
      <c r="H405" s="3111">
        <v>0.8629</v>
      </c>
      <c r="I405" s="3111">
        <v>0.72150000000000003</v>
      </c>
      <c r="J405" s="3111">
        <v>0.72150000000000003</v>
      </c>
      <c r="K405" s="3111">
        <v>0.72150000000000003</v>
      </c>
      <c r="L405" s="3111">
        <v>0.72150000000000003</v>
      </c>
      <c r="M405" s="3112">
        <v>0.72150000000000003</v>
      </c>
    </row>
    <row r="406" spans="1:13">
      <c r="A406" s="3113">
        <v>4.5</v>
      </c>
      <c r="B406" s="3111">
        <v>0.91949999999999998</v>
      </c>
      <c r="C406" s="3111">
        <v>0.91949999999999998</v>
      </c>
      <c r="D406" s="3111">
        <v>0.86050000000000004</v>
      </c>
      <c r="E406" s="3111">
        <v>0.86050000000000004</v>
      </c>
      <c r="F406" s="3111">
        <v>0.86050000000000004</v>
      </c>
      <c r="G406" s="3111">
        <v>0.86050000000000004</v>
      </c>
      <c r="H406" s="3111">
        <v>0.86050000000000004</v>
      </c>
      <c r="I406" s="3111">
        <v>0.71819999999999995</v>
      </c>
      <c r="J406" s="3111">
        <v>0.71819999999999995</v>
      </c>
      <c r="K406" s="3111">
        <v>0.71819999999999995</v>
      </c>
      <c r="L406" s="3111">
        <v>0.71819999999999995</v>
      </c>
      <c r="M406" s="3112">
        <v>0.71819999999999995</v>
      </c>
    </row>
    <row r="407" spans="1:13">
      <c r="A407" s="3113">
        <v>4.5999999999999996</v>
      </c>
      <c r="B407" s="3111">
        <v>0.9173</v>
      </c>
      <c r="C407" s="3111">
        <v>0.9173</v>
      </c>
      <c r="D407" s="3111">
        <v>0.85809999999999997</v>
      </c>
      <c r="E407" s="3111">
        <v>0.85809999999999997</v>
      </c>
      <c r="F407" s="3111">
        <v>0.85809999999999997</v>
      </c>
      <c r="G407" s="3111">
        <v>0.85809999999999997</v>
      </c>
      <c r="H407" s="3111">
        <v>0.85809999999999997</v>
      </c>
      <c r="I407" s="3111">
        <v>0.71499999999999997</v>
      </c>
      <c r="J407" s="3111">
        <v>0.71499999999999997</v>
      </c>
      <c r="K407" s="3111">
        <v>0.71499999999999997</v>
      </c>
      <c r="L407" s="3111">
        <v>0.71499999999999997</v>
      </c>
      <c r="M407" s="3112">
        <v>0.71499999999999997</v>
      </c>
    </row>
    <row r="408" spans="1:13">
      <c r="A408" s="3113">
        <v>4.7</v>
      </c>
      <c r="B408" s="3111">
        <v>0.91520000000000001</v>
      </c>
      <c r="C408" s="3111">
        <v>0.91520000000000001</v>
      </c>
      <c r="D408" s="3111">
        <v>0.85570000000000002</v>
      </c>
      <c r="E408" s="3111">
        <v>0.85570000000000002</v>
      </c>
      <c r="F408" s="3111">
        <v>0.85570000000000002</v>
      </c>
      <c r="G408" s="3111">
        <v>0.85570000000000002</v>
      </c>
      <c r="H408" s="3111">
        <v>0.85570000000000002</v>
      </c>
      <c r="I408" s="3111">
        <v>0.71199999999999997</v>
      </c>
      <c r="J408" s="3111">
        <v>0.71199999999999997</v>
      </c>
      <c r="K408" s="3111">
        <v>0.71199999999999997</v>
      </c>
      <c r="L408" s="3111">
        <v>0.71199999999999997</v>
      </c>
      <c r="M408" s="3112">
        <v>0.71199999999999997</v>
      </c>
    </row>
    <row r="409" spans="1:13">
      <c r="A409" s="3113">
        <v>4.8</v>
      </c>
      <c r="B409" s="3111">
        <v>0.91310000000000002</v>
      </c>
      <c r="C409" s="3111">
        <v>0.91310000000000002</v>
      </c>
      <c r="D409" s="3111">
        <v>0.85340000000000005</v>
      </c>
      <c r="E409" s="3111">
        <v>0.85340000000000005</v>
      </c>
      <c r="F409" s="3111">
        <v>0.85340000000000005</v>
      </c>
      <c r="G409" s="3111">
        <v>0.85340000000000005</v>
      </c>
      <c r="H409" s="3111">
        <v>0.85340000000000005</v>
      </c>
      <c r="I409" s="3111">
        <v>0.70909999999999995</v>
      </c>
      <c r="J409" s="3111">
        <v>0.70909999999999995</v>
      </c>
      <c r="K409" s="3111">
        <v>0.70909999999999995</v>
      </c>
      <c r="L409" s="3111">
        <v>0.70909999999999995</v>
      </c>
      <c r="M409" s="3112">
        <v>0.70909999999999995</v>
      </c>
    </row>
    <row r="410" spans="1:13">
      <c r="A410" s="3113">
        <v>4.9000000000000004</v>
      </c>
      <c r="B410" s="3111">
        <v>0.91120000000000001</v>
      </c>
      <c r="C410" s="3111">
        <v>0.91120000000000001</v>
      </c>
      <c r="D410" s="3111">
        <v>0.85109999999999997</v>
      </c>
      <c r="E410" s="3111">
        <v>0.85109999999999997</v>
      </c>
      <c r="F410" s="3111">
        <v>0.85109999999999997</v>
      </c>
      <c r="G410" s="3111">
        <v>0.85109999999999997</v>
      </c>
      <c r="H410" s="3111">
        <v>0.85109999999999997</v>
      </c>
      <c r="I410" s="3111">
        <v>0.70620000000000005</v>
      </c>
      <c r="J410" s="3111">
        <v>0.70620000000000005</v>
      </c>
      <c r="K410" s="3111">
        <v>0.70620000000000005</v>
      </c>
      <c r="L410" s="3111">
        <v>0.70620000000000005</v>
      </c>
      <c r="M410" s="3112">
        <v>0.70620000000000005</v>
      </c>
    </row>
    <row r="411" spans="1:13">
      <c r="A411" s="3113">
        <v>5</v>
      </c>
      <c r="B411" s="3111">
        <v>0.90920000000000001</v>
      </c>
      <c r="C411" s="3111">
        <v>0.90920000000000001</v>
      </c>
      <c r="D411" s="3111">
        <v>0.84889999999999999</v>
      </c>
      <c r="E411" s="3111">
        <v>0.84889999999999999</v>
      </c>
      <c r="F411" s="3111">
        <v>0.84889999999999999</v>
      </c>
      <c r="G411" s="3111">
        <v>0.84889999999999999</v>
      </c>
      <c r="H411" s="3111">
        <v>0.84889999999999999</v>
      </c>
      <c r="I411" s="3111">
        <v>0.70350000000000001</v>
      </c>
      <c r="J411" s="3111">
        <v>0.70350000000000001</v>
      </c>
      <c r="K411" s="3111">
        <v>0.70350000000000001</v>
      </c>
      <c r="L411" s="3111">
        <v>0.70350000000000001</v>
      </c>
      <c r="M411" s="3112">
        <v>0.70350000000000001</v>
      </c>
    </row>
    <row r="412" spans="1:13">
      <c r="A412" s="3110">
        <v>5.0999999999999996</v>
      </c>
      <c r="B412" s="3111">
        <v>0.90720000000000001</v>
      </c>
      <c r="C412" s="3111">
        <v>0.90720000000000001</v>
      </c>
      <c r="D412" s="3111">
        <v>0.84670000000000001</v>
      </c>
      <c r="E412" s="3111">
        <v>0.84670000000000001</v>
      </c>
      <c r="F412" s="3111">
        <v>0.84670000000000001</v>
      </c>
      <c r="G412" s="3111">
        <v>0.84670000000000001</v>
      </c>
      <c r="H412" s="3111">
        <v>0.84670000000000001</v>
      </c>
      <c r="I412" s="3111">
        <v>0.70089999999999997</v>
      </c>
      <c r="J412" s="3111">
        <v>0.70089999999999997</v>
      </c>
      <c r="K412" s="3111">
        <v>0.70089999999999997</v>
      </c>
      <c r="L412" s="3111">
        <v>0.70089999999999997</v>
      </c>
      <c r="M412" s="3112">
        <v>0.70089999999999997</v>
      </c>
    </row>
    <row r="413" spans="1:13">
      <c r="A413" s="3110">
        <v>5.2</v>
      </c>
      <c r="B413" s="3111">
        <v>0.90529999999999999</v>
      </c>
      <c r="C413" s="3111">
        <v>0.90529999999999999</v>
      </c>
      <c r="D413" s="3111">
        <v>0.84450000000000003</v>
      </c>
      <c r="E413" s="3111">
        <v>0.84450000000000003</v>
      </c>
      <c r="F413" s="3111">
        <v>0.84450000000000003</v>
      </c>
      <c r="G413" s="3111">
        <v>0.84450000000000003</v>
      </c>
      <c r="H413" s="3111">
        <v>0.84450000000000003</v>
      </c>
      <c r="I413" s="3111">
        <v>0.69820000000000004</v>
      </c>
      <c r="J413" s="3111">
        <v>0.69820000000000004</v>
      </c>
      <c r="K413" s="3111">
        <v>0.69820000000000004</v>
      </c>
      <c r="L413" s="3111">
        <v>0.69820000000000004</v>
      </c>
      <c r="M413" s="3112">
        <v>0.69820000000000004</v>
      </c>
    </row>
    <row r="414" spans="1:13">
      <c r="A414" s="3110">
        <v>5.3</v>
      </c>
      <c r="B414" s="3111">
        <v>0.90339999999999998</v>
      </c>
      <c r="C414" s="3111">
        <v>0.90339999999999998</v>
      </c>
      <c r="D414" s="3111">
        <v>0.84230000000000005</v>
      </c>
      <c r="E414" s="3111">
        <v>0.84230000000000005</v>
      </c>
      <c r="F414" s="3111">
        <v>0.84230000000000005</v>
      </c>
      <c r="G414" s="3111">
        <v>0.84230000000000005</v>
      </c>
      <c r="H414" s="3111">
        <v>0.84230000000000005</v>
      </c>
      <c r="I414" s="3111">
        <v>0.69569999999999999</v>
      </c>
      <c r="J414" s="3111">
        <v>0.69569999999999999</v>
      </c>
      <c r="K414" s="3111">
        <v>0.69569999999999999</v>
      </c>
      <c r="L414" s="3111">
        <v>0.69569999999999999</v>
      </c>
      <c r="M414" s="3112">
        <v>0.69569999999999999</v>
      </c>
    </row>
    <row r="415" spans="1:13">
      <c r="A415" s="3110">
        <v>5.4</v>
      </c>
      <c r="B415" s="3111">
        <v>0.90149999999999997</v>
      </c>
      <c r="C415" s="3111">
        <v>0.90149999999999997</v>
      </c>
      <c r="D415" s="3111">
        <v>0.84019999999999995</v>
      </c>
      <c r="E415" s="3111">
        <v>0.84019999999999995</v>
      </c>
      <c r="F415" s="3111">
        <v>0.84019999999999995</v>
      </c>
      <c r="G415" s="3111">
        <v>0.84019999999999995</v>
      </c>
      <c r="H415" s="3111">
        <v>0.84019999999999995</v>
      </c>
      <c r="I415" s="3111">
        <v>0.69310000000000005</v>
      </c>
      <c r="J415" s="3111">
        <v>0.69310000000000005</v>
      </c>
      <c r="K415" s="3111">
        <v>0.69310000000000005</v>
      </c>
      <c r="L415" s="3111">
        <v>0.69310000000000005</v>
      </c>
      <c r="M415" s="3112">
        <v>0.69310000000000005</v>
      </c>
    </row>
    <row r="416" spans="1:13">
      <c r="A416" s="3110">
        <v>5.5</v>
      </c>
      <c r="B416" s="3111">
        <v>0.89959999999999996</v>
      </c>
      <c r="C416" s="3111">
        <v>0.89959999999999996</v>
      </c>
      <c r="D416" s="3111">
        <v>0.83809999999999996</v>
      </c>
      <c r="E416" s="3111">
        <v>0.83809999999999996</v>
      </c>
      <c r="F416" s="3111">
        <v>0.83809999999999996</v>
      </c>
      <c r="G416" s="3111">
        <v>0.83809999999999996</v>
      </c>
      <c r="H416" s="3111">
        <v>0.83809999999999996</v>
      </c>
      <c r="I416" s="3111">
        <v>0.69059999999999999</v>
      </c>
      <c r="J416" s="3111">
        <v>0.69059999999999999</v>
      </c>
      <c r="K416" s="3111">
        <v>0.69059999999999999</v>
      </c>
      <c r="L416" s="3111">
        <v>0.69059999999999999</v>
      </c>
      <c r="M416" s="3112">
        <v>0.69059999999999999</v>
      </c>
    </row>
    <row r="417" spans="1:13">
      <c r="A417" s="3110">
        <v>5.6</v>
      </c>
      <c r="B417" s="3111">
        <v>0.89780000000000004</v>
      </c>
      <c r="C417" s="3111">
        <v>0.89780000000000004</v>
      </c>
      <c r="D417" s="3111">
        <v>0.83599999999999997</v>
      </c>
      <c r="E417" s="3111">
        <v>0.83599999999999997</v>
      </c>
      <c r="F417" s="3111">
        <v>0.83599999999999997</v>
      </c>
      <c r="G417" s="3111">
        <v>0.83599999999999997</v>
      </c>
      <c r="H417" s="3111">
        <v>0.83599999999999997</v>
      </c>
      <c r="I417" s="3111">
        <v>0.68810000000000004</v>
      </c>
      <c r="J417" s="3111">
        <v>0.68810000000000004</v>
      </c>
      <c r="K417" s="3111">
        <v>0.68810000000000004</v>
      </c>
      <c r="L417" s="3111">
        <v>0.68810000000000004</v>
      </c>
      <c r="M417" s="3112">
        <v>0.68810000000000004</v>
      </c>
    </row>
    <row r="418" spans="1:13">
      <c r="A418" s="3113">
        <v>5.7</v>
      </c>
      <c r="B418" s="3111">
        <v>0.89600000000000002</v>
      </c>
      <c r="C418" s="3111">
        <v>0.89600000000000002</v>
      </c>
      <c r="D418" s="3111">
        <v>0.83389999999999997</v>
      </c>
      <c r="E418" s="3111">
        <v>0.83389999999999997</v>
      </c>
      <c r="F418" s="3111">
        <v>0.83389999999999997</v>
      </c>
      <c r="G418" s="3111">
        <v>0.83389999999999997</v>
      </c>
      <c r="H418" s="3111">
        <v>0.83389999999999997</v>
      </c>
      <c r="I418" s="3111">
        <v>0.68569999999999998</v>
      </c>
      <c r="J418" s="3111">
        <v>0.68569999999999998</v>
      </c>
      <c r="K418" s="3111">
        <v>0.68569999999999998</v>
      </c>
      <c r="L418" s="3111">
        <v>0.68569999999999998</v>
      </c>
      <c r="M418" s="3112">
        <v>0.68569999999999998</v>
      </c>
    </row>
    <row r="419" spans="1:13">
      <c r="A419" s="3110">
        <v>5.8</v>
      </c>
      <c r="B419" s="3111">
        <v>0.89419999999999999</v>
      </c>
      <c r="C419" s="3111">
        <v>0.89419999999999999</v>
      </c>
      <c r="D419" s="3111">
        <v>0.83189999999999997</v>
      </c>
      <c r="E419" s="3111">
        <v>0.83189999999999997</v>
      </c>
      <c r="F419" s="3111">
        <v>0.83189999999999997</v>
      </c>
      <c r="G419" s="3111">
        <v>0.83189999999999997</v>
      </c>
      <c r="H419" s="3111">
        <v>0.83189999999999997</v>
      </c>
      <c r="I419" s="3111">
        <v>0.68320000000000003</v>
      </c>
      <c r="J419" s="3111">
        <v>0.68320000000000003</v>
      </c>
      <c r="K419" s="3111">
        <v>0.68320000000000003</v>
      </c>
      <c r="L419" s="3111">
        <v>0.68320000000000003</v>
      </c>
      <c r="M419" s="3112">
        <v>0.68320000000000003</v>
      </c>
    </row>
    <row r="420" spans="1:13">
      <c r="A420" s="3110">
        <v>5.9</v>
      </c>
      <c r="B420" s="3111">
        <v>0.89239999999999997</v>
      </c>
      <c r="C420" s="3111">
        <v>0.89239999999999997</v>
      </c>
      <c r="D420" s="3111">
        <v>0.82989999999999997</v>
      </c>
      <c r="E420" s="3111">
        <v>0.82989999999999997</v>
      </c>
      <c r="F420" s="3111">
        <v>0.82989999999999997</v>
      </c>
      <c r="G420" s="3111">
        <v>0.82989999999999997</v>
      </c>
      <c r="H420" s="3111">
        <v>0.82989999999999997</v>
      </c>
      <c r="I420" s="3111">
        <v>0.68069999999999997</v>
      </c>
      <c r="J420" s="3111">
        <v>0.68069999999999997</v>
      </c>
      <c r="K420" s="3111">
        <v>0.68069999999999997</v>
      </c>
      <c r="L420" s="3111">
        <v>0.68069999999999997</v>
      </c>
      <c r="M420" s="3112">
        <v>0.68069999999999997</v>
      </c>
    </row>
    <row r="421" spans="1:13">
      <c r="A421" s="3110">
        <v>6</v>
      </c>
      <c r="B421" s="3111">
        <v>0.89070000000000005</v>
      </c>
      <c r="C421" s="3111">
        <v>0.89070000000000005</v>
      </c>
      <c r="D421" s="3111">
        <v>0.82789999999999997</v>
      </c>
      <c r="E421" s="3111">
        <v>0.82789999999999997</v>
      </c>
      <c r="F421" s="3111">
        <v>0.82789999999999997</v>
      </c>
      <c r="G421" s="3111">
        <v>0.82789999999999997</v>
      </c>
      <c r="H421" s="3111">
        <v>0.82789999999999997</v>
      </c>
      <c r="I421" s="3111">
        <v>0.6784</v>
      </c>
      <c r="J421" s="3111">
        <v>0.6784</v>
      </c>
      <c r="K421" s="3111">
        <v>0.6784</v>
      </c>
      <c r="L421" s="3111">
        <v>0.6784</v>
      </c>
      <c r="M421" s="3112">
        <v>0.6784</v>
      </c>
    </row>
    <row r="422" spans="1:13">
      <c r="A422" s="3110">
        <v>6.1</v>
      </c>
      <c r="B422" s="3111">
        <v>0.88900000000000001</v>
      </c>
      <c r="C422" s="3111">
        <v>0.88900000000000001</v>
      </c>
      <c r="D422" s="3111">
        <v>0.82589999999999997</v>
      </c>
      <c r="E422" s="3111">
        <v>0.82589999999999997</v>
      </c>
      <c r="F422" s="3111">
        <v>0.82589999999999997</v>
      </c>
      <c r="G422" s="3111">
        <v>0.82589999999999997</v>
      </c>
      <c r="H422" s="3111">
        <v>0.82589999999999997</v>
      </c>
      <c r="I422" s="3111">
        <v>0.67600000000000005</v>
      </c>
      <c r="J422" s="3111">
        <v>0.67600000000000005</v>
      </c>
      <c r="K422" s="3111">
        <v>0.67600000000000005</v>
      </c>
      <c r="L422" s="3111">
        <v>0.67600000000000005</v>
      </c>
      <c r="M422" s="3112">
        <v>0.67600000000000005</v>
      </c>
    </row>
    <row r="423" spans="1:13">
      <c r="A423" s="3110">
        <v>6.2</v>
      </c>
      <c r="B423" s="3111">
        <v>0.88729999999999998</v>
      </c>
      <c r="C423" s="3111">
        <v>0.88729999999999998</v>
      </c>
      <c r="D423" s="3111">
        <v>0.82389999999999997</v>
      </c>
      <c r="E423" s="3111">
        <v>0.82389999999999997</v>
      </c>
      <c r="F423" s="3111">
        <v>0.82389999999999997</v>
      </c>
      <c r="G423" s="3111">
        <v>0.82389999999999997</v>
      </c>
      <c r="H423" s="3111">
        <v>0.82389999999999997</v>
      </c>
      <c r="I423" s="3111">
        <v>0.67359999999999998</v>
      </c>
      <c r="J423" s="3111">
        <v>0.67359999999999998</v>
      </c>
      <c r="K423" s="3111">
        <v>0.67359999999999998</v>
      </c>
      <c r="L423" s="3111">
        <v>0.67359999999999998</v>
      </c>
      <c r="M423" s="3112">
        <v>0.67359999999999998</v>
      </c>
    </row>
    <row r="424" spans="1:13">
      <c r="A424" s="3110">
        <v>6.3</v>
      </c>
      <c r="B424" s="3111">
        <v>0.88560000000000005</v>
      </c>
      <c r="C424" s="3111">
        <v>0.88560000000000005</v>
      </c>
      <c r="D424" s="3111">
        <v>0.82189999999999996</v>
      </c>
      <c r="E424" s="3111">
        <v>0.82189999999999996</v>
      </c>
      <c r="F424" s="3111">
        <v>0.82189999999999996</v>
      </c>
      <c r="G424" s="3111">
        <v>0.82189999999999996</v>
      </c>
      <c r="H424" s="3111">
        <v>0.82189999999999996</v>
      </c>
      <c r="I424" s="3111">
        <v>0.67130000000000001</v>
      </c>
      <c r="J424" s="3111">
        <v>0.67130000000000001</v>
      </c>
      <c r="K424" s="3111">
        <v>0.67130000000000001</v>
      </c>
      <c r="L424" s="3111">
        <v>0.67130000000000001</v>
      </c>
      <c r="M424" s="3112">
        <v>0.67130000000000001</v>
      </c>
    </row>
    <row r="425" spans="1:13">
      <c r="A425" s="3110">
        <v>6.4</v>
      </c>
      <c r="B425" s="3111">
        <v>0.88390000000000002</v>
      </c>
      <c r="C425" s="3111">
        <v>0.88390000000000002</v>
      </c>
      <c r="D425" s="3111">
        <v>0.82</v>
      </c>
      <c r="E425" s="3111">
        <v>0.82</v>
      </c>
      <c r="F425" s="3111">
        <v>0.82</v>
      </c>
      <c r="G425" s="3111">
        <v>0.82</v>
      </c>
      <c r="H425" s="3111">
        <v>0.82</v>
      </c>
      <c r="I425" s="3111">
        <v>0.66890000000000005</v>
      </c>
      <c r="J425" s="3111">
        <v>0.66890000000000005</v>
      </c>
      <c r="K425" s="3111">
        <v>0.66890000000000005</v>
      </c>
      <c r="L425" s="3111">
        <v>0.66890000000000005</v>
      </c>
      <c r="M425" s="3112">
        <v>0.66890000000000005</v>
      </c>
    </row>
    <row r="426" spans="1:13">
      <c r="A426" s="3110">
        <v>6.5</v>
      </c>
      <c r="B426" s="3111">
        <v>0.88229999999999997</v>
      </c>
      <c r="C426" s="3111">
        <v>0.88229999999999997</v>
      </c>
      <c r="D426" s="3111">
        <v>0.81810000000000005</v>
      </c>
      <c r="E426" s="3111">
        <v>0.81810000000000005</v>
      </c>
      <c r="F426" s="3111">
        <v>0.81810000000000005</v>
      </c>
      <c r="G426" s="3111">
        <v>0.81810000000000005</v>
      </c>
      <c r="H426" s="3111">
        <v>0.81810000000000005</v>
      </c>
      <c r="I426" s="3111">
        <v>0.66659999999999997</v>
      </c>
      <c r="J426" s="3111">
        <v>0.66659999999999997</v>
      </c>
      <c r="K426" s="3111">
        <v>0.66659999999999997</v>
      </c>
      <c r="L426" s="3111">
        <v>0.66659999999999997</v>
      </c>
      <c r="M426" s="3112">
        <v>0.66659999999999997</v>
      </c>
    </row>
    <row r="427" spans="1:13">
      <c r="A427" s="3110">
        <v>6.6</v>
      </c>
      <c r="B427" s="3111">
        <v>0.88070000000000004</v>
      </c>
      <c r="C427" s="3111">
        <v>0.88070000000000004</v>
      </c>
      <c r="D427" s="3111">
        <v>0.81620000000000004</v>
      </c>
      <c r="E427" s="3111">
        <v>0.81620000000000004</v>
      </c>
      <c r="F427" s="3111">
        <v>0.81620000000000004</v>
      </c>
      <c r="G427" s="3111">
        <v>0.81620000000000004</v>
      </c>
      <c r="H427" s="3111">
        <v>0.81620000000000004</v>
      </c>
      <c r="I427" s="3111">
        <v>0.66439999999999999</v>
      </c>
      <c r="J427" s="3111">
        <v>0.66439999999999999</v>
      </c>
      <c r="K427" s="3111">
        <v>0.66439999999999999</v>
      </c>
      <c r="L427" s="3111">
        <v>0.66439999999999999</v>
      </c>
      <c r="M427" s="3112">
        <v>0.66439999999999999</v>
      </c>
    </row>
    <row r="428" spans="1:13">
      <c r="A428" s="3110">
        <v>6.7</v>
      </c>
      <c r="B428" s="3111">
        <v>0.879</v>
      </c>
      <c r="C428" s="3111">
        <v>0.879</v>
      </c>
      <c r="D428" s="3111">
        <v>0.81430000000000002</v>
      </c>
      <c r="E428" s="3111">
        <v>0.81430000000000002</v>
      </c>
      <c r="F428" s="3111">
        <v>0.81430000000000002</v>
      </c>
      <c r="G428" s="3111">
        <v>0.81430000000000002</v>
      </c>
      <c r="H428" s="3111">
        <v>0.81430000000000002</v>
      </c>
      <c r="I428" s="3111">
        <v>0.66210000000000002</v>
      </c>
      <c r="J428" s="3111">
        <v>0.66210000000000002</v>
      </c>
      <c r="K428" s="3111">
        <v>0.66210000000000002</v>
      </c>
      <c r="L428" s="3111">
        <v>0.66210000000000002</v>
      </c>
      <c r="M428" s="3112">
        <v>0.66210000000000002</v>
      </c>
    </row>
    <row r="429" spans="1:13">
      <c r="A429" s="3110">
        <v>6.8</v>
      </c>
      <c r="B429" s="3111">
        <v>0.87739999999999996</v>
      </c>
      <c r="C429" s="3111">
        <v>0.87739999999999996</v>
      </c>
      <c r="D429" s="3111">
        <v>0.81240000000000001</v>
      </c>
      <c r="E429" s="3111">
        <v>0.81240000000000001</v>
      </c>
      <c r="F429" s="3111">
        <v>0.81240000000000001</v>
      </c>
      <c r="G429" s="3111">
        <v>0.81240000000000001</v>
      </c>
      <c r="H429" s="3111">
        <v>0.81240000000000001</v>
      </c>
      <c r="I429" s="3111">
        <v>0.65980000000000005</v>
      </c>
      <c r="J429" s="3111">
        <v>0.65980000000000005</v>
      </c>
      <c r="K429" s="3111">
        <v>0.65980000000000005</v>
      </c>
      <c r="L429" s="3111">
        <v>0.65980000000000005</v>
      </c>
      <c r="M429" s="3112">
        <v>0.65980000000000005</v>
      </c>
    </row>
    <row r="430" spans="1:13">
      <c r="A430" s="3110">
        <v>6.9</v>
      </c>
      <c r="B430" s="3111">
        <v>0.87580000000000002</v>
      </c>
      <c r="C430" s="3111">
        <v>0.87580000000000002</v>
      </c>
      <c r="D430" s="3111">
        <v>0.8105</v>
      </c>
      <c r="E430" s="3111">
        <v>0.8105</v>
      </c>
      <c r="F430" s="3111">
        <v>0.8105</v>
      </c>
      <c r="G430" s="3111">
        <v>0.8105</v>
      </c>
      <c r="H430" s="3111">
        <v>0.8105</v>
      </c>
      <c r="I430" s="3111">
        <v>0.65749999999999997</v>
      </c>
      <c r="J430" s="3111">
        <v>0.65749999999999997</v>
      </c>
      <c r="K430" s="3111">
        <v>0.65749999999999997</v>
      </c>
      <c r="L430" s="3111">
        <v>0.65749999999999997</v>
      </c>
      <c r="M430" s="3112">
        <v>0.65749999999999997</v>
      </c>
    </row>
    <row r="431" spans="1:13">
      <c r="A431" s="3110">
        <v>7</v>
      </c>
      <c r="B431" s="3111">
        <v>0.87419999999999998</v>
      </c>
      <c r="C431" s="3111">
        <v>0.87419999999999998</v>
      </c>
      <c r="D431" s="3111">
        <v>0.80869999999999997</v>
      </c>
      <c r="E431" s="3111">
        <v>0.80869999999999997</v>
      </c>
      <c r="F431" s="3111">
        <v>0.80869999999999997</v>
      </c>
      <c r="G431" s="3111">
        <v>0.80869999999999997</v>
      </c>
      <c r="H431" s="3111">
        <v>0.80869999999999997</v>
      </c>
      <c r="I431" s="3111">
        <v>0.65529999999999999</v>
      </c>
      <c r="J431" s="3111">
        <v>0.65529999999999999</v>
      </c>
      <c r="K431" s="3111">
        <v>0.65529999999999999</v>
      </c>
      <c r="L431" s="3111">
        <v>0.65529999999999999</v>
      </c>
      <c r="M431" s="3112">
        <v>0.65529999999999999</v>
      </c>
    </row>
    <row r="432" spans="1:13">
      <c r="A432" s="3110">
        <v>7.1</v>
      </c>
      <c r="B432" s="3111">
        <v>0.87270000000000003</v>
      </c>
      <c r="C432" s="3111">
        <v>0.87270000000000003</v>
      </c>
      <c r="D432" s="3111">
        <v>0.80689999999999995</v>
      </c>
      <c r="E432" s="3111">
        <v>0.80689999999999995</v>
      </c>
      <c r="F432" s="3111">
        <v>0.80689999999999995</v>
      </c>
      <c r="G432" s="3111">
        <v>0.80689999999999995</v>
      </c>
      <c r="H432" s="3111">
        <v>0.80689999999999995</v>
      </c>
      <c r="I432" s="3111">
        <v>0.6532</v>
      </c>
      <c r="J432" s="3111">
        <v>0.6532</v>
      </c>
      <c r="K432" s="3111">
        <v>0.6532</v>
      </c>
      <c r="L432" s="3111">
        <v>0.6532</v>
      </c>
      <c r="M432" s="3112">
        <v>0.6532</v>
      </c>
    </row>
    <row r="433" spans="1:13">
      <c r="A433" s="3110">
        <v>7.2</v>
      </c>
      <c r="B433" s="3111">
        <v>0.87119999999999997</v>
      </c>
      <c r="C433" s="3111">
        <v>0.87119999999999997</v>
      </c>
      <c r="D433" s="3111">
        <v>0.80510000000000004</v>
      </c>
      <c r="E433" s="3111">
        <v>0.80510000000000004</v>
      </c>
      <c r="F433" s="3111">
        <v>0.80510000000000004</v>
      </c>
      <c r="G433" s="3111">
        <v>0.80510000000000004</v>
      </c>
      <c r="H433" s="3111">
        <v>0.80510000000000004</v>
      </c>
      <c r="I433" s="3111">
        <v>0.65100000000000002</v>
      </c>
      <c r="J433" s="3111">
        <v>0.65100000000000002</v>
      </c>
      <c r="K433" s="3111">
        <v>0.65100000000000002</v>
      </c>
      <c r="L433" s="3111">
        <v>0.65100000000000002</v>
      </c>
      <c r="M433" s="3112">
        <v>0.65100000000000002</v>
      </c>
    </row>
    <row r="434" spans="1:13">
      <c r="A434" s="3110">
        <v>7.3</v>
      </c>
      <c r="B434" s="3111">
        <v>0.86970000000000003</v>
      </c>
      <c r="C434" s="3111">
        <v>0.86970000000000003</v>
      </c>
      <c r="D434" s="3111">
        <v>0.80330000000000001</v>
      </c>
      <c r="E434" s="3111">
        <v>0.80330000000000001</v>
      </c>
      <c r="F434" s="3111">
        <v>0.80330000000000001</v>
      </c>
      <c r="G434" s="3111">
        <v>0.80330000000000001</v>
      </c>
      <c r="H434" s="3111">
        <v>0.80330000000000001</v>
      </c>
      <c r="I434" s="3111">
        <v>0.64880000000000004</v>
      </c>
      <c r="J434" s="3111">
        <v>0.64880000000000004</v>
      </c>
      <c r="K434" s="3111">
        <v>0.64880000000000004</v>
      </c>
      <c r="L434" s="3111">
        <v>0.64880000000000004</v>
      </c>
      <c r="M434" s="3112">
        <v>0.64880000000000004</v>
      </c>
    </row>
    <row r="435" spans="1:13">
      <c r="A435" s="3110">
        <v>7.4</v>
      </c>
      <c r="B435" s="3111">
        <v>0.86819999999999997</v>
      </c>
      <c r="C435" s="3111">
        <v>0.86819999999999997</v>
      </c>
      <c r="D435" s="3111">
        <v>0.80149999999999999</v>
      </c>
      <c r="E435" s="3111">
        <v>0.80149999999999999</v>
      </c>
      <c r="F435" s="3111">
        <v>0.80149999999999999</v>
      </c>
      <c r="G435" s="3111">
        <v>0.80149999999999999</v>
      </c>
      <c r="H435" s="3111">
        <v>0.80149999999999999</v>
      </c>
      <c r="I435" s="3111">
        <v>0.64659999999999995</v>
      </c>
      <c r="J435" s="3111">
        <v>0.64659999999999995</v>
      </c>
      <c r="K435" s="3111">
        <v>0.64659999999999995</v>
      </c>
      <c r="L435" s="3111">
        <v>0.64659999999999995</v>
      </c>
      <c r="M435" s="3112">
        <v>0.64659999999999995</v>
      </c>
    </row>
    <row r="436" spans="1:13">
      <c r="A436" s="3110">
        <v>7.5</v>
      </c>
      <c r="B436" s="3111">
        <v>0.86660000000000004</v>
      </c>
      <c r="C436" s="3111">
        <v>0.86660000000000004</v>
      </c>
      <c r="D436" s="3111">
        <v>0.79969999999999997</v>
      </c>
      <c r="E436" s="3111">
        <v>0.79969999999999997</v>
      </c>
      <c r="F436" s="3111">
        <v>0.79969999999999997</v>
      </c>
      <c r="G436" s="3111">
        <v>0.79969999999999997</v>
      </c>
      <c r="H436" s="3111">
        <v>0.79969999999999997</v>
      </c>
      <c r="I436" s="3111">
        <v>0.64449999999999996</v>
      </c>
      <c r="J436" s="3111">
        <v>0.64449999999999996</v>
      </c>
      <c r="K436" s="3111">
        <v>0.64449999999999996</v>
      </c>
      <c r="L436" s="3111">
        <v>0.64449999999999996</v>
      </c>
      <c r="M436" s="3112">
        <v>0.64449999999999996</v>
      </c>
    </row>
    <row r="437" spans="1:13">
      <c r="A437" s="3110">
        <v>7.6</v>
      </c>
      <c r="B437" s="3111">
        <v>0.86509999999999998</v>
      </c>
      <c r="C437" s="3111">
        <v>0.86509999999999998</v>
      </c>
      <c r="D437" s="3111">
        <v>0.79800000000000004</v>
      </c>
      <c r="E437" s="3111">
        <v>0.79800000000000004</v>
      </c>
      <c r="F437" s="3111">
        <v>0.79800000000000004</v>
      </c>
      <c r="G437" s="3111">
        <v>0.79800000000000004</v>
      </c>
      <c r="H437" s="3111">
        <v>0.79800000000000004</v>
      </c>
      <c r="I437" s="3111">
        <v>0.64239999999999997</v>
      </c>
      <c r="J437" s="3111">
        <v>0.64239999999999997</v>
      </c>
      <c r="K437" s="3111">
        <v>0.64239999999999997</v>
      </c>
      <c r="L437" s="3111">
        <v>0.64239999999999997</v>
      </c>
      <c r="M437" s="3112">
        <v>0.64239999999999997</v>
      </c>
    </row>
    <row r="438" spans="1:13">
      <c r="A438" s="3110">
        <v>7.7</v>
      </c>
      <c r="B438" s="3111">
        <v>0.86370000000000002</v>
      </c>
      <c r="C438" s="3111">
        <v>0.86370000000000002</v>
      </c>
      <c r="D438" s="3111">
        <v>0.79630000000000001</v>
      </c>
      <c r="E438" s="3111">
        <v>0.79630000000000001</v>
      </c>
      <c r="F438" s="3111">
        <v>0.79630000000000001</v>
      </c>
      <c r="G438" s="3111">
        <v>0.79630000000000001</v>
      </c>
      <c r="H438" s="3111">
        <v>0.79630000000000001</v>
      </c>
      <c r="I438" s="3111">
        <v>0.64029999999999998</v>
      </c>
      <c r="J438" s="3111">
        <v>0.64029999999999998</v>
      </c>
      <c r="K438" s="3111">
        <v>0.64029999999999998</v>
      </c>
      <c r="L438" s="3111">
        <v>0.64029999999999998</v>
      </c>
      <c r="M438" s="3112">
        <v>0.64029999999999998</v>
      </c>
    </row>
    <row r="439" spans="1:13">
      <c r="A439" s="3110">
        <v>7.8</v>
      </c>
      <c r="B439" s="3111">
        <v>0.86229999999999996</v>
      </c>
      <c r="C439" s="3111">
        <v>0.86229999999999996</v>
      </c>
      <c r="D439" s="3111">
        <v>0.79449999999999998</v>
      </c>
      <c r="E439" s="3111">
        <v>0.79449999999999998</v>
      </c>
      <c r="F439" s="3111">
        <v>0.79449999999999998</v>
      </c>
      <c r="G439" s="3111">
        <v>0.79449999999999998</v>
      </c>
      <c r="H439" s="3111">
        <v>0.79449999999999998</v>
      </c>
      <c r="I439" s="3111">
        <v>0.63819999999999999</v>
      </c>
      <c r="J439" s="3111">
        <v>0.63819999999999999</v>
      </c>
      <c r="K439" s="3111">
        <v>0.63819999999999999</v>
      </c>
      <c r="L439" s="3111">
        <v>0.63819999999999999</v>
      </c>
      <c r="M439" s="3112">
        <v>0.63819999999999999</v>
      </c>
    </row>
    <row r="440" spans="1:13">
      <c r="A440" s="3110">
        <v>7.9</v>
      </c>
      <c r="B440" s="3111">
        <v>0.8609</v>
      </c>
      <c r="C440" s="3111">
        <v>0.8609</v>
      </c>
      <c r="D440" s="3111">
        <v>0.79279999999999995</v>
      </c>
      <c r="E440" s="3111">
        <v>0.79279999999999995</v>
      </c>
      <c r="F440" s="3111">
        <v>0.79279999999999995</v>
      </c>
      <c r="G440" s="3111">
        <v>0.79279999999999995</v>
      </c>
      <c r="H440" s="3111">
        <v>0.79279999999999995</v>
      </c>
      <c r="I440" s="3111">
        <v>0.6361</v>
      </c>
      <c r="J440" s="3111">
        <v>0.6361</v>
      </c>
      <c r="K440" s="3111">
        <v>0.6361</v>
      </c>
      <c r="L440" s="3111">
        <v>0.6361</v>
      </c>
      <c r="M440" s="3112">
        <v>0.6361</v>
      </c>
    </row>
    <row r="441" spans="1:13">
      <c r="A441" s="3110">
        <v>8</v>
      </c>
      <c r="B441" s="3111">
        <v>0.85940000000000005</v>
      </c>
      <c r="C441" s="3111">
        <v>0.85940000000000005</v>
      </c>
      <c r="D441" s="3111">
        <v>0.79110000000000003</v>
      </c>
      <c r="E441" s="3111">
        <v>0.79110000000000003</v>
      </c>
      <c r="F441" s="3111">
        <v>0.79110000000000003</v>
      </c>
      <c r="G441" s="3111">
        <v>0.79110000000000003</v>
      </c>
      <c r="H441" s="3111">
        <v>0.79110000000000003</v>
      </c>
      <c r="I441" s="3111">
        <v>0.6341</v>
      </c>
      <c r="J441" s="3111">
        <v>0.6341</v>
      </c>
      <c r="K441" s="3111">
        <v>0.6341</v>
      </c>
      <c r="L441" s="3111">
        <v>0.6341</v>
      </c>
      <c r="M441" s="3112">
        <v>0.6341</v>
      </c>
    </row>
    <row r="442" spans="1:13">
      <c r="A442" s="3110">
        <v>8.1</v>
      </c>
      <c r="B442" s="3111">
        <v>0.85799999999999998</v>
      </c>
      <c r="C442" s="3111">
        <v>0.85799999999999998</v>
      </c>
      <c r="D442" s="3111">
        <v>0.78939999999999999</v>
      </c>
      <c r="E442" s="3111">
        <v>0.78939999999999999</v>
      </c>
      <c r="F442" s="3111">
        <v>0.78939999999999999</v>
      </c>
      <c r="G442" s="3111">
        <v>0.78939999999999999</v>
      </c>
      <c r="H442" s="3111">
        <v>0.78939999999999999</v>
      </c>
      <c r="I442" s="3111">
        <v>0.6321</v>
      </c>
      <c r="J442" s="3111">
        <v>0.6321</v>
      </c>
      <c r="K442" s="3111">
        <v>0.6321</v>
      </c>
      <c r="L442" s="3111">
        <v>0.6321</v>
      </c>
      <c r="M442" s="3112">
        <v>0.6321</v>
      </c>
    </row>
    <row r="443" spans="1:13">
      <c r="A443" s="3110">
        <v>8.1999999999999993</v>
      </c>
      <c r="B443" s="3111">
        <v>0.85660000000000003</v>
      </c>
      <c r="C443" s="3111">
        <v>0.85660000000000003</v>
      </c>
      <c r="D443" s="3111">
        <v>0.78779999999999994</v>
      </c>
      <c r="E443" s="3111">
        <v>0.78779999999999994</v>
      </c>
      <c r="F443" s="3111">
        <v>0.78779999999999994</v>
      </c>
      <c r="G443" s="3111">
        <v>0.78779999999999994</v>
      </c>
      <c r="H443" s="3111">
        <v>0.78779999999999994</v>
      </c>
      <c r="I443" s="3111">
        <v>0.63009999999999999</v>
      </c>
      <c r="J443" s="3111">
        <v>0.63009999999999999</v>
      </c>
      <c r="K443" s="3111">
        <v>0.63009999999999999</v>
      </c>
      <c r="L443" s="3111">
        <v>0.63009999999999999</v>
      </c>
      <c r="M443" s="3112">
        <v>0.63009999999999999</v>
      </c>
    </row>
    <row r="444" spans="1:13">
      <c r="A444" s="3110">
        <v>8.3000000000000007</v>
      </c>
      <c r="B444" s="3111">
        <v>0.85529999999999995</v>
      </c>
      <c r="C444" s="3111">
        <v>0.85529999999999995</v>
      </c>
      <c r="D444" s="3111">
        <v>0.78620000000000001</v>
      </c>
      <c r="E444" s="3111">
        <v>0.78620000000000001</v>
      </c>
      <c r="F444" s="3111">
        <v>0.78620000000000001</v>
      </c>
      <c r="G444" s="3111">
        <v>0.78620000000000001</v>
      </c>
      <c r="H444" s="3111">
        <v>0.78620000000000001</v>
      </c>
      <c r="I444" s="3111">
        <v>0.62809999999999999</v>
      </c>
      <c r="J444" s="3111">
        <v>0.62809999999999999</v>
      </c>
      <c r="K444" s="3111">
        <v>0.62809999999999999</v>
      </c>
      <c r="L444" s="3111">
        <v>0.62809999999999999</v>
      </c>
      <c r="M444" s="3112">
        <v>0.62809999999999999</v>
      </c>
    </row>
    <row r="445" spans="1:13">
      <c r="A445" s="3110">
        <v>8.4</v>
      </c>
      <c r="B445" s="3111">
        <v>0.85389999999999999</v>
      </c>
      <c r="C445" s="3111">
        <v>0.85389999999999999</v>
      </c>
      <c r="D445" s="3111">
        <v>0.78459999999999996</v>
      </c>
      <c r="E445" s="3111">
        <v>0.78459999999999996</v>
      </c>
      <c r="F445" s="3111">
        <v>0.78459999999999996</v>
      </c>
      <c r="G445" s="3111">
        <v>0.78459999999999996</v>
      </c>
      <c r="H445" s="3111">
        <v>0.78459999999999996</v>
      </c>
      <c r="I445" s="3111">
        <v>0.62609999999999999</v>
      </c>
      <c r="J445" s="3111">
        <v>0.62609999999999999</v>
      </c>
      <c r="K445" s="3111">
        <v>0.62609999999999999</v>
      </c>
      <c r="L445" s="3111">
        <v>0.62609999999999999</v>
      </c>
      <c r="M445" s="3112">
        <v>0.62609999999999999</v>
      </c>
    </row>
    <row r="446" spans="1:13">
      <c r="A446" s="3110">
        <v>8.5</v>
      </c>
      <c r="B446" s="3111">
        <v>0.85260000000000002</v>
      </c>
      <c r="C446" s="3111">
        <v>0.85260000000000002</v>
      </c>
      <c r="D446" s="3111">
        <v>0.78290000000000004</v>
      </c>
      <c r="E446" s="3111">
        <v>0.78290000000000004</v>
      </c>
      <c r="F446" s="3111">
        <v>0.78290000000000004</v>
      </c>
      <c r="G446" s="3111">
        <v>0.78290000000000004</v>
      </c>
      <c r="H446" s="3111">
        <v>0.78290000000000004</v>
      </c>
      <c r="I446" s="3111">
        <v>0.62419999999999998</v>
      </c>
      <c r="J446" s="3111">
        <v>0.62419999999999998</v>
      </c>
      <c r="K446" s="3111">
        <v>0.62419999999999998</v>
      </c>
      <c r="L446" s="3111">
        <v>0.62419999999999998</v>
      </c>
      <c r="M446" s="3112">
        <v>0.62419999999999998</v>
      </c>
    </row>
    <row r="447" spans="1:13">
      <c r="A447" s="3110">
        <v>8.6</v>
      </c>
      <c r="B447" s="3111">
        <v>0.85129999999999995</v>
      </c>
      <c r="C447" s="3111">
        <v>0.85129999999999995</v>
      </c>
      <c r="D447" s="3111">
        <v>0.78129999999999999</v>
      </c>
      <c r="E447" s="3111">
        <v>0.78129999999999999</v>
      </c>
      <c r="F447" s="3111">
        <v>0.78129999999999999</v>
      </c>
      <c r="G447" s="3111">
        <v>0.78129999999999999</v>
      </c>
      <c r="H447" s="3111">
        <v>0.78129999999999999</v>
      </c>
      <c r="I447" s="3111">
        <v>0.62229999999999996</v>
      </c>
      <c r="J447" s="3111">
        <v>0.62229999999999996</v>
      </c>
      <c r="K447" s="3111">
        <v>0.62229999999999996</v>
      </c>
      <c r="L447" s="3111">
        <v>0.62229999999999996</v>
      </c>
      <c r="M447" s="3112">
        <v>0.62229999999999996</v>
      </c>
    </row>
    <row r="448" spans="1:13">
      <c r="A448" s="3110">
        <v>8.6999999999999993</v>
      </c>
      <c r="B448" s="3111">
        <v>0.85</v>
      </c>
      <c r="C448" s="3111">
        <v>0.85</v>
      </c>
      <c r="D448" s="3111">
        <v>0.77969999999999995</v>
      </c>
      <c r="E448" s="3111">
        <v>0.77969999999999995</v>
      </c>
      <c r="F448" s="3111">
        <v>0.77969999999999995</v>
      </c>
      <c r="G448" s="3111">
        <v>0.77969999999999995</v>
      </c>
      <c r="H448" s="3111">
        <v>0.77969999999999995</v>
      </c>
      <c r="I448" s="3111">
        <v>0.62039999999999995</v>
      </c>
      <c r="J448" s="3111">
        <v>0.62039999999999995</v>
      </c>
      <c r="K448" s="3111">
        <v>0.62039999999999995</v>
      </c>
      <c r="L448" s="3111">
        <v>0.62039999999999995</v>
      </c>
      <c r="M448" s="3112">
        <v>0.62039999999999995</v>
      </c>
    </row>
    <row r="449" spans="1:13">
      <c r="A449" s="3110">
        <v>8.8000000000000007</v>
      </c>
      <c r="B449" s="3111">
        <v>0.84860000000000002</v>
      </c>
      <c r="C449" s="3111">
        <v>0.84860000000000002</v>
      </c>
      <c r="D449" s="3111">
        <v>0.7782</v>
      </c>
      <c r="E449" s="3111">
        <v>0.7782</v>
      </c>
      <c r="F449" s="3111">
        <v>0.7782</v>
      </c>
      <c r="G449" s="3111">
        <v>0.7782</v>
      </c>
      <c r="H449" s="3111">
        <v>0.7782</v>
      </c>
      <c r="I449" s="3111">
        <v>0.61850000000000005</v>
      </c>
      <c r="J449" s="3111">
        <v>0.61850000000000005</v>
      </c>
      <c r="K449" s="3111">
        <v>0.61850000000000005</v>
      </c>
      <c r="L449" s="3111">
        <v>0.61850000000000005</v>
      </c>
      <c r="M449" s="3112">
        <v>0.61850000000000005</v>
      </c>
    </row>
    <row r="450" spans="1:13">
      <c r="A450" s="3110">
        <v>8.9</v>
      </c>
      <c r="B450" s="3111">
        <v>0.84740000000000004</v>
      </c>
      <c r="C450" s="3111">
        <v>0.84740000000000004</v>
      </c>
      <c r="D450" s="3111">
        <v>0.77669999999999995</v>
      </c>
      <c r="E450" s="3111">
        <v>0.77669999999999995</v>
      </c>
      <c r="F450" s="3111">
        <v>0.77669999999999995</v>
      </c>
      <c r="G450" s="3111">
        <v>0.77669999999999995</v>
      </c>
      <c r="H450" s="3111">
        <v>0.77669999999999995</v>
      </c>
      <c r="I450" s="3111">
        <v>0.61670000000000003</v>
      </c>
      <c r="J450" s="3111">
        <v>0.61670000000000003</v>
      </c>
      <c r="K450" s="3111">
        <v>0.61670000000000003</v>
      </c>
      <c r="L450" s="3111">
        <v>0.61670000000000003</v>
      </c>
      <c r="M450" s="3112">
        <v>0.61670000000000003</v>
      </c>
    </row>
    <row r="451" spans="1:13">
      <c r="A451" s="3113">
        <v>9</v>
      </c>
      <c r="B451" s="3111">
        <v>0.84619999999999995</v>
      </c>
      <c r="C451" s="3111">
        <v>0.84619999999999995</v>
      </c>
      <c r="D451" s="3111">
        <v>0.77510000000000001</v>
      </c>
      <c r="E451" s="3111">
        <v>0.77510000000000001</v>
      </c>
      <c r="F451" s="3111">
        <v>0.77510000000000001</v>
      </c>
      <c r="G451" s="3111">
        <v>0.77510000000000001</v>
      </c>
      <c r="H451" s="3111">
        <v>0.77510000000000001</v>
      </c>
      <c r="I451" s="3111">
        <v>0.61480000000000001</v>
      </c>
      <c r="J451" s="3111">
        <v>0.61480000000000001</v>
      </c>
      <c r="K451" s="3111">
        <v>0.61480000000000001</v>
      </c>
      <c r="L451" s="3111">
        <v>0.61480000000000001</v>
      </c>
      <c r="M451" s="3112">
        <v>0.61480000000000001</v>
      </c>
    </row>
    <row r="452" spans="1:13">
      <c r="A452" s="3113">
        <v>9.1</v>
      </c>
      <c r="B452" s="3111">
        <v>0.84499999999999997</v>
      </c>
      <c r="C452" s="3111">
        <v>0.84499999999999997</v>
      </c>
      <c r="D452" s="3111">
        <v>0.77359999999999995</v>
      </c>
      <c r="E452" s="3111">
        <v>0.77359999999999995</v>
      </c>
      <c r="F452" s="3111">
        <v>0.77359999999999995</v>
      </c>
      <c r="G452" s="3111">
        <v>0.77359999999999995</v>
      </c>
      <c r="H452" s="3111">
        <v>0.77359999999999995</v>
      </c>
      <c r="I452" s="3111">
        <v>0.61299999999999999</v>
      </c>
      <c r="J452" s="3111">
        <v>0.61299999999999999</v>
      </c>
      <c r="K452" s="3111">
        <v>0.61299999999999999</v>
      </c>
      <c r="L452" s="3111">
        <v>0.61299999999999999</v>
      </c>
      <c r="M452" s="3112">
        <v>0.61299999999999999</v>
      </c>
    </row>
    <row r="453" spans="1:13">
      <c r="A453" s="3113">
        <v>9.1999999999999993</v>
      </c>
      <c r="B453" s="3111">
        <v>0.84370000000000001</v>
      </c>
      <c r="C453" s="3111">
        <v>0.84370000000000001</v>
      </c>
      <c r="D453" s="3111">
        <v>0.77210000000000001</v>
      </c>
      <c r="E453" s="3111">
        <v>0.77210000000000001</v>
      </c>
      <c r="F453" s="3111">
        <v>0.77210000000000001</v>
      </c>
      <c r="G453" s="3111">
        <v>0.77210000000000001</v>
      </c>
      <c r="H453" s="3111">
        <v>0.77210000000000001</v>
      </c>
      <c r="I453" s="3111">
        <v>0.61119999999999997</v>
      </c>
      <c r="J453" s="3111">
        <v>0.61119999999999997</v>
      </c>
      <c r="K453" s="3111">
        <v>0.61119999999999997</v>
      </c>
      <c r="L453" s="3111">
        <v>0.61119999999999997</v>
      </c>
      <c r="M453" s="3112">
        <v>0.61119999999999997</v>
      </c>
    </row>
    <row r="454" spans="1:13">
      <c r="A454" s="3113">
        <v>9.3000000000000007</v>
      </c>
      <c r="B454" s="3111">
        <v>0.84250000000000003</v>
      </c>
      <c r="C454" s="3111">
        <v>0.84250000000000003</v>
      </c>
      <c r="D454" s="3111">
        <v>0.77059999999999995</v>
      </c>
      <c r="E454" s="3111">
        <v>0.77059999999999995</v>
      </c>
      <c r="F454" s="3111">
        <v>0.77059999999999995</v>
      </c>
      <c r="G454" s="3111">
        <v>0.77059999999999995</v>
      </c>
      <c r="H454" s="3111">
        <v>0.77059999999999995</v>
      </c>
      <c r="I454" s="3111">
        <v>0.60940000000000005</v>
      </c>
      <c r="J454" s="3111">
        <v>0.60940000000000005</v>
      </c>
      <c r="K454" s="3111">
        <v>0.60940000000000005</v>
      </c>
      <c r="L454" s="3111">
        <v>0.60940000000000005</v>
      </c>
      <c r="M454" s="3112">
        <v>0.60940000000000005</v>
      </c>
    </row>
    <row r="455" spans="1:13">
      <c r="A455" s="3113">
        <v>9.4</v>
      </c>
      <c r="B455" s="3111">
        <v>0.84130000000000005</v>
      </c>
      <c r="C455" s="3111">
        <v>0.84130000000000005</v>
      </c>
      <c r="D455" s="3111">
        <v>0.76900000000000002</v>
      </c>
      <c r="E455" s="3111">
        <v>0.76900000000000002</v>
      </c>
      <c r="F455" s="3111">
        <v>0.76900000000000002</v>
      </c>
      <c r="G455" s="3111">
        <v>0.76900000000000002</v>
      </c>
      <c r="H455" s="3111">
        <v>0.76900000000000002</v>
      </c>
      <c r="I455" s="3111">
        <v>0.60760000000000003</v>
      </c>
      <c r="J455" s="3111">
        <v>0.60760000000000003</v>
      </c>
      <c r="K455" s="3111">
        <v>0.60760000000000003</v>
      </c>
      <c r="L455" s="3111">
        <v>0.60760000000000003</v>
      </c>
      <c r="M455" s="3112">
        <v>0.60760000000000003</v>
      </c>
    </row>
    <row r="456" spans="1:13">
      <c r="A456" s="3113">
        <v>9.5</v>
      </c>
      <c r="B456" s="3111">
        <v>0.84009999999999996</v>
      </c>
      <c r="C456" s="3111">
        <v>0.84009999999999996</v>
      </c>
      <c r="D456" s="3111">
        <v>0.76759999999999995</v>
      </c>
      <c r="E456" s="3111">
        <v>0.76759999999999995</v>
      </c>
      <c r="F456" s="3111">
        <v>0.76759999999999995</v>
      </c>
      <c r="G456" s="3111">
        <v>0.76759999999999995</v>
      </c>
      <c r="H456" s="3111">
        <v>0.76759999999999995</v>
      </c>
      <c r="I456" s="3111">
        <v>0.60580000000000001</v>
      </c>
      <c r="J456" s="3111">
        <v>0.60580000000000001</v>
      </c>
      <c r="K456" s="3111">
        <v>0.60580000000000001</v>
      </c>
      <c r="L456" s="3111">
        <v>0.60580000000000001</v>
      </c>
      <c r="M456" s="3112">
        <v>0.60580000000000001</v>
      </c>
    </row>
    <row r="457" spans="1:13">
      <c r="A457" s="3113">
        <v>9.6</v>
      </c>
      <c r="B457" s="3111">
        <v>0.83899999999999997</v>
      </c>
      <c r="C457" s="3111">
        <v>0.83899999999999997</v>
      </c>
      <c r="D457" s="3111">
        <v>0.76619999999999999</v>
      </c>
      <c r="E457" s="3111">
        <v>0.76619999999999999</v>
      </c>
      <c r="F457" s="3111">
        <v>0.76619999999999999</v>
      </c>
      <c r="G457" s="3111">
        <v>0.76619999999999999</v>
      </c>
      <c r="H457" s="3111">
        <v>0.76619999999999999</v>
      </c>
      <c r="I457" s="3111">
        <v>0.60409999999999997</v>
      </c>
      <c r="J457" s="3111">
        <v>0.60409999999999997</v>
      </c>
      <c r="K457" s="3111">
        <v>0.60409999999999997</v>
      </c>
      <c r="L457" s="3111">
        <v>0.60409999999999997</v>
      </c>
      <c r="M457" s="3112">
        <v>0.60409999999999997</v>
      </c>
    </row>
    <row r="458" spans="1:13">
      <c r="A458" s="3113">
        <v>9.6999999999999993</v>
      </c>
      <c r="B458" s="3111">
        <v>0.83779999999999999</v>
      </c>
      <c r="C458" s="3111">
        <v>0.83779999999999999</v>
      </c>
      <c r="D458" s="3111">
        <v>0.76480000000000004</v>
      </c>
      <c r="E458" s="3111">
        <v>0.76480000000000004</v>
      </c>
      <c r="F458" s="3111">
        <v>0.76480000000000004</v>
      </c>
      <c r="G458" s="3111">
        <v>0.76480000000000004</v>
      </c>
      <c r="H458" s="3111">
        <v>0.76480000000000004</v>
      </c>
      <c r="I458" s="3111">
        <v>0.60240000000000005</v>
      </c>
      <c r="J458" s="3111">
        <v>0.60240000000000005</v>
      </c>
      <c r="K458" s="3111">
        <v>0.60240000000000005</v>
      </c>
      <c r="L458" s="3111">
        <v>0.60240000000000005</v>
      </c>
      <c r="M458" s="3112">
        <v>0.60240000000000005</v>
      </c>
    </row>
    <row r="459" spans="1:13">
      <c r="A459" s="3113">
        <v>9.8000000000000007</v>
      </c>
      <c r="B459" s="3111">
        <v>0.8367</v>
      </c>
      <c r="C459" s="3111">
        <v>0.8367</v>
      </c>
      <c r="D459" s="3111">
        <v>0.76329999999999998</v>
      </c>
      <c r="E459" s="3111">
        <v>0.76329999999999998</v>
      </c>
      <c r="F459" s="3111">
        <v>0.76329999999999998</v>
      </c>
      <c r="G459" s="3111">
        <v>0.76329999999999998</v>
      </c>
      <c r="H459" s="3111">
        <v>0.76329999999999998</v>
      </c>
      <c r="I459" s="3111">
        <v>0.60060000000000002</v>
      </c>
      <c r="J459" s="3111">
        <v>0.60060000000000002</v>
      </c>
      <c r="K459" s="3111">
        <v>0.60060000000000002</v>
      </c>
      <c r="L459" s="3111">
        <v>0.60060000000000002</v>
      </c>
      <c r="M459" s="3112">
        <v>0.60060000000000002</v>
      </c>
    </row>
    <row r="460" spans="1:13" ht="14.25" thickBot="1">
      <c r="A460" s="3114">
        <v>9.9</v>
      </c>
      <c r="B460" s="3115">
        <v>0.83560000000000001</v>
      </c>
      <c r="C460" s="3115">
        <v>0.83560000000000001</v>
      </c>
      <c r="D460" s="3115">
        <v>0.76190000000000002</v>
      </c>
      <c r="E460" s="3115">
        <v>0.76190000000000002</v>
      </c>
      <c r="F460" s="3115">
        <v>0.76190000000000002</v>
      </c>
      <c r="G460" s="3115">
        <v>0.76190000000000002</v>
      </c>
      <c r="H460" s="3115">
        <v>0.76190000000000002</v>
      </c>
      <c r="I460" s="3115">
        <v>0.59889999999999999</v>
      </c>
      <c r="J460" s="3115">
        <v>0.59889999999999999</v>
      </c>
      <c r="K460" s="3115">
        <v>0.59889999999999999</v>
      </c>
      <c r="L460" s="3115">
        <v>0.59889999999999999</v>
      </c>
      <c r="M460" s="3116">
        <v>0.59889999999999999</v>
      </c>
    </row>
  </sheetData>
  <sheetProtection password="CEE9" sheet="1" objects="1" scenarios="1" formatCells="0" formatColumns="0" formatRows="0"/>
  <phoneticPr fontId="7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62906</v>
      </c>
      <c r="C2" s="2" t="s">
        <v>106</v>
      </c>
      <c r="D2" s="199"/>
      <c r="E2" s="199"/>
      <c r="F2" s="199"/>
      <c r="G2" s="199"/>
    </row>
    <row r="3" spans="1:7" s="200" customFormat="1" ht="18" customHeight="1" thickBot="1">
      <c r="A3" s="203" t="s">
        <v>58</v>
      </c>
      <c r="B3" s="204">
        <f ca="1">ROUND(B2*10000/'数据-汇总表'!E3,0)</f>
        <v>12912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974</v>
      </c>
      <c r="D10" s="845">
        <f>'数据-汇总表'!E6</f>
        <v>48720.729999999974</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974</v>
      </c>
      <c r="D19" s="849">
        <f>'数据-汇总表'!E3</f>
        <v>48720.729999999974</v>
      </c>
      <c r="E19" s="211">
        <f>'数据-取费表'!B31</f>
        <v>200</v>
      </c>
      <c r="F19" s="231"/>
      <c r="G19" s="1" t="s">
        <v>436</v>
      </c>
    </row>
    <row r="20" spans="1:7" s="214" customFormat="1" ht="13.5" customHeight="1">
      <c r="A20" s="777" t="s">
        <v>419</v>
      </c>
      <c r="B20" s="210" t="s">
        <v>77</v>
      </c>
      <c r="C20" s="232">
        <f>ROUND((C5+C19)*F20,0)</f>
        <v>432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1530</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68</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3082</v>
      </c>
      <c r="D27" s="235">
        <f>C29</f>
        <v>2.8E-3</v>
      </c>
      <c r="E27" s="236" t="s">
        <v>99</v>
      </c>
      <c r="F27" s="246">
        <f>'数据-取费表'!Q16</f>
        <v>0.14000000000000001</v>
      </c>
      <c r="G27" s="247" t="s">
        <v>431</v>
      </c>
    </row>
    <row r="28" spans="1:7" s="214" customFormat="1" ht="13.5" customHeight="1">
      <c r="A28" s="780" t="s">
        <v>349</v>
      </c>
      <c r="B28" s="248" t="s">
        <v>424</v>
      </c>
      <c r="C28" s="249">
        <f>ROUND((C5+C19+C20)*F27*'数据-取费表'!B21/'数据-取费表'!B20,0)</f>
        <v>3082</v>
      </c>
      <c r="D28" s="235"/>
      <c r="E28" s="236"/>
      <c r="F28" s="246"/>
      <c r="G28" s="247"/>
    </row>
    <row r="29" spans="1:7" s="214" customFormat="1" ht="13.5" customHeight="1">
      <c r="A29" s="780" t="s">
        <v>347</v>
      </c>
      <c r="B29" s="248" t="s">
        <v>425</v>
      </c>
      <c r="C29" s="238">
        <f>ROUND(C21*F27*'数据-取费表'!B21/'数据-取费表'!B20,4)</f>
        <v>2.8E-3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28844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30880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28618</v>
      </c>
      <c r="D34" s="217"/>
      <c r="E34" s="220"/>
      <c r="F34" s="257">
        <f>IF('数据-取费表'!B24=0,1,'数据-取费表'!N16)</f>
        <v>1</v>
      </c>
      <c r="G34" s="219" t="s">
        <v>89</v>
      </c>
    </row>
    <row r="35" spans="1:7" ht="13.5" customHeight="1">
      <c r="A35" s="780" t="s">
        <v>351</v>
      </c>
      <c r="B35" s="215" t="s">
        <v>33</v>
      </c>
      <c r="C35" s="220">
        <f>ROUND(C34*F35,0)</f>
        <v>859</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974</v>
      </c>
      <c r="D37" s="217">
        <f>'数据-汇总表'!E3</f>
        <v>48720.729999999974</v>
      </c>
      <c r="E37" s="249">
        <f>'数据-取费表'!B35</f>
        <v>200</v>
      </c>
      <c r="F37" s="259"/>
      <c r="G37" s="261" t="s">
        <v>92</v>
      </c>
    </row>
    <row r="38" spans="1:7" ht="13.5" customHeight="1">
      <c r="A38" s="780" t="s">
        <v>354</v>
      </c>
      <c r="B38" s="215" t="s">
        <v>36</v>
      </c>
      <c r="C38" s="220">
        <f>ROUND(C34*F38,0)</f>
        <v>429</v>
      </c>
      <c r="D38" s="220"/>
      <c r="E38" s="220"/>
      <c r="F38" s="259">
        <f>'数据-取费表'!B36</f>
        <v>1.4999999999999999E-2</v>
      </c>
      <c r="G38" s="219" t="s">
        <v>90</v>
      </c>
    </row>
    <row r="39" spans="1:7" s="214" customFormat="1" ht="13.5" customHeight="1">
      <c r="A39" s="777" t="s">
        <v>338</v>
      </c>
      <c r="B39" s="210" t="s">
        <v>77</v>
      </c>
      <c r="C39" s="232">
        <f>ROUND(C33*F20,0)</f>
        <v>618</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1086</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1065</v>
      </c>
      <c r="D42" s="238"/>
      <c r="E42" s="238"/>
      <c r="F42" s="239"/>
      <c r="G42" s="3877" t="s">
        <v>94</v>
      </c>
    </row>
    <row r="43" spans="1:7" ht="13.5" customHeight="1">
      <c r="A43" s="780" t="s">
        <v>347</v>
      </c>
      <c r="B43" s="215" t="s">
        <v>426</v>
      </c>
      <c r="C43" s="238">
        <f ca="1">ROUND(IF('数据-取费表'!B22&lt;=1,C39*F22*'数据-取费表'!B21/2,C39*(POWER((1+F22),'数据-取费表'!B21/2)-1)),0)</f>
        <v>21</v>
      </c>
      <c r="D43" s="238"/>
      <c r="E43" s="238"/>
      <c r="F43" s="239"/>
      <c r="G43" s="3878"/>
    </row>
    <row r="44" spans="1:7" ht="13.5" customHeight="1">
      <c r="A44" s="780" t="s">
        <v>348</v>
      </c>
      <c r="B44" s="215" t="s">
        <v>428</v>
      </c>
      <c r="C44" s="238">
        <f ca="1">ROUND(IF('数据-取费表'!B22&lt;=1,C40*F22*'数据-取费表'!B21/2,C40*(POWER((1+F22),'数据-取费表'!B21/2)-1)),4)</f>
        <v>6.9999999999999999E-4</v>
      </c>
      <c r="D44" s="238"/>
      <c r="E44" s="238"/>
      <c r="F44" s="239"/>
      <c r="G44" s="3879"/>
    </row>
    <row r="45" spans="1:7" s="214" customFormat="1" ht="13.5" customHeight="1">
      <c r="A45" s="777" t="s">
        <v>341</v>
      </c>
      <c r="B45" s="244" t="s">
        <v>85</v>
      </c>
      <c r="C45" s="245">
        <f>C46</f>
        <v>4410</v>
      </c>
      <c r="D45" s="235">
        <f>C47</f>
        <v>2.8E-3</v>
      </c>
      <c r="E45" s="236" t="s">
        <v>102</v>
      </c>
      <c r="F45" s="246"/>
      <c r="G45" s="247" t="s">
        <v>434</v>
      </c>
    </row>
    <row r="46" spans="1:7" s="214" customFormat="1" ht="13.5" customHeight="1">
      <c r="A46" s="780" t="s">
        <v>349</v>
      </c>
      <c r="B46" s="248" t="s">
        <v>427</v>
      </c>
      <c r="C46" s="249">
        <f>ROUND((C33+C39)*F27,0)</f>
        <v>4410</v>
      </c>
      <c r="D46" s="263"/>
      <c r="E46" s="236"/>
      <c r="F46" s="246"/>
      <c r="G46" s="247"/>
    </row>
    <row r="47" spans="1:7" s="214" customFormat="1" ht="13.5" customHeight="1">
      <c r="A47" s="780" t="s">
        <v>347</v>
      </c>
      <c r="B47" s="248" t="s">
        <v>429</v>
      </c>
      <c r="C47" s="238">
        <f>ROUND(C40*F27,4)</f>
        <v>2.8E-3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40073</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34062</v>
      </c>
      <c r="D51" s="232"/>
      <c r="E51" s="232"/>
      <c r="F51" s="264"/>
      <c r="G51" s="234" t="s">
        <v>37</v>
      </c>
    </row>
    <row r="52" spans="1:7" s="208" customFormat="1" ht="16.5" thickBot="1">
      <c r="A52" s="265" t="s">
        <v>38</v>
      </c>
      <c r="B52" s="266"/>
      <c r="C52" s="267">
        <f ca="1">C31+C51</f>
        <v>62906</v>
      </c>
      <c r="D52" s="266"/>
      <c r="E52" s="266"/>
      <c r="F52" s="266"/>
      <c r="G52" s="268"/>
    </row>
    <row r="55" spans="1:7" ht="15">
      <c r="B55" s="270" t="s">
        <v>39</v>
      </c>
      <c r="C55" s="271"/>
    </row>
    <row r="56" spans="1:7">
      <c r="B56" s="273" t="s">
        <v>40</v>
      </c>
      <c r="C56" s="274">
        <f ca="1">ROUND(C51/C52,3)</f>
        <v>0.54100000000000004</v>
      </c>
    </row>
    <row r="57" spans="1:7">
      <c r="B57" s="273" t="s">
        <v>41</v>
      </c>
      <c r="C57" s="275">
        <f ca="1">1-C56</f>
        <v>0.45899999999999996</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03" customWidth="1"/>
    <col min="2" max="2" width="18.625" style="3203" customWidth="1"/>
    <col min="3" max="6" width="10.25" style="3203" customWidth="1"/>
    <col min="7" max="7" width="10.5" style="3203" bestFit="1" customWidth="1"/>
    <col min="8" max="8" width="8.875" style="3199"/>
    <col min="9" max="9" width="13.375" style="3199" customWidth="1"/>
    <col min="10" max="13" width="13.375" style="3203" customWidth="1"/>
    <col min="14" max="14" width="18.25" style="3203" customWidth="1"/>
    <col min="15" max="17" width="15.125" style="3203" customWidth="1"/>
    <col min="18" max="20" width="11.5" style="3203" customWidth="1"/>
    <col min="21" max="16384" width="8.875" style="3203"/>
  </cols>
  <sheetData>
    <row r="1" spans="1:20" ht="12" thickBot="1">
      <c r="A1" s="3998" t="s">
        <v>2823</v>
      </c>
      <c r="B1" s="3998"/>
      <c r="C1" s="3998"/>
      <c r="D1" s="3998"/>
      <c r="E1" s="3998"/>
      <c r="F1" s="3998"/>
      <c r="G1" s="3999"/>
      <c r="I1" s="3200" t="s">
        <v>2824</v>
      </c>
      <c r="J1" s="3201" t="s">
        <v>2825</v>
      </c>
      <c r="K1" s="3201" t="s">
        <v>2826</v>
      </c>
      <c r="L1" s="3201" t="s">
        <v>2827</v>
      </c>
      <c r="M1" s="3201" t="s">
        <v>2828</v>
      </c>
      <c r="N1" s="3201" t="s">
        <v>2829</v>
      </c>
      <c r="O1" s="3201" t="s">
        <v>2830</v>
      </c>
      <c r="P1" s="3201" t="s">
        <v>2831</v>
      </c>
      <c r="Q1" s="3201" t="s">
        <v>2832</v>
      </c>
      <c r="R1" s="3201" t="s">
        <v>2833</v>
      </c>
      <c r="S1" s="3201" t="s">
        <v>2834</v>
      </c>
      <c r="T1" s="3202" t="s">
        <v>2835</v>
      </c>
    </row>
    <row r="2" spans="1:20" ht="12" thickBot="1">
      <c r="A2" s="3204" t="s">
        <v>2836</v>
      </c>
      <c r="B2" s="3204"/>
      <c r="C2" s="3204"/>
      <c r="D2" s="3204"/>
      <c r="E2" s="3204"/>
      <c r="F2" s="3204"/>
      <c r="G2" s="3205" t="s">
        <v>2837</v>
      </c>
      <c r="I2" s="3206" t="s">
        <v>2838</v>
      </c>
      <c r="J2" s="3206" t="s">
        <v>2839</v>
      </c>
      <c r="K2" s="3206" t="s">
        <v>2840</v>
      </c>
      <c r="L2" s="3206" t="s">
        <v>2841</v>
      </c>
      <c r="M2" s="3206" t="s">
        <v>2842</v>
      </c>
      <c r="N2" s="3206" t="s">
        <v>2843</v>
      </c>
      <c r="O2" s="3206" t="s">
        <v>2844</v>
      </c>
      <c r="P2" s="3206" t="s">
        <v>2845</v>
      </c>
      <c r="Q2" s="3206" t="s">
        <v>2846</v>
      </c>
      <c r="R2" s="3206" t="s">
        <v>2847</v>
      </c>
      <c r="S2" s="3206" t="s">
        <v>2848</v>
      </c>
      <c r="T2" s="3206" t="s">
        <v>2849</v>
      </c>
    </row>
    <row r="3" spans="1:20" s="3212" customFormat="1">
      <c r="A3" s="3996" t="s">
        <v>2850</v>
      </c>
      <c r="B3" s="3207"/>
      <c r="C3" s="3208" t="s">
        <v>2795</v>
      </c>
      <c r="D3" s="3208" t="s">
        <v>2851</v>
      </c>
      <c r="E3" s="3208" t="s">
        <v>2797</v>
      </c>
      <c r="F3" s="3208" t="s">
        <v>2852</v>
      </c>
      <c r="G3" s="3208" t="s">
        <v>2615</v>
      </c>
      <c r="H3" s="3209"/>
      <c r="I3" s="3210" t="s">
        <v>2853</v>
      </c>
      <c r="J3" s="3211" t="s">
        <v>128</v>
      </c>
      <c r="K3" s="3211" t="s">
        <v>129</v>
      </c>
      <c r="L3" s="3210" t="s">
        <v>130</v>
      </c>
      <c r="M3" s="3210" t="s">
        <v>131</v>
      </c>
      <c r="N3" s="3210" t="s">
        <v>132</v>
      </c>
      <c r="O3" s="3210" t="s">
        <v>133</v>
      </c>
      <c r="P3" s="3210" t="s">
        <v>134</v>
      </c>
      <c r="Q3" s="3210" t="s">
        <v>135</v>
      </c>
      <c r="R3" s="3210" t="s">
        <v>136</v>
      </c>
      <c r="S3" s="3210" t="s">
        <v>2854</v>
      </c>
      <c r="T3" s="3210" t="s">
        <v>2855</v>
      </c>
    </row>
    <row r="4" spans="1:20" s="3212" customFormat="1" ht="12" thickBot="1">
      <c r="A4" s="3997"/>
      <c r="B4" s="3213" t="s">
        <v>2856</v>
      </c>
      <c r="C4" s="3213" t="s">
        <v>2857</v>
      </c>
      <c r="D4" s="3213" t="s">
        <v>2857</v>
      </c>
      <c r="E4" s="3213" t="s">
        <v>2857</v>
      </c>
      <c r="F4" s="3214" t="s">
        <v>2857</v>
      </c>
      <c r="G4" s="3214" t="s">
        <v>2857</v>
      </c>
      <c r="H4" s="3209"/>
      <c r="I4" s="3211" t="s">
        <v>137</v>
      </c>
      <c r="J4" s="3211" t="s">
        <v>111</v>
      </c>
      <c r="K4" s="3211" t="s">
        <v>138</v>
      </c>
      <c r="L4" s="3210" t="s">
        <v>139</v>
      </c>
      <c r="M4" s="3210" t="s">
        <v>140</v>
      </c>
      <c r="N4" s="3210" t="s">
        <v>141</v>
      </c>
      <c r="O4" s="3210" t="s">
        <v>142</v>
      </c>
      <c r="P4" s="3210" t="s">
        <v>143</v>
      </c>
      <c r="Q4" s="3210" t="s">
        <v>2858</v>
      </c>
      <c r="R4" s="3210" t="s">
        <v>2859</v>
      </c>
      <c r="S4" s="3210" t="s">
        <v>2860</v>
      </c>
      <c r="T4" s="3210" t="s">
        <v>2861</v>
      </c>
    </row>
    <row r="5" spans="1:20">
      <c r="A5" s="3215" t="s">
        <v>2824</v>
      </c>
      <c r="B5" s="3206" t="s">
        <v>2838</v>
      </c>
      <c r="C5" s="3206">
        <v>34550</v>
      </c>
      <c r="D5" s="3206">
        <v>34470</v>
      </c>
      <c r="E5" s="3206">
        <v>34330</v>
      </c>
      <c r="F5" s="3206">
        <v>13400</v>
      </c>
      <c r="G5" s="3206">
        <v>25450</v>
      </c>
      <c r="H5" s="3209"/>
      <c r="I5" s="3210" t="s">
        <v>145</v>
      </c>
      <c r="J5" s="3211" t="s">
        <v>146</v>
      </c>
      <c r="K5" s="3211" t="s">
        <v>147</v>
      </c>
      <c r="L5" s="3210" t="s">
        <v>148</v>
      </c>
      <c r="M5" s="3210" t="s">
        <v>149</v>
      </c>
      <c r="N5" s="3210" t="s">
        <v>150</v>
      </c>
      <c r="O5" s="3210" t="s">
        <v>151</v>
      </c>
      <c r="P5" s="3210" t="s">
        <v>152</v>
      </c>
      <c r="Q5" s="3210" t="s">
        <v>2862</v>
      </c>
      <c r="R5" s="3210" t="s">
        <v>2863</v>
      </c>
      <c r="S5" s="3210" t="s">
        <v>153</v>
      </c>
      <c r="T5" s="3210" t="s">
        <v>2864</v>
      </c>
    </row>
    <row r="6" spans="1:20" ht="12" thickBot="1">
      <c r="A6" s="3210" t="s">
        <v>144</v>
      </c>
      <c r="B6" s="3210" t="s">
        <v>2853</v>
      </c>
      <c r="C6" s="3210">
        <v>36990</v>
      </c>
      <c r="D6" s="3210">
        <v>36850</v>
      </c>
      <c r="E6" s="3210">
        <v>36700</v>
      </c>
      <c r="F6" s="3210">
        <v>14590</v>
      </c>
      <c r="G6" s="3210">
        <v>27450</v>
      </c>
      <c r="H6" s="3209"/>
      <c r="I6" s="3216" t="s">
        <v>154</v>
      </c>
      <c r="J6" s="3211" t="s">
        <v>155</v>
      </c>
      <c r="K6" s="3211" t="s">
        <v>156</v>
      </c>
      <c r="L6" s="3210" t="s">
        <v>157</v>
      </c>
      <c r="M6" s="3210" t="s">
        <v>158</v>
      </c>
      <c r="N6" s="3210" t="s">
        <v>159</v>
      </c>
      <c r="O6" s="3210" t="s">
        <v>160</v>
      </c>
      <c r="P6" s="3210" t="s">
        <v>2865</v>
      </c>
      <c r="Q6" s="3210" t="s">
        <v>2866</v>
      </c>
      <c r="R6" s="3210" t="s">
        <v>161</v>
      </c>
      <c r="S6" s="3210" t="s">
        <v>2867</v>
      </c>
      <c r="T6" s="3210" t="s">
        <v>2868</v>
      </c>
    </row>
    <row r="7" spans="1:20">
      <c r="A7" s="3210" t="s">
        <v>144</v>
      </c>
      <c r="B7" s="3211" t="s">
        <v>137</v>
      </c>
      <c r="C7" s="3210">
        <v>34850</v>
      </c>
      <c r="D7" s="3210">
        <v>34690</v>
      </c>
      <c r="E7" s="3210">
        <v>34550</v>
      </c>
      <c r="F7" s="3210">
        <v>14360</v>
      </c>
      <c r="G7" s="3210">
        <v>25620</v>
      </c>
      <c r="H7" s="3209"/>
      <c r="J7" s="3211" t="s">
        <v>162</v>
      </c>
      <c r="K7" s="3211" t="s">
        <v>163</v>
      </c>
      <c r="L7" s="3210" t="s">
        <v>164</v>
      </c>
      <c r="M7" s="3210" t="s">
        <v>165</v>
      </c>
      <c r="N7" s="3210" t="s">
        <v>166</v>
      </c>
      <c r="O7" s="3210" t="s">
        <v>167</v>
      </c>
      <c r="P7" s="3210" t="s">
        <v>2869</v>
      </c>
      <c r="Q7" s="3210" t="s">
        <v>2870</v>
      </c>
      <c r="R7" s="3210" t="s">
        <v>2871</v>
      </c>
      <c r="S7" s="3210" t="s">
        <v>2872</v>
      </c>
      <c r="T7" s="3210" t="s">
        <v>2873</v>
      </c>
    </row>
    <row r="8" spans="1:20" ht="12" thickBot="1">
      <c r="A8" s="3210" t="s">
        <v>144</v>
      </c>
      <c r="B8" s="3210" t="s">
        <v>145</v>
      </c>
      <c r="C8" s="3210">
        <v>32630</v>
      </c>
      <c r="D8" s="3210">
        <v>32510</v>
      </c>
      <c r="E8" s="3210">
        <v>32420</v>
      </c>
      <c r="F8" s="3210">
        <v>13300</v>
      </c>
      <c r="G8" s="3210">
        <v>24010</v>
      </c>
      <c r="H8" s="3209"/>
      <c r="J8" s="3211" t="s">
        <v>168</v>
      </c>
      <c r="K8" s="3211" t="s">
        <v>169</v>
      </c>
      <c r="L8" s="3210" t="s">
        <v>170</v>
      </c>
      <c r="M8" s="3210" t="s">
        <v>171</v>
      </c>
      <c r="N8" s="3210" t="s">
        <v>172</v>
      </c>
      <c r="O8" s="3210" t="s">
        <v>173</v>
      </c>
      <c r="P8" s="3210" t="s">
        <v>2874</v>
      </c>
      <c r="Q8" s="3210" t="s">
        <v>174</v>
      </c>
      <c r="R8" s="3210" t="s">
        <v>2875</v>
      </c>
      <c r="S8" s="3210" t="s">
        <v>2876</v>
      </c>
      <c r="T8" s="3217" t="s">
        <v>2877</v>
      </c>
    </row>
    <row r="9" spans="1:20" ht="12" thickBot="1">
      <c r="A9" s="3218" t="s">
        <v>144</v>
      </c>
      <c r="B9" s="3216" t="s">
        <v>154</v>
      </c>
      <c r="C9" s="3217">
        <v>36370</v>
      </c>
      <c r="D9" s="3217">
        <v>36210</v>
      </c>
      <c r="E9" s="3217">
        <v>36050</v>
      </c>
      <c r="F9" s="3217"/>
      <c r="G9" s="3217">
        <v>26740</v>
      </c>
      <c r="H9" s="3209"/>
      <c r="J9" s="3211" t="s">
        <v>175</v>
      </c>
      <c r="K9" s="3211" t="s">
        <v>176</v>
      </c>
      <c r="L9" s="3210" t="s">
        <v>177</v>
      </c>
      <c r="M9" s="3210" t="s">
        <v>178</v>
      </c>
      <c r="N9" s="3210" t="s">
        <v>179</v>
      </c>
      <c r="O9" s="3210" t="s">
        <v>180</v>
      </c>
      <c r="P9" s="3210" t="s">
        <v>2878</v>
      </c>
      <c r="Q9" s="3210" t="s">
        <v>182</v>
      </c>
      <c r="R9" s="3210" t="s">
        <v>183</v>
      </c>
      <c r="S9" s="3210" t="s">
        <v>200</v>
      </c>
    </row>
    <row r="10" spans="1:20">
      <c r="A10" s="3215" t="s">
        <v>184</v>
      </c>
      <c r="B10" s="3206" t="s">
        <v>2839</v>
      </c>
      <c r="C10" s="3210">
        <v>32350</v>
      </c>
      <c r="D10" s="3210">
        <v>31430</v>
      </c>
      <c r="E10" s="3210">
        <v>31320</v>
      </c>
      <c r="F10" s="3210">
        <v>10850</v>
      </c>
      <c r="G10" s="3210">
        <v>22860</v>
      </c>
      <c r="H10" s="3209"/>
      <c r="J10" s="3211" t="s">
        <v>185</v>
      </c>
      <c r="K10" s="3211" t="s">
        <v>186</v>
      </c>
      <c r="L10" s="3210" t="s">
        <v>187</v>
      </c>
      <c r="M10" s="3210" t="s">
        <v>188</v>
      </c>
      <c r="N10" s="3210" t="s">
        <v>189</v>
      </c>
      <c r="O10" s="3210" t="s">
        <v>190</v>
      </c>
      <c r="P10" s="3210" t="s">
        <v>181</v>
      </c>
      <c r="Q10" s="3210" t="s">
        <v>192</v>
      </c>
      <c r="R10" s="3210" t="s">
        <v>193</v>
      </c>
      <c r="S10" s="3210" t="s">
        <v>2879</v>
      </c>
    </row>
    <row r="11" spans="1:20">
      <c r="A11" s="3210" t="s">
        <v>184</v>
      </c>
      <c r="B11" s="3211" t="s">
        <v>128</v>
      </c>
      <c r="C11" s="3210">
        <v>31590</v>
      </c>
      <c r="D11" s="3210">
        <v>29490</v>
      </c>
      <c r="E11" s="3210">
        <v>28700</v>
      </c>
      <c r="F11" s="3210">
        <v>10410</v>
      </c>
      <c r="G11" s="3210">
        <v>21460</v>
      </c>
      <c r="H11" s="3209"/>
      <c r="J11" s="3211" t="s">
        <v>194</v>
      </c>
      <c r="K11" s="3211" t="s">
        <v>195</v>
      </c>
      <c r="L11" s="3210" t="s">
        <v>196</v>
      </c>
      <c r="M11" s="3210" t="s">
        <v>197</v>
      </c>
      <c r="N11" s="3210" t="s">
        <v>198</v>
      </c>
      <c r="O11" s="3210" t="s">
        <v>2880</v>
      </c>
      <c r="P11" s="3210" t="s">
        <v>191</v>
      </c>
      <c r="Q11" s="3210" t="s">
        <v>199</v>
      </c>
      <c r="R11" s="3210" t="s">
        <v>2881</v>
      </c>
      <c r="S11" s="3210" t="s">
        <v>2882</v>
      </c>
    </row>
    <row r="12" spans="1:20">
      <c r="A12" s="3210" t="s">
        <v>184</v>
      </c>
      <c r="B12" s="3211" t="s">
        <v>111</v>
      </c>
      <c r="C12" s="3210">
        <v>29640</v>
      </c>
      <c r="D12" s="3210">
        <v>27550</v>
      </c>
      <c r="E12" s="3210">
        <v>28010</v>
      </c>
      <c r="F12" s="3210">
        <v>8730</v>
      </c>
      <c r="G12" s="3210">
        <v>20050</v>
      </c>
      <c r="H12" s="3209"/>
      <c r="J12" s="3211" t="s">
        <v>201</v>
      </c>
      <c r="K12" s="3211" t="s">
        <v>202</v>
      </c>
      <c r="L12" s="3210" t="s">
        <v>203</v>
      </c>
      <c r="M12" s="3210" t="s">
        <v>204</v>
      </c>
      <c r="N12" s="3210" t="s">
        <v>205</v>
      </c>
      <c r="O12" s="3210" t="s">
        <v>2883</v>
      </c>
      <c r="P12" s="3210" t="s">
        <v>2884</v>
      </c>
      <c r="Q12" s="3210" t="s">
        <v>2885</v>
      </c>
      <c r="R12" s="3210" t="s">
        <v>2886</v>
      </c>
      <c r="S12" s="3210" t="s">
        <v>2887</v>
      </c>
    </row>
    <row r="13" spans="1:20">
      <c r="A13" s="3210" t="s">
        <v>184</v>
      </c>
      <c r="B13" s="3211" t="s">
        <v>146</v>
      </c>
      <c r="C13" s="3210">
        <v>29680</v>
      </c>
      <c r="D13" s="3210">
        <v>27660</v>
      </c>
      <c r="E13" s="3210">
        <v>28210</v>
      </c>
      <c r="F13" s="3210">
        <v>9590</v>
      </c>
      <c r="G13" s="3210">
        <v>20120</v>
      </c>
      <c r="H13" s="3209"/>
      <c r="J13" s="3211" t="s">
        <v>208</v>
      </c>
      <c r="K13" s="3211" t="s">
        <v>209</v>
      </c>
      <c r="L13" s="3210" t="s">
        <v>210</v>
      </c>
      <c r="M13" s="3210" t="s">
        <v>211</v>
      </c>
      <c r="N13" s="3210" t="s">
        <v>212</v>
      </c>
      <c r="O13" s="3210" t="s">
        <v>2888</v>
      </c>
      <c r="P13" s="3210" t="s">
        <v>206</v>
      </c>
      <c r="Q13" s="3210" t="s">
        <v>219</v>
      </c>
      <c r="R13" s="3210" t="s">
        <v>220</v>
      </c>
      <c r="S13" s="3210" t="s">
        <v>214</v>
      </c>
    </row>
    <row r="14" spans="1:20">
      <c r="A14" s="3210" t="s">
        <v>184</v>
      </c>
      <c r="B14" s="3211" t="s">
        <v>155</v>
      </c>
      <c r="C14" s="3210">
        <v>30520</v>
      </c>
      <c r="D14" s="3210">
        <v>29510</v>
      </c>
      <c r="E14" s="3210">
        <v>29400</v>
      </c>
      <c r="F14" s="3210">
        <v>9630</v>
      </c>
      <c r="G14" s="3210">
        <v>21480</v>
      </c>
      <c r="H14" s="3209"/>
      <c r="J14" s="3211" t="s">
        <v>2889</v>
      </c>
      <c r="K14" s="3211" t="s">
        <v>215</v>
      </c>
      <c r="L14" s="3210" t="s">
        <v>216</v>
      </c>
      <c r="M14" s="3210" t="s">
        <v>217</v>
      </c>
      <c r="N14" s="3210" t="s">
        <v>218</v>
      </c>
      <c r="O14" s="3210" t="s">
        <v>240</v>
      </c>
      <c r="P14" s="3210" t="s">
        <v>213</v>
      </c>
      <c r="Q14" s="3210" t="s">
        <v>2890</v>
      </c>
      <c r="R14" s="3210" t="s">
        <v>228</v>
      </c>
      <c r="S14" s="3210" t="s">
        <v>221</v>
      </c>
    </row>
    <row r="15" spans="1:20">
      <c r="A15" s="3210" t="s">
        <v>184</v>
      </c>
      <c r="B15" s="3211" t="s">
        <v>162</v>
      </c>
      <c r="C15" s="3210">
        <v>29090</v>
      </c>
      <c r="D15" s="3210">
        <v>27590</v>
      </c>
      <c r="E15" s="3210">
        <v>28120</v>
      </c>
      <c r="F15" s="3210">
        <v>9110</v>
      </c>
      <c r="G15" s="3210">
        <v>20070</v>
      </c>
      <c r="H15" s="3209"/>
      <c r="J15" s="3211" t="s">
        <v>222</v>
      </c>
      <c r="K15" s="3211" t="s">
        <v>223</v>
      </c>
      <c r="L15" s="3210" t="s">
        <v>224</v>
      </c>
      <c r="M15" s="3210" t="s">
        <v>225</v>
      </c>
      <c r="N15" s="3210" t="s">
        <v>226</v>
      </c>
      <c r="O15" s="3210" t="s">
        <v>2891</v>
      </c>
      <c r="P15" s="3210" t="s">
        <v>2892</v>
      </c>
      <c r="Q15" s="3210" t="s">
        <v>242</v>
      </c>
      <c r="R15" s="3210" t="s">
        <v>2893</v>
      </c>
      <c r="S15" s="3210" t="s">
        <v>229</v>
      </c>
    </row>
    <row r="16" spans="1:20">
      <c r="A16" s="3210" t="s">
        <v>184</v>
      </c>
      <c r="B16" s="3211" t="s">
        <v>168</v>
      </c>
      <c r="C16" s="3210">
        <v>26790</v>
      </c>
      <c r="D16" s="3210">
        <v>30370</v>
      </c>
      <c r="E16" s="3210">
        <v>30240</v>
      </c>
      <c r="F16" s="3210">
        <v>11590</v>
      </c>
      <c r="G16" s="3210">
        <v>22090</v>
      </c>
      <c r="H16" s="3209"/>
      <c r="J16" s="3211" t="s">
        <v>230</v>
      </c>
      <c r="K16" s="3211" t="s">
        <v>231</v>
      </c>
      <c r="L16" s="3210" t="s">
        <v>232</v>
      </c>
      <c r="M16" s="3210" t="s">
        <v>233</v>
      </c>
      <c r="N16" s="3210" t="s">
        <v>234</v>
      </c>
      <c r="O16" s="3210" t="s">
        <v>2894</v>
      </c>
      <c r="P16" s="3210" t="s">
        <v>227</v>
      </c>
      <c r="Q16" s="3210" t="s">
        <v>250</v>
      </c>
      <c r="R16" s="3210" t="s">
        <v>207</v>
      </c>
      <c r="S16" s="3210" t="s">
        <v>2895</v>
      </c>
    </row>
    <row r="17" spans="1:19" ht="14.25" customHeight="1">
      <c r="A17" s="3210" t="s">
        <v>184</v>
      </c>
      <c r="B17" s="3211" t="s">
        <v>175</v>
      </c>
      <c r="C17" s="3210">
        <v>29180</v>
      </c>
      <c r="D17" s="3210">
        <v>27620</v>
      </c>
      <c r="E17" s="3210">
        <v>28180</v>
      </c>
      <c r="F17" s="3210">
        <v>10790</v>
      </c>
      <c r="G17" s="3210">
        <v>20090</v>
      </c>
      <c r="H17" s="3209"/>
      <c r="J17" s="3211" t="s">
        <v>235</v>
      </c>
      <c r="K17" s="3211" t="s">
        <v>236</v>
      </c>
      <c r="L17" s="3210" t="s">
        <v>237</v>
      </c>
      <c r="M17" s="3210" t="s">
        <v>238</v>
      </c>
      <c r="N17" s="3210" t="s">
        <v>239</v>
      </c>
      <c r="O17" s="3210" t="s">
        <v>2896</v>
      </c>
      <c r="P17" s="3210" t="s">
        <v>2897</v>
      </c>
      <c r="Q17" s="3210" t="s">
        <v>256</v>
      </c>
      <c r="R17" s="3210" t="s">
        <v>2898</v>
      </c>
      <c r="S17" s="3210" t="s">
        <v>258</v>
      </c>
    </row>
    <row r="18" spans="1:19" ht="14.25" customHeight="1">
      <c r="A18" s="3210" t="s">
        <v>184</v>
      </c>
      <c r="B18" s="3211" t="s">
        <v>185</v>
      </c>
      <c r="C18" s="3210">
        <v>26840</v>
      </c>
      <c r="D18" s="3210">
        <v>28930</v>
      </c>
      <c r="E18" s="3210">
        <v>28820</v>
      </c>
      <c r="F18" s="3210"/>
      <c r="G18" s="3210">
        <v>21050</v>
      </c>
      <c r="H18" s="3209"/>
      <c r="J18" s="3211" t="s">
        <v>244</v>
      </c>
      <c r="K18" s="3211" t="s">
        <v>245</v>
      </c>
      <c r="L18" s="3210" t="s">
        <v>246</v>
      </c>
      <c r="M18" s="3210" t="s">
        <v>247</v>
      </c>
      <c r="N18" s="3210" t="s">
        <v>248</v>
      </c>
      <c r="O18" s="3210" t="s">
        <v>2899</v>
      </c>
      <c r="P18" s="3210" t="s">
        <v>241</v>
      </c>
      <c r="Q18" s="3210" t="s">
        <v>2900</v>
      </c>
      <c r="R18" s="3210" t="s">
        <v>257</v>
      </c>
      <c r="S18" s="3210" t="s">
        <v>266</v>
      </c>
    </row>
    <row r="19" spans="1:19" ht="14.25" customHeight="1">
      <c r="A19" s="3210" t="s">
        <v>184</v>
      </c>
      <c r="B19" s="3211" t="s">
        <v>194</v>
      </c>
      <c r="C19" s="3210">
        <v>27750</v>
      </c>
      <c r="D19" s="3210">
        <v>26680</v>
      </c>
      <c r="E19" s="3210">
        <v>26590</v>
      </c>
      <c r="F19" s="3210"/>
      <c r="G19" s="3210">
        <v>19420</v>
      </c>
      <c r="H19" s="3209"/>
      <c r="J19" s="3211" t="s">
        <v>251</v>
      </c>
      <c r="K19" s="3211" t="s">
        <v>252</v>
      </c>
      <c r="L19" s="3210" t="s">
        <v>253</v>
      </c>
      <c r="M19" s="3210" t="s">
        <v>254</v>
      </c>
      <c r="N19" s="3210" t="s">
        <v>255</v>
      </c>
      <c r="O19" s="3210" t="s">
        <v>2901</v>
      </c>
      <c r="P19" s="3210" t="s">
        <v>249</v>
      </c>
      <c r="Q19" s="3210" t="s">
        <v>2902</v>
      </c>
      <c r="R19" s="3210" t="s">
        <v>265</v>
      </c>
      <c r="S19" s="3210" t="s">
        <v>2903</v>
      </c>
    </row>
    <row r="20" spans="1:19" ht="14.25" customHeight="1">
      <c r="A20" s="3210" t="s">
        <v>184</v>
      </c>
      <c r="B20" s="3211" t="s">
        <v>201</v>
      </c>
      <c r="C20" s="3210">
        <v>27050</v>
      </c>
      <c r="D20" s="3210">
        <v>29010</v>
      </c>
      <c r="E20" s="3210">
        <v>28910</v>
      </c>
      <c r="F20" s="3210"/>
      <c r="G20" s="3210">
        <v>21110</v>
      </c>
      <c r="J20" s="3211" t="s">
        <v>259</v>
      </c>
      <c r="K20" s="3211" t="s">
        <v>260</v>
      </c>
      <c r="L20" s="3210" t="s">
        <v>261</v>
      </c>
      <c r="M20" s="3210" t="s">
        <v>262</v>
      </c>
      <c r="N20" s="3210" t="s">
        <v>263</v>
      </c>
      <c r="O20" s="3210" t="s">
        <v>2904</v>
      </c>
      <c r="P20" s="3210" t="s">
        <v>2905</v>
      </c>
      <c r="Q20" s="3210" t="s">
        <v>290</v>
      </c>
      <c r="R20" s="3210" t="s">
        <v>2906</v>
      </c>
      <c r="S20" s="3210" t="s">
        <v>277</v>
      </c>
    </row>
    <row r="21" spans="1:19" ht="14.25" customHeight="1" thickBot="1">
      <c r="A21" s="3210" t="s">
        <v>184</v>
      </c>
      <c r="B21" s="3211" t="s">
        <v>208</v>
      </c>
      <c r="C21" s="3210">
        <v>32370</v>
      </c>
      <c r="D21" s="3210">
        <v>26730</v>
      </c>
      <c r="E21" s="3210">
        <v>26640</v>
      </c>
      <c r="F21" s="3210"/>
      <c r="G21" s="3210">
        <v>19440</v>
      </c>
      <c r="J21" s="3217" t="s">
        <v>2907</v>
      </c>
      <c r="K21" s="3211" t="s">
        <v>267</v>
      </c>
      <c r="L21" s="3210" t="s">
        <v>268</v>
      </c>
      <c r="M21" s="3210" t="s">
        <v>269</v>
      </c>
      <c r="N21" s="3210" t="s">
        <v>270</v>
      </c>
      <c r="O21" s="3210" t="s">
        <v>264</v>
      </c>
      <c r="P21" s="3210" t="s">
        <v>283</v>
      </c>
      <c r="Q21" s="3210" t="s">
        <v>293</v>
      </c>
      <c r="R21" s="3210" t="s">
        <v>2908</v>
      </c>
      <c r="S21" s="3217" t="s">
        <v>2909</v>
      </c>
    </row>
    <row r="22" spans="1:19" ht="14.25" customHeight="1">
      <c r="A22" s="3210" t="s">
        <v>184</v>
      </c>
      <c r="B22" s="3211" t="s">
        <v>2889</v>
      </c>
      <c r="C22" s="3210">
        <v>29830</v>
      </c>
      <c r="D22" s="3210">
        <v>27600</v>
      </c>
      <c r="E22" s="3210">
        <v>28150</v>
      </c>
      <c r="F22" s="3210"/>
      <c r="G22" s="3210">
        <v>20080</v>
      </c>
      <c r="K22" s="3211" t="s">
        <v>2910</v>
      </c>
      <c r="L22" s="3210" t="s">
        <v>272</v>
      </c>
      <c r="M22" s="3210" t="s">
        <v>273</v>
      </c>
      <c r="N22" s="3210" t="s">
        <v>274</v>
      </c>
      <c r="O22" s="3210" t="s">
        <v>2911</v>
      </c>
      <c r="P22" s="3210" t="s">
        <v>286</v>
      </c>
      <c r="Q22" s="3210" t="s">
        <v>295</v>
      </c>
      <c r="R22" s="3210" t="s">
        <v>243</v>
      </c>
    </row>
    <row r="23" spans="1:19" ht="14.25" customHeight="1">
      <c r="A23" s="3210" t="s">
        <v>184</v>
      </c>
      <c r="B23" s="3211" t="s">
        <v>222</v>
      </c>
      <c r="C23" s="3210">
        <v>27800</v>
      </c>
      <c r="D23" s="3210">
        <v>26900</v>
      </c>
      <c r="E23" s="3210">
        <v>27170</v>
      </c>
      <c r="F23" s="3210"/>
      <c r="G23" s="3210">
        <v>19570</v>
      </c>
      <c r="K23" s="3211" t="s">
        <v>2912</v>
      </c>
      <c r="L23" s="3210" t="s">
        <v>278</v>
      </c>
      <c r="M23" s="3210" t="s">
        <v>279</v>
      </c>
      <c r="N23" s="3210" t="s">
        <v>2913</v>
      </c>
      <c r="O23" s="3210" t="s">
        <v>2914</v>
      </c>
      <c r="P23" s="3210" t="s">
        <v>289</v>
      </c>
      <c r="Q23" s="3210" t="s">
        <v>298</v>
      </c>
      <c r="R23" s="3210" t="s">
        <v>2915</v>
      </c>
    </row>
    <row r="24" spans="1:19" ht="14.25" customHeight="1">
      <c r="A24" s="3210" t="s">
        <v>184</v>
      </c>
      <c r="B24" s="3211" t="s">
        <v>230</v>
      </c>
      <c r="C24" s="3210">
        <v>27930</v>
      </c>
      <c r="D24" s="3210">
        <v>32260</v>
      </c>
      <c r="E24" s="3210">
        <v>32120</v>
      </c>
      <c r="F24" s="3210"/>
      <c r="G24" s="3210">
        <v>23470</v>
      </c>
      <c r="K24" s="3211" t="s">
        <v>2916</v>
      </c>
      <c r="L24" s="3210" t="s">
        <v>281</v>
      </c>
      <c r="M24" s="3210" t="s">
        <v>282</v>
      </c>
      <c r="N24" s="3210" t="s">
        <v>2917</v>
      </c>
      <c r="O24" s="3210" t="s">
        <v>285</v>
      </c>
      <c r="P24" s="3210" t="s">
        <v>2918</v>
      </c>
      <c r="Q24" s="3219" t="s">
        <v>2919</v>
      </c>
      <c r="R24" s="3210" t="s">
        <v>2920</v>
      </c>
    </row>
    <row r="25" spans="1:19" ht="14.25" customHeight="1">
      <c r="A25" s="3210" t="s">
        <v>184</v>
      </c>
      <c r="B25" s="3211" t="s">
        <v>235</v>
      </c>
      <c r="C25" s="3210">
        <v>32230</v>
      </c>
      <c r="D25" s="3210">
        <v>29640</v>
      </c>
      <c r="E25" s="3210">
        <v>29510</v>
      </c>
      <c r="F25" s="3210"/>
      <c r="G25" s="3210">
        <v>21560</v>
      </c>
      <c r="K25" s="3211" t="s">
        <v>2921</v>
      </c>
      <c r="L25" s="3210" t="s">
        <v>2922</v>
      </c>
      <c r="M25" s="3210" t="s">
        <v>284</v>
      </c>
      <c r="N25" s="3210" t="s">
        <v>292</v>
      </c>
      <c r="O25" s="3210" t="s">
        <v>288</v>
      </c>
      <c r="P25" s="3210" t="s">
        <v>275</v>
      </c>
      <c r="Q25" s="3219" t="s">
        <v>271</v>
      </c>
      <c r="R25" s="3210" t="s">
        <v>2923</v>
      </c>
    </row>
    <row r="26" spans="1:19" ht="14.25" customHeight="1" thickBot="1">
      <c r="A26" s="3210" t="s">
        <v>184</v>
      </c>
      <c r="B26" s="3211" t="s">
        <v>244</v>
      </c>
      <c r="C26" s="3210">
        <v>31690</v>
      </c>
      <c r="D26" s="3210">
        <v>27650</v>
      </c>
      <c r="E26" s="3210">
        <v>28200</v>
      </c>
      <c r="F26" s="3210"/>
      <c r="G26" s="3210">
        <v>20110</v>
      </c>
      <c r="K26" s="3216" t="s">
        <v>2924</v>
      </c>
      <c r="L26" s="3210" t="s">
        <v>2925</v>
      </c>
      <c r="M26" s="3210" t="s">
        <v>287</v>
      </c>
      <c r="N26" s="3210" t="s">
        <v>294</v>
      </c>
      <c r="O26" s="3210" t="s">
        <v>2926</v>
      </c>
      <c r="P26" s="3210" t="s">
        <v>2927</v>
      </c>
      <c r="Q26" s="3219" t="s">
        <v>276</v>
      </c>
      <c r="R26" s="3210" t="s">
        <v>2928</v>
      </c>
    </row>
    <row r="27" spans="1:19" ht="14.25" customHeight="1">
      <c r="A27" s="3210" t="s">
        <v>184</v>
      </c>
      <c r="B27" s="3211" t="s">
        <v>251</v>
      </c>
      <c r="C27" s="3210">
        <v>29610</v>
      </c>
      <c r="D27" s="3210">
        <v>27770</v>
      </c>
      <c r="E27" s="3210">
        <v>28300</v>
      </c>
      <c r="F27" s="3210"/>
      <c r="G27" s="3210">
        <v>20210</v>
      </c>
      <c r="L27" s="3210" t="s">
        <v>2929</v>
      </c>
      <c r="M27" s="3210" t="s">
        <v>291</v>
      </c>
      <c r="N27" s="3210" t="s">
        <v>297</v>
      </c>
      <c r="O27" s="3210" t="s">
        <v>2930</v>
      </c>
      <c r="P27" s="3210" t="s">
        <v>2931</v>
      </c>
      <c r="Q27" s="3210" t="s">
        <v>2932</v>
      </c>
      <c r="R27" s="3210" t="s">
        <v>2933</v>
      </c>
    </row>
    <row r="28" spans="1:19" ht="14.25" customHeight="1">
      <c r="A28" s="3210" t="s">
        <v>184</v>
      </c>
      <c r="B28" s="3211" t="s">
        <v>259</v>
      </c>
      <c r="C28" s="3210"/>
      <c r="D28" s="3210">
        <v>31520</v>
      </c>
      <c r="E28" s="3210">
        <v>31410</v>
      </c>
      <c r="F28" s="3210"/>
      <c r="G28" s="3210">
        <v>22940</v>
      </c>
      <c r="L28" s="3210" t="s">
        <v>2934</v>
      </c>
      <c r="M28" s="3210" t="s">
        <v>2935</v>
      </c>
      <c r="N28" s="3210" t="s">
        <v>2936</v>
      </c>
      <c r="O28" s="3210" t="s">
        <v>2937</v>
      </c>
      <c r="P28" s="3210" t="s">
        <v>2938</v>
      </c>
      <c r="Q28" s="3210" t="s">
        <v>2939</v>
      </c>
      <c r="R28" s="3210" t="s">
        <v>2940</v>
      </c>
    </row>
    <row r="29" spans="1:19" ht="14.25" customHeight="1" thickBot="1">
      <c r="A29" s="3218" t="s">
        <v>184</v>
      </c>
      <c r="B29" s="3220" t="s">
        <v>2907</v>
      </c>
      <c r="C29" s="3221"/>
      <c r="D29" s="3221">
        <v>29460</v>
      </c>
      <c r="E29" s="3221">
        <v>28640</v>
      </c>
      <c r="F29" s="3221"/>
      <c r="G29" s="3221">
        <v>21430</v>
      </c>
      <c r="L29" s="3210" t="s">
        <v>2941</v>
      </c>
      <c r="M29" s="3210" t="s">
        <v>2942</v>
      </c>
      <c r="N29" s="3210" t="s">
        <v>2943</v>
      </c>
      <c r="O29" s="3210" t="s">
        <v>2944</v>
      </c>
      <c r="P29" s="3210" t="s">
        <v>2945</v>
      </c>
      <c r="Q29" s="3210" t="s">
        <v>2946</v>
      </c>
      <c r="R29" s="3210" t="s">
        <v>280</v>
      </c>
    </row>
    <row r="30" spans="1:19" ht="14.25" customHeight="1">
      <c r="A30" s="3215" t="s">
        <v>296</v>
      </c>
      <c r="B30" s="3206" t="s">
        <v>2840</v>
      </c>
      <c r="C30" s="3206">
        <v>26890</v>
      </c>
      <c r="D30" s="3206">
        <v>26770</v>
      </c>
      <c r="E30" s="3206">
        <v>25700</v>
      </c>
      <c r="F30" s="3206">
        <v>8180</v>
      </c>
      <c r="G30" s="3222">
        <v>18740</v>
      </c>
      <c r="L30" s="3210" t="s">
        <v>2947</v>
      </c>
      <c r="M30" s="3210" t="s">
        <v>2948</v>
      </c>
      <c r="N30" s="3210" t="s">
        <v>2949</v>
      </c>
      <c r="O30" s="3210" t="s">
        <v>2950</v>
      </c>
      <c r="P30" s="3210" t="s">
        <v>2951</v>
      </c>
      <c r="Q30" s="3210" t="s">
        <v>2952</v>
      </c>
      <c r="R30" s="3210" t="s">
        <v>2953</v>
      </c>
    </row>
    <row r="31" spans="1:19" ht="14.25" customHeight="1">
      <c r="A31" s="3210" t="s">
        <v>296</v>
      </c>
      <c r="B31" s="3211" t="s">
        <v>129</v>
      </c>
      <c r="C31" s="3210">
        <v>24550</v>
      </c>
      <c r="D31" s="3210">
        <v>23990</v>
      </c>
      <c r="E31" s="3210">
        <v>22930</v>
      </c>
      <c r="F31" s="3210">
        <v>7470</v>
      </c>
      <c r="G31" s="3223">
        <v>16790</v>
      </c>
      <c r="L31" s="3210" t="s">
        <v>2954</v>
      </c>
      <c r="M31" s="3210" t="s">
        <v>2955</v>
      </c>
      <c r="N31" s="3210" t="s">
        <v>2956</v>
      </c>
      <c r="O31" s="3210" t="s">
        <v>2957</v>
      </c>
      <c r="P31" s="3210" t="s">
        <v>2958</v>
      </c>
      <c r="Q31" s="3210" t="s">
        <v>2959</v>
      </c>
      <c r="R31" s="3210" t="s">
        <v>2960</v>
      </c>
    </row>
    <row r="32" spans="1:19" ht="14.25" customHeight="1" thickBot="1">
      <c r="A32" s="3210" t="s">
        <v>296</v>
      </c>
      <c r="B32" s="3211" t="s">
        <v>138</v>
      </c>
      <c r="C32" s="3210">
        <v>27210</v>
      </c>
      <c r="D32" s="3210">
        <v>23240</v>
      </c>
      <c r="E32" s="3210">
        <v>23260</v>
      </c>
      <c r="F32" s="3210">
        <v>7130</v>
      </c>
      <c r="G32" s="3223">
        <v>16270</v>
      </c>
      <c r="L32" s="3210" t="s">
        <v>2961</v>
      </c>
      <c r="M32" s="3210" t="s">
        <v>2962</v>
      </c>
      <c r="N32" s="3210" t="s">
        <v>300</v>
      </c>
      <c r="O32" s="3210" t="s">
        <v>2963</v>
      </c>
      <c r="P32" s="3210" t="s">
        <v>299</v>
      </c>
      <c r="Q32" s="3210" t="s">
        <v>2964</v>
      </c>
      <c r="R32" s="3217" t="s">
        <v>2965</v>
      </c>
    </row>
    <row r="33" spans="1:17" ht="14.25" customHeight="1" thickBot="1">
      <c r="A33" s="3210" t="s">
        <v>296</v>
      </c>
      <c r="B33" s="3211" t="s">
        <v>147</v>
      </c>
      <c r="C33" s="3210">
        <v>27300</v>
      </c>
      <c r="D33" s="3210">
        <v>22980</v>
      </c>
      <c r="E33" s="3210">
        <v>24260</v>
      </c>
      <c r="F33" s="3210">
        <v>5860</v>
      </c>
      <c r="G33" s="3223">
        <v>16090</v>
      </c>
      <c r="L33" s="3217" t="s">
        <v>2966</v>
      </c>
      <c r="M33" s="3210" t="s">
        <v>2967</v>
      </c>
      <c r="N33" s="3210" t="s">
        <v>301</v>
      </c>
      <c r="O33" s="3210" t="s">
        <v>2968</v>
      </c>
      <c r="P33" s="3210" t="s">
        <v>2969</v>
      </c>
      <c r="Q33" s="3210" t="s">
        <v>2970</v>
      </c>
    </row>
    <row r="34" spans="1:17" ht="14.25" customHeight="1">
      <c r="A34" s="3210" t="s">
        <v>296</v>
      </c>
      <c r="B34" s="3211" t="s">
        <v>156</v>
      </c>
      <c r="C34" s="3210">
        <v>23090</v>
      </c>
      <c r="D34" s="3210">
        <v>23390</v>
      </c>
      <c r="E34" s="3210">
        <v>23510</v>
      </c>
      <c r="F34" s="3210">
        <v>6700</v>
      </c>
      <c r="G34" s="3223">
        <v>16370</v>
      </c>
      <c r="M34" s="3210" t="s">
        <v>2971</v>
      </c>
      <c r="N34" s="3210" t="s">
        <v>302</v>
      </c>
      <c r="O34" s="3210" t="s">
        <v>2972</v>
      </c>
      <c r="P34" s="3210" t="s">
        <v>2973</v>
      </c>
      <c r="Q34" s="3210" t="s">
        <v>2974</v>
      </c>
    </row>
    <row r="35" spans="1:17" ht="14.25" customHeight="1">
      <c r="A35" s="3210" t="s">
        <v>296</v>
      </c>
      <c r="B35" s="3211" t="s">
        <v>163</v>
      </c>
      <c r="C35" s="3210">
        <v>27270</v>
      </c>
      <c r="D35" s="3210">
        <v>24270</v>
      </c>
      <c r="E35" s="3210">
        <v>24950</v>
      </c>
      <c r="F35" s="3210">
        <v>6600</v>
      </c>
      <c r="G35" s="3223">
        <v>16990</v>
      </c>
      <c r="M35" s="3210" t="s">
        <v>2975</v>
      </c>
      <c r="N35" s="3210" t="s">
        <v>2976</v>
      </c>
      <c r="O35" s="3210" t="s">
        <v>2977</v>
      </c>
      <c r="P35" s="3210" t="s">
        <v>2978</v>
      </c>
      <c r="Q35" s="3210" t="s">
        <v>2979</v>
      </c>
    </row>
    <row r="36" spans="1:17" ht="14.25" customHeight="1">
      <c r="A36" s="3210" t="s">
        <v>296</v>
      </c>
      <c r="B36" s="3211" t="s">
        <v>169</v>
      </c>
      <c r="C36" s="3210">
        <v>23490</v>
      </c>
      <c r="D36" s="3210">
        <v>23020</v>
      </c>
      <c r="E36" s="3210">
        <v>25230</v>
      </c>
      <c r="F36" s="3210">
        <v>6780</v>
      </c>
      <c r="G36" s="3223">
        <v>16120</v>
      </c>
      <c r="M36" s="3210" t="s">
        <v>2980</v>
      </c>
      <c r="N36" s="3210" t="s">
        <v>2981</v>
      </c>
      <c r="O36" s="3210" t="s">
        <v>2982</v>
      </c>
      <c r="P36" s="3210" t="s">
        <v>2983</v>
      </c>
      <c r="Q36" s="3210" t="s">
        <v>2984</v>
      </c>
    </row>
    <row r="37" spans="1:17" ht="14.25" customHeight="1">
      <c r="A37" s="3210" t="s">
        <v>296</v>
      </c>
      <c r="B37" s="3211" t="s">
        <v>176</v>
      </c>
      <c r="C37" s="3210">
        <v>24380</v>
      </c>
      <c r="D37" s="3210">
        <v>22240</v>
      </c>
      <c r="E37" s="3210">
        <v>25980</v>
      </c>
      <c r="F37" s="3210">
        <v>8160</v>
      </c>
      <c r="G37" s="3223">
        <v>15570</v>
      </c>
      <c r="M37" s="3210" t="s">
        <v>2985</v>
      </c>
      <c r="N37" s="3210" t="s">
        <v>2986</v>
      </c>
      <c r="O37" s="3210" t="s">
        <v>2987</v>
      </c>
      <c r="P37" s="3210" t="s">
        <v>2988</v>
      </c>
      <c r="Q37" s="3210" t="s">
        <v>2989</v>
      </c>
    </row>
    <row r="38" spans="1:17" ht="14.25" customHeight="1">
      <c r="A38" s="3210" t="s">
        <v>296</v>
      </c>
      <c r="B38" s="3211" t="s">
        <v>186</v>
      </c>
      <c r="C38" s="3210">
        <v>23120</v>
      </c>
      <c r="D38" s="3210">
        <v>24630</v>
      </c>
      <c r="E38" s="3210">
        <v>25030</v>
      </c>
      <c r="F38" s="3210">
        <v>7710</v>
      </c>
      <c r="G38" s="3223">
        <v>17240</v>
      </c>
      <c r="M38" s="3210" t="s">
        <v>2990</v>
      </c>
      <c r="N38" s="3210" t="s">
        <v>2991</v>
      </c>
      <c r="O38" s="3210" t="s">
        <v>2992</v>
      </c>
      <c r="P38" s="3210" t="s">
        <v>2993</v>
      </c>
      <c r="Q38" s="3210" t="s">
        <v>2994</v>
      </c>
    </row>
    <row r="39" spans="1:17" ht="14.25" customHeight="1">
      <c r="A39" s="3210" t="s">
        <v>296</v>
      </c>
      <c r="B39" s="3211" t="s">
        <v>195</v>
      </c>
      <c r="C39" s="3210">
        <v>22330</v>
      </c>
      <c r="D39" s="3210">
        <v>21140</v>
      </c>
      <c r="E39" s="3210">
        <v>23970</v>
      </c>
      <c r="F39" s="3210">
        <v>7940</v>
      </c>
      <c r="G39" s="3223">
        <v>14790</v>
      </c>
      <c r="M39" s="3210" t="s">
        <v>2995</v>
      </c>
      <c r="N39" s="3210" t="s">
        <v>2996</v>
      </c>
      <c r="O39" s="3210" t="s">
        <v>2997</v>
      </c>
      <c r="P39" s="3210" t="s">
        <v>2998</v>
      </c>
      <c r="Q39" s="3210" t="s">
        <v>2999</v>
      </c>
    </row>
    <row r="40" spans="1:17" ht="14.25" customHeight="1">
      <c r="A40" s="3210" t="s">
        <v>296</v>
      </c>
      <c r="B40" s="3211" t="s">
        <v>202</v>
      </c>
      <c r="C40" s="3210">
        <v>24740</v>
      </c>
      <c r="D40" s="3210">
        <v>24690</v>
      </c>
      <c r="E40" s="3210">
        <v>22610</v>
      </c>
      <c r="F40" s="3210"/>
      <c r="G40" s="3223">
        <v>17280</v>
      </c>
      <c r="M40" s="3210" t="s">
        <v>3000</v>
      </c>
      <c r="N40" s="3210" t="s">
        <v>3001</v>
      </c>
      <c r="O40" s="3210" t="s">
        <v>3002</v>
      </c>
      <c r="P40" s="3210" t="s">
        <v>3003</v>
      </c>
      <c r="Q40" s="3210" t="s">
        <v>3004</v>
      </c>
    </row>
    <row r="41" spans="1:17" ht="14.25" customHeight="1" thickBot="1">
      <c r="A41" s="3210" t="s">
        <v>296</v>
      </c>
      <c r="B41" s="3211" t="s">
        <v>209</v>
      </c>
      <c r="C41" s="3210">
        <v>21220</v>
      </c>
      <c r="D41" s="3210">
        <v>21120</v>
      </c>
      <c r="E41" s="3210">
        <v>22590</v>
      </c>
      <c r="F41" s="3210"/>
      <c r="G41" s="3223">
        <v>14780</v>
      </c>
      <c r="M41" s="3217" t="s">
        <v>3005</v>
      </c>
      <c r="N41" s="3210" t="s">
        <v>3006</v>
      </c>
      <c r="O41" s="3210" t="s">
        <v>3007</v>
      </c>
      <c r="P41" s="3210" t="s">
        <v>3008</v>
      </c>
      <c r="Q41" s="3210" t="s">
        <v>3009</v>
      </c>
    </row>
    <row r="42" spans="1:17" ht="14.25" customHeight="1">
      <c r="A42" s="3210" t="s">
        <v>296</v>
      </c>
      <c r="B42" s="3211" t="s">
        <v>215</v>
      </c>
      <c r="C42" s="3210">
        <v>24800</v>
      </c>
      <c r="D42" s="3210">
        <v>22280</v>
      </c>
      <c r="E42" s="3210">
        <v>24350</v>
      </c>
      <c r="F42" s="3210"/>
      <c r="G42" s="3223">
        <v>15590</v>
      </c>
      <c r="N42" s="3210" t="s">
        <v>3010</v>
      </c>
      <c r="O42" s="3210" t="s">
        <v>3011</v>
      </c>
      <c r="P42" s="3210" t="s">
        <v>3012</v>
      </c>
      <c r="Q42" s="3210" t="s">
        <v>3013</v>
      </c>
    </row>
    <row r="43" spans="1:17" ht="14.25" customHeight="1">
      <c r="A43" s="3210" t="s">
        <v>3014</v>
      </c>
      <c r="B43" s="3211" t="s">
        <v>223</v>
      </c>
      <c r="C43" s="3210">
        <v>21210</v>
      </c>
      <c r="D43" s="3210">
        <v>21160</v>
      </c>
      <c r="E43" s="3210">
        <v>22650</v>
      </c>
      <c r="F43" s="3210"/>
      <c r="G43" s="3223">
        <v>14800</v>
      </c>
      <c r="N43" s="3210" t="s">
        <v>3015</v>
      </c>
      <c r="O43" s="3210" t="s">
        <v>3016</v>
      </c>
      <c r="P43" s="3210" t="s">
        <v>3017</v>
      </c>
      <c r="Q43" s="3210" t="s">
        <v>3018</v>
      </c>
    </row>
    <row r="44" spans="1:17" ht="14.25" customHeight="1" thickBot="1">
      <c r="A44" s="3210" t="s">
        <v>296</v>
      </c>
      <c r="B44" s="3211" t="s">
        <v>231</v>
      </c>
      <c r="C44" s="3210">
        <v>22370</v>
      </c>
      <c r="D44" s="3210">
        <v>23140</v>
      </c>
      <c r="E44" s="3210">
        <v>25090</v>
      </c>
      <c r="F44" s="3210"/>
      <c r="G44" s="3223">
        <v>16190</v>
      </c>
      <c r="N44" s="3210" t="s">
        <v>3019</v>
      </c>
      <c r="O44" s="3210" t="s">
        <v>3020</v>
      </c>
      <c r="P44" s="3217" t="s">
        <v>3021</v>
      </c>
      <c r="Q44" s="3210" t="s">
        <v>3022</v>
      </c>
    </row>
    <row r="45" spans="1:17" ht="14.25" customHeight="1" thickBot="1">
      <c r="A45" s="3210" t="s">
        <v>296</v>
      </c>
      <c r="B45" s="3211" t="s">
        <v>236</v>
      </c>
      <c r="C45" s="3210">
        <v>21240</v>
      </c>
      <c r="D45" s="3210">
        <v>27050</v>
      </c>
      <c r="E45" s="3210">
        <v>28000</v>
      </c>
      <c r="F45" s="3210"/>
      <c r="G45" s="3223">
        <v>18940</v>
      </c>
      <c r="N45" s="3210" t="s">
        <v>3023</v>
      </c>
      <c r="O45" s="3217" t="s">
        <v>3024</v>
      </c>
      <c r="Q45" s="3210" t="s">
        <v>3025</v>
      </c>
    </row>
    <row r="46" spans="1:17" ht="14.25" customHeight="1">
      <c r="A46" s="3210" t="s">
        <v>296</v>
      </c>
      <c r="B46" s="3211" t="s">
        <v>245</v>
      </c>
      <c r="C46" s="3210">
        <v>23240</v>
      </c>
      <c r="D46" s="3210">
        <v>23000</v>
      </c>
      <c r="E46" s="3210">
        <v>24980</v>
      </c>
      <c r="F46" s="3210"/>
      <c r="G46" s="3223">
        <v>16100</v>
      </c>
      <c r="N46" s="3210" t="s">
        <v>3026</v>
      </c>
      <c r="Q46" s="3210" t="s">
        <v>3027</v>
      </c>
    </row>
    <row r="47" spans="1:17" ht="14.25" customHeight="1">
      <c r="A47" s="3210" t="s">
        <v>296</v>
      </c>
      <c r="B47" s="3211" t="s">
        <v>252</v>
      </c>
      <c r="C47" s="3210">
        <v>27150</v>
      </c>
      <c r="D47" s="3210">
        <v>23310</v>
      </c>
      <c r="E47" s="3210">
        <v>25150</v>
      </c>
      <c r="F47" s="3210"/>
      <c r="G47" s="3223">
        <v>16310</v>
      </c>
      <c r="N47" s="3210" t="s">
        <v>3028</v>
      </c>
      <c r="Q47" s="3210" t="s">
        <v>3029</v>
      </c>
    </row>
    <row r="48" spans="1:17" ht="14.25" customHeight="1">
      <c r="A48" s="3210" t="s">
        <v>296</v>
      </c>
      <c r="B48" s="3211" t="s">
        <v>260</v>
      </c>
      <c r="C48" s="3210">
        <v>23100</v>
      </c>
      <c r="D48" s="3210">
        <v>21110</v>
      </c>
      <c r="E48" s="3210">
        <v>23080</v>
      </c>
      <c r="F48" s="3210"/>
      <c r="G48" s="3223">
        <v>14780</v>
      </c>
      <c r="N48" s="3210" t="s">
        <v>3030</v>
      </c>
      <c r="Q48" s="3210" t="s">
        <v>3031</v>
      </c>
    </row>
    <row r="49" spans="1:17" ht="14.25" customHeight="1">
      <c r="A49" s="3210" t="s">
        <v>296</v>
      </c>
      <c r="B49" s="3211" t="s">
        <v>267</v>
      </c>
      <c r="C49" s="3210">
        <v>23400</v>
      </c>
      <c r="D49" s="3210">
        <v>22920</v>
      </c>
      <c r="E49" s="3210">
        <v>24900</v>
      </c>
      <c r="F49" s="3210"/>
      <c r="G49" s="3223">
        <v>16040</v>
      </c>
      <c r="N49" s="3210" t="s">
        <v>3032</v>
      </c>
      <c r="Q49" s="3210" t="s">
        <v>3033</v>
      </c>
    </row>
    <row r="50" spans="1:17" ht="14.25" customHeight="1">
      <c r="A50" s="3210" t="s">
        <v>296</v>
      </c>
      <c r="B50" s="3211" t="s">
        <v>2910</v>
      </c>
      <c r="C50" s="3210">
        <v>21200</v>
      </c>
      <c r="D50" s="3210">
        <v>26540</v>
      </c>
      <c r="E50" s="3210">
        <v>23200</v>
      </c>
      <c r="F50" s="3210"/>
      <c r="G50" s="3223">
        <v>18580</v>
      </c>
      <c r="N50" s="3210" t="s">
        <v>3034</v>
      </c>
      <c r="Q50" s="3211" t="s">
        <v>3035</v>
      </c>
    </row>
    <row r="51" spans="1:17" ht="14.25" customHeight="1" thickBot="1">
      <c r="A51" s="3210" t="s">
        <v>296</v>
      </c>
      <c r="B51" s="3211" t="s">
        <v>2912</v>
      </c>
      <c r="C51" s="3210">
        <v>23000</v>
      </c>
      <c r="D51" s="3210">
        <v>23460</v>
      </c>
      <c r="E51" s="3210">
        <v>25290</v>
      </c>
      <c r="F51" s="3210"/>
      <c r="G51" s="3223">
        <v>16420</v>
      </c>
      <c r="N51" s="3210" t="s">
        <v>3036</v>
      </c>
      <c r="Q51" s="3217" t="s">
        <v>3037</v>
      </c>
    </row>
    <row r="52" spans="1:17" ht="14.25" customHeight="1">
      <c r="A52" s="3210" t="s">
        <v>296</v>
      </c>
      <c r="B52" s="3211" t="s">
        <v>2916</v>
      </c>
      <c r="C52" s="3210">
        <v>26660</v>
      </c>
      <c r="D52" s="3210">
        <v>22350</v>
      </c>
      <c r="E52" s="3210">
        <v>22920</v>
      </c>
      <c r="F52" s="3210"/>
      <c r="G52" s="3223">
        <v>15640</v>
      </c>
      <c r="N52" s="3210" t="s">
        <v>3038</v>
      </c>
    </row>
    <row r="53" spans="1:17" ht="14.25" customHeight="1">
      <c r="A53" s="3210" t="s">
        <v>296</v>
      </c>
      <c r="B53" s="3211" t="s">
        <v>2921</v>
      </c>
      <c r="C53" s="3210">
        <v>23580</v>
      </c>
      <c r="D53" s="3210"/>
      <c r="E53" s="3210">
        <v>24280</v>
      </c>
      <c r="F53" s="3210"/>
      <c r="G53" s="3223"/>
      <c r="N53" s="3210" t="s">
        <v>3039</v>
      </c>
    </row>
    <row r="54" spans="1:17" ht="14.25" customHeight="1" thickBot="1">
      <c r="A54" s="3224" t="s">
        <v>296</v>
      </c>
      <c r="B54" s="3216" t="s">
        <v>2924</v>
      </c>
      <c r="C54" s="3217">
        <v>22460</v>
      </c>
      <c r="D54" s="3217"/>
      <c r="E54" s="3217"/>
      <c r="F54" s="3217"/>
      <c r="G54" s="3225"/>
      <c r="N54" s="3210" t="s">
        <v>3040</v>
      </c>
    </row>
    <row r="55" spans="1:17" ht="14.25" customHeight="1">
      <c r="A55" s="3215" t="s">
        <v>110</v>
      </c>
      <c r="B55" s="3206" t="s">
        <v>3041</v>
      </c>
      <c r="C55" s="3210">
        <v>21970</v>
      </c>
      <c r="D55" s="3210">
        <v>20370</v>
      </c>
      <c r="E55" s="3210">
        <v>20180</v>
      </c>
      <c r="F55" s="3210">
        <v>5730</v>
      </c>
      <c r="G55" s="3210">
        <v>13820</v>
      </c>
      <c r="N55" s="3210" t="s">
        <v>3042</v>
      </c>
    </row>
    <row r="56" spans="1:17" ht="14.25" customHeight="1">
      <c r="A56" s="3210" t="s">
        <v>110</v>
      </c>
      <c r="B56" s="3210" t="s">
        <v>130</v>
      </c>
      <c r="C56" s="3210">
        <v>20470</v>
      </c>
      <c r="D56" s="3210">
        <v>20700</v>
      </c>
      <c r="E56" s="3210">
        <v>20380</v>
      </c>
      <c r="F56" s="3210">
        <v>4760</v>
      </c>
      <c r="G56" s="3210">
        <v>14050</v>
      </c>
      <c r="N56" s="3210" t="s">
        <v>3043</v>
      </c>
    </row>
    <row r="57" spans="1:17" ht="14.25" customHeight="1">
      <c r="A57" s="3210" t="s">
        <v>110</v>
      </c>
      <c r="B57" s="3210" t="s">
        <v>139</v>
      </c>
      <c r="C57" s="3210">
        <v>20790</v>
      </c>
      <c r="D57" s="3210">
        <v>21370</v>
      </c>
      <c r="E57" s="3210">
        <v>20890</v>
      </c>
      <c r="F57" s="3210">
        <v>4910</v>
      </c>
      <c r="G57" s="3210">
        <v>14510</v>
      </c>
      <c r="N57" s="3210" t="s">
        <v>3044</v>
      </c>
    </row>
    <row r="58" spans="1:17" ht="14.25" customHeight="1">
      <c r="A58" s="3210" t="s">
        <v>110</v>
      </c>
      <c r="B58" s="3210" t="s">
        <v>148</v>
      </c>
      <c r="C58" s="3210">
        <v>21460</v>
      </c>
      <c r="D58" s="3210">
        <v>20920</v>
      </c>
      <c r="E58" s="3210">
        <v>23410</v>
      </c>
      <c r="F58" s="3210">
        <v>5100</v>
      </c>
      <c r="G58" s="3210">
        <v>14200</v>
      </c>
      <c r="N58" s="3210" t="s">
        <v>3045</v>
      </c>
    </row>
    <row r="59" spans="1:17" ht="14.25" customHeight="1">
      <c r="A59" s="3210" t="s">
        <v>110</v>
      </c>
      <c r="B59" s="3210" t="s">
        <v>157</v>
      </c>
      <c r="C59" s="3210">
        <v>21000</v>
      </c>
      <c r="D59" s="3210">
        <v>21550</v>
      </c>
      <c r="E59" s="3210">
        <v>21150</v>
      </c>
      <c r="F59" s="3210">
        <v>5250</v>
      </c>
      <c r="G59" s="3210">
        <v>14630</v>
      </c>
      <c r="N59" s="3210" t="s">
        <v>3046</v>
      </c>
    </row>
    <row r="60" spans="1:17" ht="14.25" customHeight="1">
      <c r="A60" s="3210" t="s">
        <v>110</v>
      </c>
      <c r="B60" s="3210" t="s">
        <v>164</v>
      </c>
      <c r="C60" s="3210">
        <v>21640</v>
      </c>
      <c r="D60" s="3210">
        <v>21260</v>
      </c>
      <c r="E60" s="3210">
        <v>24040</v>
      </c>
      <c r="F60" s="3210">
        <v>4470</v>
      </c>
      <c r="G60" s="3210">
        <v>14430</v>
      </c>
      <c r="N60" s="3210" t="s">
        <v>3047</v>
      </c>
    </row>
    <row r="61" spans="1:17" ht="14.25" customHeight="1">
      <c r="A61" s="3210" t="s">
        <v>110</v>
      </c>
      <c r="B61" s="3210" t="s">
        <v>170</v>
      </c>
      <c r="C61" s="3210">
        <v>21330</v>
      </c>
      <c r="D61" s="3210">
        <v>18640</v>
      </c>
      <c r="E61" s="3210">
        <v>21190</v>
      </c>
      <c r="F61" s="3210">
        <v>4180</v>
      </c>
      <c r="G61" s="3210">
        <v>12650</v>
      </c>
      <c r="N61" s="3210" t="s">
        <v>3048</v>
      </c>
    </row>
    <row r="62" spans="1:17" ht="14.25" customHeight="1">
      <c r="A62" s="3210" t="s">
        <v>110</v>
      </c>
      <c r="B62" s="3210" t="s">
        <v>177</v>
      </c>
      <c r="C62" s="3210">
        <v>18710</v>
      </c>
      <c r="D62" s="3210">
        <v>19400</v>
      </c>
      <c r="E62" s="3210">
        <v>23750</v>
      </c>
      <c r="F62" s="3210">
        <v>4860</v>
      </c>
      <c r="G62" s="3210">
        <v>13170</v>
      </c>
      <c r="N62" s="3210" t="s">
        <v>3049</v>
      </c>
    </row>
    <row r="63" spans="1:17" ht="14.25" customHeight="1">
      <c r="A63" s="3210" t="s">
        <v>110</v>
      </c>
      <c r="B63" s="3210" t="s">
        <v>187</v>
      </c>
      <c r="C63" s="3210">
        <v>19480</v>
      </c>
      <c r="D63" s="3210">
        <v>16830</v>
      </c>
      <c r="E63" s="3210">
        <v>21590</v>
      </c>
      <c r="F63" s="3210">
        <v>4560</v>
      </c>
      <c r="G63" s="3210">
        <v>11420</v>
      </c>
      <c r="N63" s="3210" t="s">
        <v>3050</v>
      </c>
    </row>
    <row r="64" spans="1:17" ht="14.25" customHeight="1" thickBot="1">
      <c r="A64" s="3210" t="s">
        <v>110</v>
      </c>
      <c r="B64" s="3210" t="s">
        <v>196</v>
      </c>
      <c r="C64" s="3210">
        <v>16920</v>
      </c>
      <c r="D64" s="3210">
        <v>19190</v>
      </c>
      <c r="E64" s="3210">
        <v>22200</v>
      </c>
      <c r="F64" s="3210">
        <v>4390</v>
      </c>
      <c r="G64" s="3210">
        <v>13030</v>
      </c>
      <c r="N64" s="3217" t="s">
        <v>3051</v>
      </c>
    </row>
    <row r="65" spans="1:7" s="3199" customFormat="1" ht="14.25" customHeight="1">
      <c r="A65" s="3210" t="s">
        <v>110</v>
      </c>
      <c r="B65" s="3210" t="s">
        <v>203</v>
      </c>
      <c r="C65" s="3210">
        <v>19290</v>
      </c>
      <c r="D65" s="3210">
        <v>17020</v>
      </c>
      <c r="E65" s="3210">
        <v>19880</v>
      </c>
      <c r="F65" s="3210">
        <v>4070</v>
      </c>
      <c r="G65" s="3210">
        <v>11550</v>
      </c>
    </row>
    <row r="66" spans="1:7" s="3199" customFormat="1" ht="14.25" customHeight="1">
      <c r="A66" s="3210" t="s">
        <v>110</v>
      </c>
      <c r="B66" s="3210" t="s">
        <v>210</v>
      </c>
      <c r="C66" s="3210">
        <v>17090</v>
      </c>
      <c r="D66" s="3210">
        <v>18340</v>
      </c>
      <c r="E66" s="3210">
        <v>21830</v>
      </c>
      <c r="F66" s="3210">
        <v>4690</v>
      </c>
      <c r="G66" s="3210">
        <v>12450</v>
      </c>
    </row>
    <row r="67" spans="1:7" s="3199" customFormat="1" ht="14.25" customHeight="1">
      <c r="A67" s="3210" t="s">
        <v>110</v>
      </c>
      <c r="B67" s="3210" t="s">
        <v>216</v>
      </c>
      <c r="C67" s="3210">
        <v>18420</v>
      </c>
      <c r="D67" s="3210">
        <v>16360</v>
      </c>
      <c r="E67" s="3210">
        <v>20020</v>
      </c>
      <c r="F67" s="3210">
        <v>5150</v>
      </c>
      <c r="G67" s="3210">
        <v>11110</v>
      </c>
    </row>
    <row r="68" spans="1:7" s="3199" customFormat="1" ht="14.25" customHeight="1">
      <c r="A68" s="3210" t="s">
        <v>110</v>
      </c>
      <c r="B68" s="3210" t="s">
        <v>224</v>
      </c>
      <c r="C68" s="3210">
        <v>16450</v>
      </c>
      <c r="D68" s="3210">
        <v>18430</v>
      </c>
      <c r="E68" s="3210">
        <v>21010</v>
      </c>
      <c r="F68" s="3210">
        <v>4720</v>
      </c>
      <c r="G68" s="3210">
        <v>12510</v>
      </c>
    </row>
    <row r="69" spans="1:7" s="3199" customFormat="1" ht="14.25" customHeight="1">
      <c r="A69" s="3210" t="s">
        <v>110</v>
      </c>
      <c r="B69" s="3210" t="s">
        <v>232</v>
      </c>
      <c r="C69" s="3210">
        <v>18510</v>
      </c>
      <c r="D69" s="3210">
        <v>16300</v>
      </c>
      <c r="E69" s="3210">
        <v>18830</v>
      </c>
      <c r="F69" s="3210">
        <v>5400</v>
      </c>
      <c r="G69" s="3210">
        <v>11070</v>
      </c>
    </row>
    <row r="70" spans="1:7" s="3199" customFormat="1" ht="14.25" customHeight="1">
      <c r="A70" s="3210" t="s">
        <v>110</v>
      </c>
      <c r="B70" s="3210" t="s">
        <v>237</v>
      </c>
      <c r="C70" s="3210">
        <v>16370</v>
      </c>
      <c r="D70" s="3210">
        <v>18620</v>
      </c>
      <c r="E70" s="3210">
        <v>21100</v>
      </c>
      <c r="F70" s="3210">
        <v>5700</v>
      </c>
      <c r="G70" s="3210">
        <v>12640</v>
      </c>
    </row>
    <row r="71" spans="1:7" s="3199" customFormat="1" ht="14.25" customHeight="1">
      <c r="A71" s="3210" t="s">
        <v>110</v>
      </c>
      <c r="B71" s="3210" t="s">
        <v>246</v>
      </c>
      <c r="C71" s="3210">
        <v>18700</v>
      </c>
      <c r="D71" s="3210">
        <v>16290</v>
      </c>
      <c r="E71" s="3210">
        <v>18760</v>
      </c>
      <c r="F71" s="3210">
        <v>4780</v>
      </c>
      <c r="G71" s="3210">
        <v>11050</v>
      </c>
    </row>
    <row r="72" spans="1:7" s="3199" customFormat="1" ht="14.25" customHeight="1">
      <c r="A72" s="3210" t="s">
        <v>110</v>
      </c>
      <c r="B72" s="3210" t="s">
        <v>253</v>
      </c>
      <c r="C72" s="3210">
        <v>16340</v>
      </c>
      <c r="D72" s="3210">
        <v>17520</v>
      </c>
      <c r="E72" s="3210">
        <v>21170</v>
      </c>
      <c r="F72" s="3210"/>
      <c r="G72" s="3210">
        <v>11900</v>
      </c>
    </row>
    <row r="73" spans="1:7" s="3199" customFormat="1" ht="14.25" customHeight="1">
      <c r="A73" s="3210" t="s">
        <v>110</v>
      </c>
      <c r="B73" s="3210" t="s">
        <v>261</v>
      </c>
      <c r="C73" s="3210">
        <v>17610</v>
      </c>
      <c r="D73" s="3210">
        <v>18520</v>
      </c>
      <c r="E73" s="3210">
        <v>18720</v>
      </c>
      <c r="F73" s="3210"/>
      <c r="G73" s="3210">
        <v>12570</v>
      </c>
    </row>
    <row r="74" spans="1:7" s="3199" customFormat="1" ht="14.25" customHeight="1">
      <c r="A74" s="3210" t="s">
        <v>110</v>
      </c>
      <c r="B74" s="3210" t="s">
        <v>268</v>
      </c>
      <c r="C74" s="3210">
        <v>18600</v>
      </c>
      <c r="D74" s="3210">
        <v>16480</v>
      </c>
      <c r="E74" s="3210">
        <v>20100</v>
      </c>
      <c r="F74" s="3210"/>
      <c r="G74" s="3210">
        <v>11190</v>
      </c>
    </row>
    <row r="75" spans="1:7" s="3199" customFormat="1" ht="14.25" customHeight="1">
      <c r="A75" s="3210" t="s">
        <v>110</v>
      </c>
      <c r="B75" s="3210" t="s">
        <v>272</v>
      </c>
      <c r="C75" s="3210">
        <v>16570</v>
      </c>
      <c r="D75" s="3210">
        <v>17530</v>
      </c>
      <c r="E75" s="3210">
        <v>21030</v>
      </c>
      <c r="F75" s="3210"/>
      <c r="G75" s="3210">
        <v>11900</v>
      </c>
    </row>
    <row r="76" spans="1:7" s="3199" customFormat="1" ht="14.25" customHeight="1">
      <c r="A76" s="3210" t="s">
        <v>110</v>
      </c>
      <c r="B76" s="3210" t="s">
        <v>278</v>
      </c>
      <c r="C76" s="3210">
        <v>17610</v>
      </c>
      <c r="D76" s="3210">
        <v>20800</v>
      </c>
      <c r="E76" s="3210">
        <v>18920</v>
      </c>
      <c r="F76" s="3210"/>
      <c r="G76" s="3210">
        <v>14120</v>
      </c>
    </row>
    <row r="77" spans="1:7" s="3199" customFormat="1" ht="14.25" customHeight="1">
      <c r="A77" s="3210" t="s">
        <v>110</v>
      </c>
      <c r="B77" s="3210" t="s">
        <v>281</v>
      </c>
      <c r="C77" s="3210">
        <v>20890</v>
      </c>
      <c r="D77" s="3210">
        <v>19740</v>
      </c>
      <c r="E77" s="3210">
        <v>20110</v>
      </c>
      <c r="F77" s="3210"/>
      <c r="G77" s="3210">
        <v>13400</v>
      </c>
    </row>
    <row r="78" spans="1:7" s="3199" customFormat="1" ht="14.25" customHeight="1">
      <c r="A78" s="3210" t="s">
        <v>110</v>
      </c>
      <c r="B78" s="3210" t="s">
        <v>2922</v>
      </c>
      <c r="C78" s="3210">
        <v>19820</v>
      </c>
      <c r="D78" s="3210">
        <v>19780</v>
      </c>
      <c r="E78" s="3210">
        <v>18560</v>
      </c>
      <c r="F78" s="3210"/>
      <c r="G78" s="3210">
        <v>13430</v>
      </c>
    </row>
    <row r="79" spans="1:7" s="3199" customFormat="1" ht="14.25" customHeight="1">
      <c r="A79" s="3210" t="s">
        <v>110</v>
      </c>
      <c r="B79" s="3210" t="s">
        <v>2925</v>
      </c>
      <c r="C79" s="3210">
        <v>21660</v>
      </c>
      <c r="D79" s="3210">
        <v>18000</v>
      </c>
      <c r="E79" s="3210">
        <v>22570</v>
      </c>
      <c r="F79" s="3210"/>
      <c r="G79" s="3210">
        <v>12220</v>
      </c>
    </row>
    <row r="80" spans="1:7" s="3199" customFormat="1" ht="14.25" customHeight="1">
      <c r="A80" s="3210" t="s">
        <v>110</v>
      </c>
      <c r="B80" s="3210" t="s">
        <v>2929</v>
      </c>
      <c r="C80" s="3210">
        <v>19850</v>
      </c>
      <c r="D80" s="3210"/>
      <c r="E80" s="3210">
        <v>21700</v>
      </c>
      <c r="F80" s="3210"/>
      <c r="G80" s="3210"/>
    </row>
    <row r="81" spans="1:7" s="3199" customFormat="1" ht="14.25" customHeight="1">
      <c r="A81" s="3210" t="s">
        <v>110</v>
      </c>
      <c r="B81" s="3210" t="s">
        <v>2934</v>
      </c>
      <c r="C81" s="3210">
        <v>18080</v>
      </c>
      <c r="D81" s="3210"/>
      <c r="E81" s="3210">
        <v>20900</v>
      </c>
      <c r="F81" s="3210"/>
      <c r="G81" s="3210"/>
    </row>
    <row r="82" spans="1:7" s="3199" customFormat="1" ht="14.25" customHeight="1">
      <c r="A82" s="3210" t="s">
        <v>110</v>
      </c>
      <c r="B82" s="3210" t="s">
        <v>2941</v>
      </c>
      <c r="C82" s="3210"/>
      <c r="D82" s="3210"/>
      <c r="E82" s="3210">
        <v>20840</v>
      </c>
      <c r="F82" s="3210"/>
      <c r="G82" s="3210"/>
    </row>
    <row r="83" spans="1:7" s="3199" customFormat="1" ht="14.25" customHeight="1">
      <c r="A83" s="3210" t="s">
        <v>110</v>
      </c>
      <c r="B83" s="3210" t="s">
        <v>3052</v>
      </c>
      <c r="C83" s="3210"/>
      <c r="D83" s="3210"/>
      <c r="E83" s="3210"/>
      <c r="F83" s="3210">
        <v>4770</v>
      </c>
      <c r="G83" s="3210"/>
    </row>
    <row r="84" spans="1:7" s="3199" customFormat="1" ht="14.25" customHeight="1">
      <c r="A84" s="3210" t="s">
        <v>110</v>
      </c>
      <c r="B84" s="3210" t="s">
        <v>3053</v>
      </c>
      <c r="C84" s="3210"/>
      <c r="D84" s="3210"/>
      <c r="E84" s="3210"/>
      <c r="F84" s="3210">
        <v>4600</v>
      </c>
      <c r="G84" s="3210"/>
    </row>
    <row r="85" spans="1:7" s="3199" customFormat="1" ht="14.25" customHeight="1">
      <c r="A85" s="3210" t="s">
        <v>110</v>
      </c>
      <c r="B85" s="3210" t="s">
        <v>3054</v>
      </c>
      <c r="C85" s="3210"/>
      <c r="D85" s="3210"/>
      <c r="E85" s="3210"/>
      <c r="F85" s="3210">
        <v>4680</v>
      </c>
      <c r="G85" s="3210"/>
    </row>
    <row r="86" spans="1:7" s="3199" customFormat="1" ht="14.25" customHeight="1" thickBot="1">
      <c r="A86" s="3218" t="s">
        <v>110</v>
      </c>
      <c r="B86" s="3220" t="s">
        <v>3055</v>
      </c>
      <c r="C86" s="3221">
        <v>16610</v>
      </c>
      <c r="D86" s="3221">
        <v>16540</v>
      </c>
      <c r="E86" s="3221">
        <v>18850</v>
      </c>
      <c r="F86" s="3221"/>
      <c r="G86" s="3221">
        <v>11220</v>
      </c>
    </row>
    <row r="87" spans="1:7" s="3199" customFormat="1" ht="14.25" customHeight="1">
      <c r="A87" s="3215" t="s">
        <v>303</v>
      </c>
      <c r="B87" s="3206" t="s">
        <v>3056</v>
      </c>
      <c r="C87" s="3206">
        <v>15240</v>
      </c>
      <c r="D87" s="3206">
        <v>15170</v>
      </c>
      <c r="E87" s="3206">
        <v>18260</v>
      </c>
      <c r="F87" s="3206">
        <v>3830</v>
      </c>
      <c r="G87" s="3222">
        <v>10020</v>
      </c>
    </row>
    <row r="88" spans="1:7" s="3199" customFormat="1" ht="14.25" customHeight="1">
      <c r="A88" s="3210" t="s">
        <v>303</v>
      </c>
      <c r="B88" s="3210" t="s">
        <v>131</v>
      </c>
      <c r="C88" s="3210">
        <v>17310</v>
      </c>
      <c r="D88" s="3210">
        <v>17220</v>
      </c>
      <c r="E88" s="3210">
        <v>18610</v>
      </c>
      <c r="F88" s="3210">
        <v>3990</v>
      </c>
      <c r="G88" s="3223">
        <v>11380</v>
      </c>
    </row>
    <row r="89" spans="1:7" s="3199" customFormat="1" ht="14.25" customHeight="1">
      <c r="A89" s="3210" t="s">
        <v>303</v>
      </c>
      <c r="B89" s="3210" t="s">
        <v>140</v>
      </c>
      <c r="C89" s="3210">
        <v>15600</v>
      </c>
      <c r="D89" s="3210">
        <v>15550</v>
      </c>
      <c r="E89" s="3210">
        <v>19200</v>
      </c>
      <c r="F89" s="3210">
        <v>4110</v>
      </c>
      <c r="G89" s="3223">
        <v>10270</v>
      </c>
    </row>
    <row r="90" spans="1:7" s="3199" customFormat="1" ht="14.25" customHeight="1">
      <c r="A90" s="3210" t="s">
        <v>303</v>
      </c>
      <c r="B90" s="3210" t="s">
        <v>149</v>
      </c>
      <c r="C90" s="3210">
        <v>17330</v>
      </c>
      <c r="D90" s="3210">
        <v>17240</v>
      </c>
      <c r="E90" s="3210">
        <v>18570</v>
      </c>
      <c r="F90" s="3210">
        <v>4070</v>
      </c>
      <c r="G90" s="3223">
        <v>11390</v>
      </c>
    </row>
    <row r="91" spans="1:7" s="3199" customFormat="1" ht="14.25" customHeight="1">
      <c r="A91" s="3210" t="s">
        <v>303</v>
      </c>
      <c r="B91" s="3210" t="s">
        <v>158</v>
      </c>
      <c r="C91" s="3210">
        <v>16330</v>
      </c>
      <c r="D91" s="3210">
        <v>16260</v>
      </c>
      <c r="E91" s="3210">
        <v>16800</v>
      </c>
      <c r="F91" s="3210">
        <v>3410</v>
      </c>
      <c r="G91" s="3223">
        <v>10740</v>
      </c>
    </row>
    <row r="92" spans="1:7" s="3199" customFormat="1" ht="14.25" customHeight="1">
      <c r="A92" s="3210" t="s">
        <v>303</v>
      </c>
      <c r="B92" s="3210" t="s">
        <v>165</v>
      </c>
      <c r="C92" s="3210">
        <v>15570</v>
      </c>
      <c r="D92" s="3210">
        <v>15500</v>
      </c>
      <c r="E92" s="3210">
        <v>17360</v>
      </c>
      <c r="F92" s="3210">
        <v>3510</v>
      </c>
      <c r="G92" s="3223">
        <v>10240</v>
      </c>
    </row>
    <row r="93" spans="1:7" s="3199" customFormat="1" ht="14.25" customHeight="1">
      <c r="A93" s="3210" t="s">
        <v>303</v>
      </c>
      <c r="B93" s="3210" t="s">
        <v>171</v>
      </c>
      <c r="C93" s="3210">
        <v>14000</v>
      </c>
      <c r="D93" s="3210">
        <v>13930</v>
      </c>
      <c r="E93" s="3210">
        <v>18200</v>
      </c>
      <c r="F93" s="3210">
        <v>3640</v>
      </c>
      <c r="G93" s="3223">
        <v>9210</v>
      </c>
    </row>
    <row r="94" spans="1:7" s="3199" customFormat="1" ht="14.25" customHeight="1">
      <c r="A94" s="3210" t="s">
        <v>303</v>
      </c>
      <c r="B94" s="3210" t="s">
        <v>178</v>
      </c>
      <c r="C94" s="3210">
        <v>14530</v>
      </c>
      <c r="D94" s="3210">
        <v>14470</v>
      </c>
      <c r="E94" s="3210">
        <v>18240</v>
      </c>
      <c r="F94" s="3210">
        <v>3180</v>
      </c>
      <c r="G94" s="3223">
        <v>9560</v>
      </c>
    </row>
    <row r="95" spans="1:7" s="3199" customFormat="1" ht="14.25" customHeight="1">
      <c r="A95" s="3210" t="s">
        <v>303</v>
      </c>
      <c r="B95" s="3210" t="s">
        <v>188</v>
      </c>
      <c r="C95" s="3210">
        <v>17330</v>
      </c>
      <c r="D95" s="3210">
        <v>17260</v>
      </c>
      <c r="E95" s="3210">
        <v>18420</v>
      </c>
      <c r="F95" s="3210">
        <v>3060</v>
      </c>
      <c r="G95" s="3223">
        <v>11410</v>
      </c>
    </row>
    <row r="96" spans="1:7" s="3199" customFormat="1" ht="14.25" customHeight="1">
      <c r="A96" s="3210" t="s">
        <v>303</v>
      </c>
      <c r="B96" s="3210" t="s">
        <v>197</v>
      </c>
      <c r="C96" s="3210">
        <v>15030</v>
      </c>
      <c r="D96" s="3210">
        <v>14970</v>
      </c>
      <c r="E96" s="3210">
        <v>17580</v>
      </c>
      <c r="F96" s="3210">
        <v>2970</v>
      </c>
      <c r="G96" s="3223">
        <v>9890</v>
      </c>
    </row>
    <row r="97" spans="1:7" s="3199" customFormat="1" ht="14.25" customHeight="1">
      <c r="A97" s="3210" t="s">
        <v>303</v>
      </c>
      <c r="B97" s="3210" t="s">
        <v>204</v>
      </c>
      <c r="C97" s="3210">
        <v>17400</v>
      </c>
      <c r="D97" s="3210">
        <v>17330</v>
      </c>
      <c r="E97" s="3210">
        <v>16430</v>
      </c>
      <c r="F97" s="3210">
        <v>2950</v>
      </c>
      <c r="G97" s="3223">
        <v>11450</v>
      </c>
    </row>
    <row r="98" spans="1:7" s="3199" customFormat="1" ht="14.25" customHeight="1">
      <c r="A98" s="3210" t="s">
        <v>303</v>
      </c>
      <c r="B98" s="3210" t="s">
        <v>211</v>
      </c>
      <c r="C98" s="3210">
        <v>15200</v>
      </c>
      <c r="D98" s="3210">
        <v>15120</v>
      </c>
      <c r="E98" s="3210">
        <v>17550</v>
      </c>
      <c r="F98" s="3210">
        <v>3080</v>
      </c>
      <c r="G98" s="3223">
        <v>9990</v>
      </c>
    </row>
    <row r="99" spans="1:7" s="3199" customFormat="1" ht="14.25" customHeight="1">
      <c r="A99" s="3210" t="s">
        <v>303</v>
      </c>
      <c r="B99" s="3210" t="s">
        <v>217</v>
      </c>
      <c r="C99" s="3210">
        <v>17520</v>
      </c>
      <c r="D99" s="3210">
        <v>17430</v>
      </c>
      <c r="E99" s="3210">
        <v>16350</v>
      </c>
      <c r="F99" s="3210">
        <v>3260</v>
      </c>
      <c r="G99" s="3223">
        <v>11510</v>
      </c>
    </row>
    <row r="100" spans="1:7" s="3199" customFormat="1" ht="14.25" customHeight="1">
      <c r="A100" s="3210" t="s">
        <v>303</v>
      </c>
      <c r="B100" s="3210" t="s">
        <v>225</v>
      </c>
      <c r="C100" s="3210">
        <v>15340</v>
      </c>
      <c r="D100" s="3210">
        <v>15260</v>
      </c>
      <c r="E100" s="3210">
        <v>15930</v>
      </c>
      <c r="F100" s="3210">
        <v>2740</v>
      </c>
      <c r="G100" s="3223">
        <v>10080</v>
      </c>
    </row>
    <row r="101" spans="1:7" s="3199" customFormat="1" ht="14.25" customHeight="1">
      <c r="A101" s="3210" t="s">
        <v>303</v>
      </c>
      <c r="B101" s="3210" t="s">
        <v>233</v>
      </c>
      <c r="C101" s="3210">
        <v>14620</v>
      </c>
      <c r="D101" s="3210">
        <v>14560</v>
      </c>
      <c r="E101" s="3210">
        <v>15570</v>
      </c>
      <c r="F101" s="3210">
        <v>3500</v>
      </c>
      <c r="G101" s="3223">
        <v>9630</v>
      </c>
    </row>
    <row r="102" spans="1:7" s="3199" customFormat="1" ht="14.25" customHeight="1">
      <c r="A102" s="3210" t="s">
        <v>303</v>
      </c>
      <c r="B102" s="3210" t="s">
        <v>238</v>
      </c>
      <c r="C102" s="3210">
        <v>13680</v>
      </c>
      <c r="D102" s="3210">
        <v>13610</v>
      </c>
      <c r="E102" s="3210">
        <v>15690</v>
      </c>
      <c r="F102" s="3210">
        <v>2870</v>
      </c>
      <c r="G102" s="3223">
        <v>8990</v>
      </c>
    </row>
    <row r="103" spans="1:7" s="3199" customFormat="1" ht="14.25" customHeight="1">
      <c r="A103" s="3210" t="s">
        <v>303</v>
      </c>
      <c r="B103" s="3210" t="s">
        <v>247</v>
      </c>
      <c r="C103" s="3210">
        <v>14620</v>
      </c>
      <c r="D103" s="3210">
        <v>14540</v>
      </c>
      <c r="E103" s="3210">
        <v>15240</v>
      </c>
      <c r="F103" s="3210">
        <v>2840</v>
      </c>
      <c r="G103" s="3223">
        <v>9610</v>
      </c>
    </row>
    <row r="104" spans="1:7" s="3199" customFormat="1" ht="14.25" customHeight="1">
      <c r="A104" s="3210" t="s">
        <v>303</v>
      </c>
      <c r="B104" s="3210" t="s">
        <v>254</v>
      </c>
      <c r="C104" s="3210">
        <v>13610</v>
      </c>
      <c r="D104" s="3210">
        <v>13540</v>
      </c>
      <c r="E104" s="3210">
        <v>15750</v>
      </c>
      <c r="F104" s="3210">
        <v>2770</v>
      </c>
      <c r="G104" s="3223">
        <v>8940</v>
      </c>
    </row>
    <row r="105" spans="1:7" s="3199" customFormat="1" ht="14.25" customHeight="1">
      <c r="A105" s="3210" t="s">
        <v>303</v>
      </c>
      <c r="B105" s="3210" t="s">
        <v>262</v>
      </c>
      <c r="C105" s="3210">
        <v>13310</v>
      </c>
      <c r="D105" s="3210">
        <v>13240</v>
      </c>
      <c r="E105" s="3210">
        <v>16280</v>
      </c>
      <c r="F105" s="3210">
        <v>3210</v>
      </c>
      <c r="G105" s="3223">
        <v>8750</v>
      </c>
    </row>
    <row r="106" spans="1:7" s="3199" customFormat="1" ht="14.25" customHeight="1">
      <c r="A106" s="3210" t="s">
        <v>303</v>
      </c>
      <c r="B106" s="3210" t="s">
        <v>269</v>
      </c>
      <c r="C106" s="3210">
        <v>13010</v>
      </c>
      <c r="D106" s="3210">
        <v>12930</v>
      </c>
      <c r="E106" s="3210">
        <v>14960</v>
      </c>
      <c r="F106" s="3210">
        <v>3530</v>
      </c>
      <c r="G106" s="3223">
        <v>8550</v>
      </c>
    </row>
    <row r="107" spans="1:7" s="3199" customFormat="1" ht="14.25" customHeight="1">
      <c r="A107" s="3210" t="s">
        <v>303</v>
      </c>
      <c r="B107" s="3210" t="s">
        <v>273</v>
      </c>
      <c r="C107" s="3210">
        <v>13070</v>
      </c>
      <c r="D107" s="3210">
        <v>13000</v>
      </c>
      <c r="E107" s="3210">
        <v>15910</v>
      </c>
      <c r="F107" s="3210">
        <v>3990</v>
      </c>
      <c r="G107" s="3223">
        <v>8580</v>
      </c>
    </row>
    <row r="108" spans="1:7" s="3199" customFormat="1" ht="14.25" customHeight="1">
      <c r="A108" s="3210" t="s">
        <v>303</v>
      </c>
      <c r="B108" s="3210" t="s">
        <v>279</v>
      </c>
      <c r="C108" s="3210">
        <v>12640</v>
      </c>
      <c r="D108" s="3210">
        <v>12580</v>
      </c>
      <c r="E108" s="3210">
        <v>15730</v>
      </c>
      <c r="F108" s="3210"/>
      <c r="G108" s="3223">
        <v>8310</v>
      </c>
    </row>
    <row r="109" spans="1:7" s="3199" customFormat="1" ht="14.25" customHeight="1">
      <c r="A109" s="3210" t="s">
        <v>303</v>
      </c>
      <c r="B109" s="3210" t="s">
        <v>282</v>
      </c>
      <c r="C109" s="3210">
        <v>13130</v>
      </c>
      <c r="D109" s="3210">
        <v>13070</v>
      </c>
      <c r="E109" s="3210">
        <v>15000</v>
      </c>
      <c r="F109" s="3210"/>
      <c r="G109" s="3223">
        <v>8630</v>
      </c>
    </row>
    <row r="110" spans="1:7" s="3199" customFormat="1" ht="14.25" customHeight="1">
      <c r="A110" s="3210" t="s">
        <v>303</v>
      </c>
      <c r="B110" s="3210" t="s">
        <v>284</v>
      </c>
      <c r="C110" s="3210">
        <v>13560</v>
      </c>
      <c r="D110" s="3210">
        <v>13490</v>
      </c>
      <c r="E110" s="3210">
        <v>16300</v>
      </c>
      <c r="F110" s="3210"/>
      <c r="G110" s="3223">
        <v>8920</v>
      </c>
    </row>
    <row r="111" spans="1:7" s="3199" customFormat="1" ht="14.25" customHeight="1">
      <c r="A111" s="3210" t="s">
        <v>303</v>
      </c>
      <c r="B111" s="3210" t="s">
        <v>287</v>
      </c>
      <c r="C111" s="3210">
        <v>12440</v>
      </c>
      <c r="D111" s="3210">
        <v>12380</v>
      </c>
      <c r="E111" s="3210">
        <v>17850</v>
      </c>
      <c r="F111" s="3210"/>
      <c r="G111" s="3223">
        <v>8180</v>
      </c>
    </row>
    <row r="112" spans="1:7" s="3199" customFormat="1" ht="14.25" customHeight="1">
      <c r="A112" s="3210" t="s">
        <v>303</v>
      </c>
      <c r="B112" s="3210" t="s">
        <v>291</v>
      </c>
      <c r="C112" s="3210">
        <v>13260</v>
      </c>
      <c r="D112" s="3210">
        <v>13180</v>
      </c>
      <c r="E112" s="3210">
        <v>19740</v>
      </c>
      <c r="F112" s="3210"/>
      <c r="G112" s="3223">
        <v>8710</v>
      </c>
    </row>
    <row r="113" spans="1:7" s="3199" customFormat="1" ht="14.25" customHeight="1">
      <c r="A113" s="3210" t="s">
        <v>303</v>
      </c>
      <c r="B113" s="3210" t="s">
        <v>2935</v>
      </c>
      <c r="C113" s="3210">
        <v>15520</v>
      </c>
      <c r="D113" s="3210">
        <v>15450</v>
      </c>
      <c r="E113" s="3210"/>
      <c r="F113" s="3210"/>
      <c r="G113" s="3223">
        <v>10210</v>
      </c>
    </row>
    <row r="114" spans="1:7" s="3199" customFormat="1" ht="14.25" customHeight="1">
      <c r="A114" s="3210" t="s">
        <v>303</v>
      </c>
      <c r="B114" s="3210" t="s">
        <v>2942</v>
      </c>
      <c r="C114" s="3210">
        <v>13110</v>
      </c>
      <c r="D114" s="3210">
        <v>13050</v>
      </c>
      <c r="E114" s="3210"/>
      <c r="F114" s="3210"/>
      <c r="G114" s="3223">
        <v>8620</v>
      </c>
    </row>
    <row r="115" spans="1:7" s="3199" customFormat="1" ht="14.25" customHeight="1">
      <c r="A115" s="3210" t="s">
        <v>303</v>
      </c>
      <c r="B115" s="3210" t="s">
        <v>2948</v>
      </c>
      <c r="C115" s="3210">
        <v>12460</v>
      </c>
      <c r="D115" s="3210">
        <v>12390</v>
      </c>
      <c r="E115" s="3210"/>
      <c r="F115" s="3210"/>
      <c r="G115" s="3223">
        <v>8190</v>
      </c>
    </row>
    <row r="116" spans="1:7" s="3199" customFormat="1" ht="14.25" customHeight="1">
      <c r="A116" s="3210" t="s">
        <v>303</v>
      </c>
      <c r="B116" s="3210" t="s">
        <v>2955</v>
      </c>
      <c r="C116" s="3210">
        <v>13580</v>
      </c>
      <c r="D116" s="3210">
        <v>13520</v>
      </c>
      <c r="E116" s="3210"/>
      <c r="F116" s="3210"/>
      <c r="G116" s="3223">
        <v>8930</v>
      </c>
    </row>
    <row r="117" spans="1:7" s="3199" customFormat="1" ht="14.25" customHeight="1">
      <c r="A117" s="3210" t="s">
        <v>303</v>
      </c>
      <c r="B117" s="3210" t="s">
        <v>2962</v>
      </c>
      <c r="C117" s="3210">
        <v>17120</v>
      </c>
      <c r="D117" s="3210">
        <v>17040</v>
      </c>
      <c r="E117" s="3210"/>
      <c r="F117" s="3210"/>
      <c r="G117" s="3223">
        <v>11260</v>
      </c>
    </row>
    <row r="118" spans="1:7" s="3199" customFormat="1" ht="14.25" customHeight="1">
      <c r="A118" s="3210" t="s">
        <v>303</v>
      </c>
      <c r="B118" s="3210" t="s">
        <v>2967</v>
      </c>
      <c r="C118" s="3210">
        <v>14860</v>
      </c>
      <c r="D118" s="3210">
        <v>14790</v>
      </c>
      <c r="E118" s="3210"/>
      <c r="F118" s="3210"/>
      <c r="G118" s="3223">
        <v>9780</v>
      </c>
    </row>
    <row r="119" spans="1:7" s="3199" customFormat="1" ht="14.25" customHeight="1">
      <c r="A119" s="3210" t="s">
        <v>303</v>
      </c>
      <c r="B119" s="3210" t="s">
        <v>2971</v>
      </c>
      <c r="C119" s="3210">
        <v>16470</v>
      </c>
      <c r="D119" s="3210">
        <v>16400</v>
      </c>
      <c r="E119" s="3210"/>
      <c r="F119" s="3210"/>
      <c r="G119" s="3223">
        <v>10840</v>
      </c>
    </row>
    <row r="120" spans="1:7" s="3199" customFormat="1" ht="14.25" customHeight="1">
      <c r="A120" s="3210" t="s">
        <v>303</v>
      </c>
      <c r="B120" s="3210" t="s">
        <v>3057</v>
      </c>
      <c r="C120" s="3210"/>
      <c r="D120" s="3210"/>
      <c r="E120" s="3210"/>
      <c r="F120" s="3210">
        <v>4160</v>
      </c>
      <c r="G120" s="3223"/>
    </row>
    <row r="121" spans="1:7" s="3199" customFormat="1" ht="14.25" customHeight="1">
      <c r="A121" s="3210" t="s">
        <v>303</v>
      </c>
      <c r="B121" s="3210" t="s">
        <v>3058</v>
      </c>
      <c r="C121" s="3210"/>
      <c r="D121" s="3210"/>
      <c r="E121" s="3210"/>
      <c r="F121" s="3210">
        <v>3880</v>
      </c>
      <c r="G121" s="3223"/>
    </row>
    <row r="122" spans="1:7" s="3199" customFormat="1" ht="14.25" customHeight="1">
      <c r="A122" s="3210" t="s">
        <v>303</v>
      </c>
      <c r="B122" s="3210" t="s">
        <v>3059</v>
      </c>
      <c r="C122" s="3210">
        <v>13750</v>
      </c>
      <c r="D122" s="3210">
        <v>13680</v>
      </c>
      <c r="E122" s="3210">
        <v>16460</v>
      </c>
      <c r="F122" s="3210">
        <v>2880</v>
      </c>
      <c r="G122" s="3223">
        <v>9040</v>
      </c>
    </row>
    <row r="123" spans="1:7" s="3199" customFormat="1" ht="14.25" customHeight="1">
      <c r="A123" s="3210" t="s">
        <v>303</v>
      </c>
      <c r="B123" s="3210" t="s">
        <v>2990</v>
      </c>
      <c r="C123" s="3210">
        <v>13590</v>
      </c>
      <c r="D123" s="3210">
        <v>13520</v>
      </c>
      <c r="E123" s="3210">
        <v>16290</v>
      </c>
      <c r="F123" s="3210">
        <v>2790</v>
      </c>
      <c r="G123" s="3223">
        <v>8930</v>
      </c>
    </row>
    <row r="124" spans="1:7" s="3199" customFormat="1" ht="14.25" customHeight="1">
      <c r="A124" s="3210" t="s">
        <v>303</v>
      </c>
      <c r="B124" s="3210" t="s">
        <v>2995</v>
      </c>
      <c r="C124" s="3210">
        <v>13400</v>
      </c>
      <c r="D124" s="3210">
        <v>13320</v>
      </c>
      <c r="E124" s="3210">
        <v>16100</v>
      </c>
      <c r="F124" s="3210">
        <v>2320</v>
      </c>
      <c r="G124" s="3223">
        <v>8800</v>
      </c>
    </row>
    <row r="125" spans="1:7" s="3199" customFormat="1" ht="14.25" customHeight="1">
      <c r="A125" s="3210" t="s">
        <v>303</v>
      </c>
      <c r="B125" s="3210" t="s">
        <v>3000</v>
      </c>
      <c r="C125" s="3210">
        <v>12860</v>
      </c>
      <c r="D125" s="3210">
        <v>12790</v>
      </c>
      <c r="E125" s="3210">
        <v>15370</v>
      </c>
      <c r="F125" s="3210">
        <v>2280</v>
      </c>
      <c r="G125" s="3223">
        <v>8450</v>
      </c>
    </row>
    <row r="126" spans="1:7" s="3199" customFormat="1" ht="14.25" customHeight="1" thickBot="1">
      <c r="A126" s="3224" t="s">
        <v>303</v>
      </c>
      <c r="B126" s="3217" t="s">
        <v>3005</v>
      </c>
      <c r="C126" s="3217">
        <v>12960</v>
      </c>
      <c r="D126" s="3217">
        <v>12890</v>
      </c>
      <c r="E126" s="3217">
        <v>15530</v>
      </c>
      <c r="F126" s="3217">
        <v>2910</v>
      </c>
      <c r="G126" s="3225">
        <v>8520</v>
      </c>
    </row>
    <row r="127" spans="1:7" s="3199" customFormat="1" ht="14.25" customHeight="1">
      <c r="A127" s="3215" t="s">
        <v>29</v>
      </c>
      <c r="B127" s="3206" t="s">
        <v>3060</v>
      </c>
      <c r="C127" s="3210">
        <v>12280</v>
      </c>
      <c r="D127" s="3210">
        <v>12250</v>
      </c>
      <c r="E127" s="3210">
        <v>15130</v>
      </c>
      <c r="F127" s="3210">
        <v>2710</v>
      </c>
      <c r="G127" s="3210">
        <v>7870</v>
      </c>
    </row>
    <row r="128" spans="1:7" s="3199" customFormat="1" ht="14.25" customHeight="1">
      <c r="A128" s="3210" t="s">
        <v>29</v>
      </c>
      <c r="B128" s="3210" t="s">
        <v>132</v>
      </c>
      <c r="C128" s="3210">
        <v>13180</v>
      </c>
      <c r="D128" s="3210">
        <v>13150</v>
      </c>
      <c r="E128" s="3210">
        <v>16190</v>
      </c>
      <c r="F128" s="3210">
        <v>2820</v>
      </c>
      <c r="G128" s="3210">
        <v>8460</v>
      </c>
    </row>
    <row r="129" spans="1:7" s="3199" customFormat="1" ht="14.25" customHeight="1">
      <c r="A129" s="3210" t="s">
        <v>29</v>
      </c>
      <c r="B129" s="3210" t="s">
        <v>141</v>
      </c>
      <c r="C129" s="3210">
        <v>10950</v>
      </c>
      <c r="D129" s="3210">
        <v>10920</v>
      </c>
      <c r="E129" s="3210">
        <v>13820</v>
      </c>
      <c r="F129" s="3210">
        <v>2500</v>
      </c>
      <c r="G129" s="3210">
        <v>7020</v>
      </c>
    </row>
    <row r="130" spans="1:7" s="3199" customFormat="1" ht="14.25" customHeight="1">
      <c r="A130" s="3210" t="s">
        <v>29</v>
      </c>
      <c r="B130" s="3210" t="s">
        <v>150</v>
      </c>
      <c r="C130" s="3210">
        <v>10910</v>
      </c>
      <c r="D130" s="3210">
        <v>10860</v>
      </c>
      <c r="E130" s="3210">
        <v>13730</v>
      </c>
      <c r="F130" s="3210">
        <v>2760</v>
      </c>
      <c r="G130" s="3210">
        <v>6990</v>
      </c>
    </row>
    <row r="131" spans="1:7" s="3199" customFormat="1" ht="14.25" customHeight="1">
      <c r="A131" s="3210" t="s">
        <v>29</v>
      </c>
      <c r="B131" s="3210" t="s">
        <v>159</v>
      </c>
      <c r="C131" s="3210">
        <v>12910</v>
      </c>
      <c r="D131" s="3210">
        <v>12870</v>
      </c>
      <c r="E131" s="3210">
        <v>15720</v>
      </c>
      <c r="F131" s="3210">
        <v>2750</v>
      </c>
      <c r="G131" s="3210">
        <v>8280</v>
      </c>
    </row>
    <row r="132" spans="1:7" s="3199" customFormat="1" ht="14.25" customHeight="1">
      <c r="A132" s="3210" t="s">
        <v>29</v>
      </c>
      <c r="B132" s="3210" t="s">
        <v>166</v>
      </c>
      <c r="C132" s="3210">
        <v>11910</v>
      </c>
      <c r="D132" s="3210">
        <v>11860</v>
      </c>
      <c r="E132" s="3210">
        <v>14730</v>
      </c>
      <c r="F132" s="3210">
        <v>2360</v>
      </c>
      <c r="G132" s="3210">
        <v>7630</v>
      </c>
    </row>
    <row r="133" spans="1:7" s="3199" customFormat="1" ht="14.25" customHeight="1">
      <c r="A133" s="3210" t="s">
        <v>29</v>
      </c>
      <c r="B133" s="3210" t="s">
        <v>172</v>
      </c>
      <c r="C133" s="3210">
        <v>12270</v>
      </c>
      <c r="D133" s="3210">
        <v>12210</v>
      </c>
      <c r="E133" s="3210">
        <v>15010</v>
      </c>
      <c r="F133" s="3210">
        <v>2580</v>
      </c>
      <c r="G133" s="3210">
        <v>7860</v>
      </c>
    </row>
    <row r="134" spans="1:7" s="3199" customFormat="1" ht="14.25" customHeight="1">
      <c r="A134" s="3210" t="s">
        <v>29</v>
      </c>
      <c r="B134" s="3210" t="s">
        <v>179</v>
      </c>
      <c r="C134" s="3210">
        <v>10800</v>
      </c>
      <c r="D134" s="3210">
        <v>10780</v>
      </c>
      <c r="E134" s="3210">
        <v>13640</v>
      </c>
      <c r="F134" s="3210">
        <v>2110</v>
      </c>
      <c r="G134" s="3210">
        <v>6930</v>
      </c>
    </row>
    <row r="135" spans="1:7" s="3199" customFormat="1" ht="14.25" customHeight="1">
      <c r="A135" s="3210" t="s">
        <v>29</v>
      </c>
      <c r="B135" s="3210" t="s">
        <v>189</v>
      </c>
      <c r="C135" s="3210">
        <v>10430</v>
      </c>
      <c r="D135" s="3210">
        <v>10390</v>
      </c>
      <c r="E135" s="3210">
        <v>13140</v>
      </c>
      <c r="F135" s="3210">
        <v>2240</v>
      </c>
      <c r="G135" s="3210">
        <v>6680</v>
      </c>
    </row>
    <row r="136" spans="1:7" s="3199" customFormat="1" ht="14.25" customHeight="1">
      <c r="A136" s="3210" t="s">
        <v>29</v>
      </c>
      <c r="B136" s="3210" t="s">
        <v>198</v>
      </c>
      <c r="C136" s="3210">
        <v>11930</v>
      </c>
      <c r="D136" s="3210">
        <v>11880</v>
      </c>
      <c r="E136" s="3210">
        <v>14770</v>
      </c>
      <c r="F136" s="3210">
        <v>1970</v>
      </c>
      <c r="G136" s="3210">
        <v>7640</v>
      </c>
    </row>
    <row r="137" spans="1:7" s="3199" customFormat="1" ht="14.25" customHeight="1">
      <c r="A137" s="3210" t="s">
        <v>29</v>
      </c>
      <c r="B137" s="3210" t="s">
        <v>205</v>
      </c>
      <c r="C137" s="3210">
        <v>10470</v>
      </c>
      <c r="D137" s="3210">
        <v>10430</v>
      </c>
      <c r="E137" s="3210">
        <v>13190</v>
      </c>
      <c r="F137" s="3210">
        <v>1990</v>
      </c>
      <c r="G137" s="3210">
        <v>6710</v>
      </c>
    </row>
    <row r="138" spans="1:7" s="3199" customFormat="1" ht="14.25" customHeight="1">
      <c r="A138" s="3210" t="s">
        <v>29</v>
      </c>
      <c r="B138" s="3210" t="s">
        <v>212</v>
      </c>
      <c r="C138" s="3210">
        <v>10410</v>
      </c>
      <c r="D138" s="3210">
        <v>10380</v>
      </c>
      <c r="E138" s="3210">
        <v>13130</v>
      </c>
      <c r="F138" s="3210">
        <v>2030</v>
      </c>
      <c r="G138" s="3210">
        <v>6680</v>
      </c>
    </row>
    <row r="139" spans="1:7" s="3199" customFormat="1" ht="14.25" customHeight="1">
      <c r="A139" s="3210" t="s">
        <v>29</v>
      </c>
      <c r="B139" s="3210" t="s">
        <v>218</v>
      </c>
      <c r="C139" s="3210">
        <v>9460</v>
      </c>
      <c r="D139" s="3210">
        <v>9410</v>
      </c>
      <c r="E139" s="3210">
        <v>12050</v>
      </c>
      <c r="F139" s="3210">
        <v>2140</v>
      </c>
      <c r="G139" s="3210">
        <v>6050</v>
      </c>
    </row>
    <row r="140" spans="1:7" s="3199" customFormat="1" ht="14.25" customHeight="1">
      <c r="A140" s="3210" t="s">
        <v>29</v>
      </c>
      <c r="B140" s="3210" t="s">
        <v>226</v>
      </c>
      <c r="C140" s="3210">
        <v>11030</v>
      </c>
      <c r="D140" s="3210">
        <v>10980</v>
      </c>
      <c r="E140" s="3210">
        <v>13880</v>
      </c>
      <c r="F140" s="3210">
        <v>2210</v>
      </c>
      <c r="G140" s="3210">
        <v>7060</v>
      </c>
    </row>
    <row r="141" spans="1:7" s="3199" customFormat="1" ht="14.25" customHeight="1">
      <c r="A141" s="3210" t="s">
        <v>29</v>
      </c>
      <c r="B141" s="3210" t="s">
        <v>234</v>
      </c>
      <c r="C141" s="3210">
        <v>11200</v>
      </c>
      <c r="D141" s="3210">
        <v>11150</v>
      </c>
      <c r="E141" s="3210">
        <v>14100</v>
      </c>
      <c r="F141" s="3210">
        <v>2470</v>
      </c>
      <c r="G141" s="3210">
        <v>7170</v>
      </c>
    </row>
    <row r="142" spans="1:7" s="3199" customFormat="1" ht="14.25" customHeight="1">
      <c r="A142" s="3210" t="s">
        <v>29</v>
      </c>
      <c r="B142" s="3210" t="s">
        <v>239</v>
      </c>
      <c r="C142" s="3210">
        <v>10780</v>
      </c>
      <c r="D142" s="3210">
        <v>10730</v>
      </c>
      <c r="E142" s="3210">
        <v>13540</v>
      </c>
      <c r="F142" s="3210">
        <v>2280</v>
      </c>
      <c r="G142" s="3210">
        <v>6900</v>
      </c>
    </row>
    <row r="143" spans="1:7" s="3199" customFormat="1" ht="14.25" customHeight="1">
      <c r="A143" s="3210" t="s">
        <v>29</v>
      </c>
      <c r="B143" s="3210" t="s">
        <v>248</v>
      </c>
      <c r="C143" s="3210">
        <v>11550</v>
      </c>
      <c r="D143" s="3210">
        <v>11490</v>
      </c>
      <c r="E143" s="3210">
        <v>14480</v>
      </c>
      <c r="F143" s="3210">
        <v>2070</v>
      </c>
      <c r="G143" s="3210">
        <v>7390</v>
      </c>
    </row>
    <row r="144" spans="1:7" s="3199" customFormat="1" ht="14.25" customHeight="1">
      <c r="A144" s="3210" t="s">
        <v>29</v>
      </c>
      <c r="B144" s="3210" t="s">
        <v>255</v>
      </c>
      <c r="C144" s="3210">
        <v>10720</v>
      </c>
      <c r="D144" s="3210">
        <v>10680</v>
      </c>
      <c r="E144" s="3210">
        <v>13480</v>
      </c>
      <c r="F144" s="3210">
        <v>2440</v>
      </c>
      <c r="G144" s="3210">
        <v>6870</v>
      </c>
    </row>
    <row r="145" spans="1:7" s="3199" customFormat="1" ht="14.25" customHeight="1">
      <c r="A145" s="3210" t="s">
        <v>29</v>
      </c>
      <c r="B145" s="3210" t="s">
        <v>263</v>
      </c>
      <c r="C145" s="3210">
        <v>10340</v>
      </c>
      <c r="D145" s="3210">
        <v>10290</v>
      </c>
      <c r="E145" s="3210">
        <v>12880</v>
      </c>
      <c r="F145" s="3210">
        <v>2650</v>
      </c>
      <c r="G145" s="3210">
        <v>6620</v>
      </c>
    </row>
    <row r="146" spans="1:7" s="3199" customFormat="1" ht="14.25" customHeight="1">
      <c r="A146" s="3210" t="s">
        <v>29</v>
      </c>
      <c r="B146" s="3210" t="s">
        <v>270</v>
      </c>
      <c r="C146" s="3210">
        <v>11890</v>
      </c>
      <c r="D146" s="3210">
        <v>11830</v>
      </c>
      <c r="E146" s="3210">
        <v>14670</v>
      </c>
      <c r="F146" s="3210"/>
      <c r="G146" s="3210">
        <v>7610</v>
      </c>
    </row>
    <row r="147" spans="1:7" s="3199" customFormat="1" ht="14.25" customHeight="1">
      <c r="A147" s="3210" t="s">
        <v>29</v>
      </c>
      <c r="B147" s="3210" t="s">
        <v>274</v>
      </c>
      <c r="C147" s="3210">
        <v>12650</v>
      </c>
      <c r="D147" s="3210">
        <v>12600</v>
      </c>
      <c r="E147" s="3210">
        <v>15440</v>
      </c>
      <c r="F147" s="3210"/>
      <c r="G147" s="3210">
        <v>8110</v>
      </c>
    </row>
    <row r="148" spans="1:7" s="3199" customFormat="1" ht="14.25" customHeight="1">
      <c r="A148" s="3210" t="s">
        <v>29</v>
      </c>
      <c r="B148" s="3210" t="s">
        <v>3061</v>
      </c>
      <c r="C148" s="3210">
        <v>10370</v>
      </c>
      <c r="D148" s="3210">
        <v>10310</v>
      </c>
      <c r="E148" s="3210">
        <v>12970</v>
      </c>
      <c r="F148" s="3210"/>
      <c r="G148" s="3210">
        <v>6630</v>
      </c>
    </row>
    <row r="149" spans="1:7" s="3199" customFormat="1" ht="14.25" customHeight="1">
      <c r="A149" s="3210" t="s">
        <v>29</v>
      </c>
      <c r="B149" s="3210" t="s">
        <v>3062</v>
      </c>
      <c r="C149" s="3210">
        <v>11600</v>
      </c>
      <c r="D149" s="3210">
        <v>11560</v>
      </c>
      <c r="E149" s="3210">
        <v>14540</v>
      </c>
      <c r="F149" s="3210">
        <v>2390</v>
      </c>
      <c r="G149" s="3210">
        <v>7430</v>
      </c>
    </row>
    <row r="150" spans="1:7" s="3199" customFormat="1" ht="14.25" customHeight="1">
      <c r="A150" s="3210" t="s">
        <v>29</v>
      </c>
      <c r="B150" s="3210" t="s">
        <v>292</v>
      </c>
      <c r="C150" s="3210">
        <v>9950</v>
      </c>
      <c r="D150" s="3210">
        <v>9890</v>
      </c>
      <c r="E150" s="3210">
        <v>12590</v>
      </c>
      <c r="F150" s="3210">
        <v>1970</v>
      </c>
      <c r="G150" s="3210">
        <v>6360</v>
      </c>
    </row>
    <row r="151" spans="1:7" s="3199" customFormat="1" ht="14.25" customHeight="1">
      <c r="A151" s="3210" t="s">
        <v>29</v>
      </c>
      <c r="B151" s="3210" t="s">
        <v>294</v>
      </c>
      <c r="C151" s="3210">
        <v>10700</v>
      </c>
      <c r="D151" s="3210">
        <v>10650</v>
      </c>
      <c r="E151" s="3210">
        <v>13420</v>
      </c>
      <c r="F151" s="3210">
        <v>2020</v>
      </c>
      <c r="G151" s="3210">
        <v>6850</v>
      </c>
    </row>
    <row r="152" spans="1:7" s="3199" customFormat="1" ht="14.25" customHeight="1">
      <c r="A152" s="3210" t="s">
        <v>29</v>
      </c>
      <c r="B152" s="3210" t="s">
        <v>297</v>
      </c>
      <c r="C152" s="3210">
        <v>10310</v>
      </c>
      <c r="D152" s="3210">
        <v>10260</v>
      </c>
      <c r="E152" s="3210">
        <v>12820</v>
      </c>
      <c r="F152" s="3210">
        <v>1980</v>
      </c>
      <c r="G152" s="3210">
        <v>6600</v>
      </c>
    </row>
    <row r="153" spans="1:7" s="3199" customFormat="1" ht="14.25" customHeight="1">
      <c r="A153" s="3210" t="s">
        <v>29</v>
      </c>
      <c r="B153" s="3210" t="s">
        <v>2936</v>
      </c>
      <c r="C153" s="3210">
        <v>10880</v>
      </c>
      <c r="D153" s="3210">
        <v>10820</v>
      </c>
      <c r="E153" s="3210">
        <v>13660</v>
      </c>
      <c r="F153" s="3210">
        <v>2260</v>
      </c>
      <c r="G153" s="3210">
        <v>6970</v>
      </c>
    </row>
    <row r="154" spans="1:7" s="3199" customFormat="1" ht="14.25" customHeight="1">
      <c r="A154" s="3210" t="s">
        <v>29</v>
      </c>
      <c r="B154" s="3210" t="s">
        <v>3063</v>
      </c>
      <c r="C154" s="3210">
        <v>11220</v>
      </c>
      <c r="D154" s="3210">
        <v>11160</v>
      </c>
      <c r="E154" s="3210">
        <v>14130</v>
      </c>
      <c r="F154" s="3210">
        <v>2230</v>
      </c>
      <c r="G154" s="3210">
        <v>7180</v>
      </c>
    </row>
    <row r="155" spans="1:7" s="3199" customFormat="1" ht="14.25" customHeight="1">
      <c r="A155" s="3210" t="s">
        <v>29</v>
      </c>
      <c r="B155" s="3210" t="s">
        <v>2949</v>
      </c>
      <c r="C155" s="3210">
        <v>10430</v>
      </c>
      <c r="D155" s="3210">
        <v>10380</v>
      </c>
      <c r="E155" s="3210">
        <v>13140</v>
      </c>
      <c r="F155" s="3210">
        <v>2080</v>
      </c>
      <c r="G155" s="3210">
        <v>6650</v>
      </c>
    </row>
    <row r="156" spans="1:7" s="3199" customFormat="1" ht="14.25" customHeight="1">
      <c r="A156" s="3210" t="s">
        <v>29</v>
      </c>
      <c r="B156" s="3210" t="s">
        <v>3064</v>
      </c>
      <c r="C156" s="3210">
        <v>10440</v>
      </c>
      <c r="D156" s="3210">
        <v>10400</v>
      </c>
      <c r="E156" s="3210">
        <v>13150</v>
      </c>
      <c r="F156" s="3210">
        <v>2490</v>
      </c>
      <c r="G156" s="3210">
        <v>6690</v>
      </c>
    </row>
    <row r="157" spans="1:7" s="3199" customFormat="1" ht="14.25" customHeight="1">
      <c r="A157" s="3210" t="s">
        <v>29</v>
      </c>
      <c r="B157" s="3210" t="s">
        <v>300</v>
      </c>
      <c r="C157" s="3210">
        <v>10970</v>
      </c>
      <c r="D157" s="3210">
        <v>10920</v>
      </c>
      <c r="E157" s="3210">
        <v>13840</v>
      </c>
      <c r="F157" s="3210">
        <v>2420</v>
      </c>
      <c r="G157" s="3210">
        <v>7020</v>
      </c>
    </row>
    <row r="158" spans="1:7" s="3199" customFormat="1" ht="14.25" customHeight="1">
      <c r="A158" s="3210" t="s">
        <v>29</v>
      </c>
      <c r="B158" s="3210" t="s">
        <v>301</v>
      </c>
      <c r="C158" s="3210">
        <v>9590</v>
      </c>
      <c r="D158" s="3210">
        <v>9540</v>
      </c>
      <c r="E158" s="3210">
        <v>12210</v>
      </c>
      <c r="F158" s="3210">
        <v>2100</v>
      </c>
      <c r="G158" s="3210">
        <v>6130</v>
      </c>
    </row>
    <row r="159" spans="1:7" s="3199" customFormat="1" ht="14.25" customHeight="1">
      <c r="A159" s="3210" t="s">
        <v>29</v>
      </c>
      <c r="B159" s="3210" t="s">
        <v>302</v>
      </c>
      <c r="C159" s="3210">
        <v>11190</v>
      </c>
      <c r="D159" s="3210">
        <v>11140</v>
      </c>
      <c r="E159" s="3210">
        <v>14090</v>
      </c>
      <c r="F159" s="3210">
        <v>2470</v>
      </c>
      <c r="G159" s="3210">
        <v>7170</v>
      </c>
    </row>
    <row r="160" spans="1:7" s="3199" customFormat="1" ht="14.25" customHeight="1">
      <c r="A160" s="3210" t="s">
        <v>29</v>
      </c>
      <c r="B160" s="3210" t="s">
        <v>3065</v>
      </c>
      <c r="C160" s="3210">
        <v>11180</v>
      </c>
      <c r="D160" s="3210">
        <v>11140</v>
      </c>
      <c r="E160" s="3210">
        <v>14050</v>
      </c>
      <c r="F160" s="3210">
        <v>2270</v>
      </c>
      <c r="G160" s="3210">
        <v>7170</v>
      </c>
    </row>
    <row r="161" spans="1:7" s="3199" customFormat="1" ht="14.25" customHeight="1">
      <c r="A161" s="3210" t="s">
        <v>29</v>
      </c>
      <c r="B161" s="3210" t="s">
        <v>2981</v>
      </c>
      <c r="C161" s="3210">
        <v>11160</v>
      </c>
      <c r="D161" s="3210">
        <v>11120</v>
      </c>
      <c r="E161" s="3210">
        <v>14020</v>
      </c>
      <c r="F161" s="3210">
        <v>2150</v>
      </c>
      <c r="G161" s="3210">
        <v>7160</v>
      </c>
    </row>
    <row r="162" spans="1:7" s="3199" customFormat="1" ht="14.25" customHeight="1">
      <c r="A162" s="3210" t="s">
        <v>29</v>
      </c>
      <c r="B162" s="3210" t="s">
        <v>2986</v>
      </c>
      <c r="C162" s="3210">
        <v>9620</v>
      </c>
      <c r="D162" s="3210">
        <v>9570</v>
      </c>
      <c r="E162" s="3210">
        <v>12320</v>
      </c>
      <c r="F162" s="3210">
        <v>2010</v>
      </c>
      <c r="G162" s="3210">
        <v>6160</v>
      </c>
    </row>
    <row r="163" spans="1:7" s="3199" customFormat="1" ht="14.25" customHeight="1">
      <c r="A163" s="3210" t="s">
        <v>29</v>
      </c>
      <c r="B163" s="3210" t="s">
        <v>2991</v>
      </c>
      <c r="C163" s="3210">
        <v>9320</v>
      </c>
      <c r="D163" s="3210">
        <v>9270</v>
      </c>
      <c r="E163" s="3210">
        <v>11790</v>
      </c>
      <c r="F163" s="3210">
        <v>1920</v>
      </c>
      <c r="G163" s="3210">
        <v>5960</v>
      </c>
    </row>
    <row r="164" spans="1:7" s="3199" customFormat="1" ht="14.25" customHeight="1">
      <c r="A164" s="3210" t="s">
        <v>29</v>
      </c>
      <c r="B164" s="3210" t="s">
        <v>2996</v>
      </c>
      <c r="C164" s="3210"/>
      <c r="D164" s="3210"/>
      <c r="E164" s="3210"/>
      <c r="F164" s="3210">
        <v>1980</v>
      </c>
      <c r="G164" s="3210"/>
    </row>
    <row r="165" spans="1:7" s="3199" customFormat="1" ht="14.25" customHeight="1">
      <c r="A165" s="3210" t="s">
        <v>29</v>
      </c>
      <c r="B165" s="3210" t="s">
        <v>3066</v>
      </c>
      <c r="C165" s="3210">
        <v>11060</v>
      </c>
      <c r="D165" s="3210">
        <v>11030</v>
      </c>
      <c r="E165" s="3210">
        <v>13850</v>
      </c>
      <c r="F165" s="3210">
        <v>2170</v>
      </c>
      <c r="G165" s="3210">
        <v>7090</v>
      </c>
    </row>
    <row r="166" spans="1:7" s="3199" customFormat="1" ht="14.25" customHeight="1">
      <c r="A166" s="3210" t="s">
        <v>29</v>
      </c>
      <c r="B166" s="3210" t="s">
        <v>3006</v>
      </c>
      <c r="C166" s="3210">
        <v>11050</v>
      </c>
      <c r="D166" s="3210">
        <v>11010</v>
      </c>
      <c r="E166" s="3210">
        <v>13920</v>
      </c>
      <c r="F166" s="3210">
        <v>2140</v>
      </c>
      <c r="G166" s="3210">
        <v>7080</v>
      </c>
    </row>
    <row r="167" spans="1:7" s="3199" customFormat="1" ht="14.25" customHeight="1">
      <c r="A167" s="3210" t="s">
        <v>29</v>
      </c>
      <c r="B167" s="3210" t="s">
        <v>3010</v>
      </c>
      <c r="C167" s="3210">
        <v>10930</v>
      </c>
      <c r="D167" s="3210">
        <v>10890</v>
      </c>
      <c r="E167" s="3210">
        <v>13790</v>
      </c>
      <c r="F167" s="3210">
        <v>2010</v>
      </c>
      <c r="G167" s="3210">
        <v>7000</v>
      </c>
    </row>
    <row r="168" spans="1:7" s="3199" customFormat="1" ht="14.25" customHeight="1">
      <c r="A168" s="3210" t="s">
        <v>29</v>
      </c>
      <c r="B168" s="3210" t="s">
        <v>3015</v>
      </c>
      <c r="C168" s="3210">
        <v>9420</v>
      </c>
      <c r="D168" s="3210">
        <v>9380</v>
      </c>
      <c r="E168" s="3210">
        <v>11970</v>
      </c>
      <c r="F168" s="3210"/>
      <c r="G168" s="3210">
        <v>6040</v>
      </c>
    </row>
    <row r="169" spans="1:7" s="3199" customFormat="1" ht="14.25" customHeight="1">
      <c r="A169" s="3210" t="s">
        <v>29</v>
      </c>
      <c r="B169" s="3210" t="s">
        <v>3067</v>
      </c>
      <c r="C169" s="3210"/>
      <c r="D169" s="3210"/>
      <c r="E169" s="3210"/>
      <c r="F169" s="3210">
        <v>2880</v>
      </c>
      <c r="G169" s="3210"/>
    </row>
    <row r="170" spans="1:7" s="3199" customFormat="1" ht="14.25" customHeight="1">
      <c r="A170" s="3210" t="s">
        <v>29</v>
      </c>
      <c r="B170" s="3210" t="s">
        <v>3023</v>
      </c>
      <c r="C170" s="3210"/>
      <c r="D170" s="3210"/>
      <c r="E170" s="3210"/>
      <c r="F170" s="3210">
        <v>2880</v>
      </c>
      <c r="G170" s="3210"/>
    </row>
    <row r="171" spans="1:7" s="3199" customFormat="1" ht="14.25" customHeight="1">
      <c r="A171" s="3210" t="s">
        <v>29</v>
      </c>
      <c r="B171" s="3210" t="s">
        <v>3026</v>
      </c>
      <c r="C171" s="3210"/>
      <c r="D171" s="3210"/>
      <c r="E171" s="3210"/>
      <c r="F171" s="3210">
        <v>2880</v>
      </c>
      <c r="G171" s="3210"/>
    </row>
    <row r="172" spans="1:7" s="3199" customFormat="1" ht="14.25" customHeight="1">
      <c r="A172" s="3210" t="s">
        <v>29</v>
      </c>
      <c r="B172" s="3210" t="s">
        <v>3028</v>
      </c>
      <c r="C172" s="3210"/>
      <c r="D172" s="3210"/>
      <c r="E172" s="3210"/>
      <c r="F172" s="3210">
        <v>2880</v>
      </c>
      <c r="G172" s="3210"/>
    </row>
    <row r="173" spans="1:7" s="3199" customFormat="1" ht="14.25" customHeight="1">
      <c r="A173" s="3210" t="s">
        <v>29</v>
      </c>
      <c r="B173" s="3210" t="s">
        <v>3030</v>
      </c>
      <c r="C173" s="3210"/>
      <c r="D173" s="3210"/>
      <c r="E173" s="3210"/>
      <c r="F173" s="3210">
        <v>2150</v>
      </c>
      <c r="G173" s="3210"/>
    </row>
    <row r="174" spans="1:7" s="3199" customFormat="1" ht="14.25" customHeight="1">
      <c r="A174" s="3210" t="s">
        <v>29</v>
      </c>
      <c r="B174" s="3210" t="s">
        <v>3032</v>
      </c>
      <c r="C174" s="3210"/>
      <c r="D174" s="3210"/>
      <c r="E174" s="3210"/>
      <c r="F174" s="3210">
        <v>2030</v>
      </c>
      <c r="G174" s="3210"/>
    </row>
    <row r="175" spans="1:7" s="3199" customFormat="1" ht="14.25" customHeight="1">
      <c r="A175" s="3210" t="s">
        <v>29</v>
      </c>
      <c r="B175" s="3210" t="s">
        <v>3034</v>
      </c>
      <c r="C175" s="3210"/>
      <c r="D175" s="3210"/>
      <c r="E175" s="3210"/>
      <c r="F175" s="3210">
        <v>2780</v>
      </c>
      <c r="G175" s="3210"/>
    </row>
    <row r="176" spans="1:7" s="3199" customFormat="1" ht="14.25" customHeight="1">
      <c r="A176" s="3210" t="s">
        <v>29</v>
      </c>
      <c r="B176" s="3210" t="s">
        <v>3036</v>
      </c>
      <c r="C176" s="3210"/>
      <c r="D176" s="3210"/>
      <c r="E176" s="3210"/>
      <c r="F176" s="3210">
        <v>2780</v>
      </c>
      <c r="G176" s="3210"/>
    </row>
    <row r="177" spans="1:7" s="3199" customFormat="1" ht="14.25" customHeight="1">
      <c r="A177" s="3210" t="s">
        <v>29</v>
      </c>
      <c r="B177" s="3210" t="s">
        <v>3068</v>
      </c>
      <c r="C177" s="3210"/>
      <c r="D177" s="3210"/>
      <c r="E177" s="3210"/>
      <c r="F177" s="3210">
        <v>2780</v>
      </c>
      <c r="G177" s="3210"/>
    </row>
    <row r="178" spans="1:7" s="3199" customFormat="1" ht="14.25" customHeight="1">
      <c r="A178" s="3210" t="s">
        <v>29</v>
      </c>
      <c r="B178" s="3210" t="s">
        <v>3069</v>
      </c>
      <c r="C178" s="3210"/>
      <c r="D178" s="3210"/>
      <c r="E178" s="3210"/>
      <c r="F178" s="3210">
        <v>2060</v>
      </c>
      <c r="G178" s="3210"/>
    </row>
    <row r="179" spans="1:7" s="3199" customFormat="1" ht="14.25" customHeight="1">
      <c r="A179" s="3210" t="s">
        <v>29</v>
      </c>
      <c r="B179" s="3210" t="s">
        <v>3070</v>
      </c>
      <c r="C179" s="3210"/>
      <c r="D179" s="3210"/>
      <c r="E179" s="3210"/>
      <c r="F179" s="3210">
        <v>2120</v>
      </c>
      <c r="G179" s="3210"/>
    </row>
    <row r="180" spans="1:7" s="3199" customFormat="1" ht="14.25" customHeight="1">
      <c r="A180" s="3210" t="s">
        <v>29</v>
      </c>
      <c r="B180" s="3210" t="s">
        <v>3042</v>
      </c>
      <c r="C180" s="3210"/>
      <c r="D180" s="3210"/>
      <c r="E180" s="3210"/>
      <c r="F180" s="3210">
        <v>2340</v>
      </c>
      <c r="G180" s="3210"/>
    </row>
    <row r="181" spans="1:7" s="3199" customFormat="1" ht="14.25" customHeight="1">
      <c r="A181" s="3210" t="s">
        <v>29</v>
      </c>
      <c r="B181" s="3210" t="s">
        <v>3043</v>
      </c>
      <c r="C181" s="3210"/>
      <c r="D181" s="3210"/>
      <c r="E181" s="3210"/>
      <c r="F181" s="3210">
        <v>2340</v>
      </c>
      <c r="G181" s="3210"/>
    </row>
    <row r="182" spans="1:7" s="3199" customFormat="1" ht="14.25" customHeight="1">
      <c r="A182" s="3210" t="s">
        <v>29</v>
      </c>
      <c r="B182" s="3210" t="s">
        <v>3044</v>
      </c>
      <c r="C182" s="3210"/>
      <c r="D182" s="3210"/>
      <c r="E182" s="3210"/>
      <c r="F182" s="3210">
        <v>2340</v>
      </c>
      <c r="G182" s="3210"/>
    </row>
    <row r="183" spans="1:7" s="3199" customFormat="1" ht="14.25" customHeight="1">
      <c r="A183" s="3210" t="s">
        <v>29</v>
      </c>
      <c r="B183" s="3210" t="s">
        <v>3045</v>
      </c>
      <c r="C183" s="3210"/>
      <c r="D183" s="3210"/>
      <c r="E183" s="3210"/>
      <c r="F183" s="3210">
        <v>2340</v>
      </c>
      <c r="G183" s="3210"/>
    </row>
    <row r="184" spans="1:7" s="3199" customFormat="1" ht="14.25" customHeight="1">
      <c r="A184" s="3210" t="s">
        <v>29</v>
      </c>
      <c r="B184" s="3210" t="s">
        <v>3046</v>
      </c>
      <c r="C184" s="3210"/>
      <c r="D184" s="3210"/>
      <c r="E184" s="3210"/>
      <c r="F184" s="3210">
        <v>2340</v>
      </c>
      <c r="G184" s="3210"/>
    </row>
    <row r="185" spans="1:7" s="3199" customFormat="1" ht="14.25" customHeight="1">
      <c r="A185" s="3210" t="s">
        <v>29</v>
      </c>
      <c r="B185" s="3210" t="s">
        <v>3047</v>
      </c>
      <c r="C185" s="3210"/>
      <c r="D185" s="3210"/>
      <c r="E185" s="3210"/>
      <c r="F185" s="3210">
        <v>2530</v>
      </c>
      <c r="G185" s="3210"/>
    </row>
    <row r="186" spans="1:7" s="3199" customFormat="1" ht="14.25" customHeight="1">
      <c r="A186" s="3210" t="s">
        <v>29</v>
      </c>
      <c r="B186" s="3210" t="s">
        <v>3048</v>
      </c>
      <c r="C186" s="3210"/>
      <c r="D186" s="3210"/>
      <c r="E186" s="3210"/>
      <c r="F186" s="3210">
        <v>2550</v>
      </c>
      <c r="G186" s="3210"/>
    </row>
    <row r="187" spans="1:7" s="3199" customFormat="1" ht="14.25" customHeight="1">
      <c r="A187" s="3210" t="s">
        <v>29</v>
      </c>
      <c r="B187" s="3210" t="s">
        <v>3049</v>
      </c>
      <c r="C187" s="3210"/>
      <c r="D187" s="3210"/>
      <c r="E187" s="3210"/>
      <c r="F187" s="3210">
        <v>2070</v>
      </c>
      <c r="G187" s="3210"/>
    </row>
    <row r="188" spans="1:7" s="3199" customFormat="1" ht="14.25" customHeight="1">
      <c r="A188" s="3210" t="s">
        <v>29</v>
      </c>
      <c r="B188" s="3210" t="s">
        <v>3050</v>
      </c>
      <c r="C188" s="3210"/>
      <c r="D188" s="3210"/>
      <c r="E188" s="3210"/>
      <c r="F188" s="3210">
        <v>2340</v>
      </c>
      <c r="G188" s="3210"/>
    </row>
    <row r="189" spans="1:7" s="3199" customFormat="1" ht="14.25" customHeight="1" thickBot="1">
      <c r="A189" s="3218" t="s">
        <v>29</v>
      </c>
      <c r="B189" s="3221" t="s">
        <v>3051</v>
      </c>
      <c r="C189" s="3221"/>
      <c r="D189" s="3221"/>
      <c r="E189" s="3221"/>
      <c r="F189" s="3221">
        <v>2050</v>
      </c>
      <c r="G189" s="3221"/>
    </row>
    <row r="190" spans="1:7" s="3199" customFormat="1" ht="14.25" customHeight="1">
      <c r="A190" s="3215" t="s">
        <v>304</v>
      </c>
      <c r="B190" s="3206" t="s">
        <v>3071</v>
      </c>
      <c r="C190" s="3206">
        <v>8830</v>
      </c>
      <c r="D190" s="3206">
        <v>8790</v>
      </c>
      <c r="E190" s="3206">
        <v>11630</v>
      </c>
      <c r="F190" s="3206">
        <v>1790</v>
      </c>
      <c r="G190" s="3222">
        <v>5550</v>
      </c>
    </row>
    <row r="191" spans="1:7" s="3199" customFormat="1" ht="14.25" customHeight="1">
      <c r="A191" s="3210" t="s">
        <v>304</v>
      </c>
      <c r="B191" s="3210" t="s">
        <v>133</v>
      </c>
      <c r="C191" s="3210">
        <v>9780</v>
      </c>
      <c r="D191" s="3210">
        <v>9710</v>
      </c>
      <c r="E191" s="3210">
        <v>12550</v>
      </c>
      <c r="F191" s="3210">
        <v>1980</v>
      </c>
      <c r="G191" s="3223">
        <v>6130</v>
      </c>
    </row>
    <row r="192" spans="1:7" s="3199" customFormat="1" ht="14.25" customHeight="1">
      <c r="A192" s="3210" t="s">
        <v>304</v>
      </c>
      <c r="B192" s="3210" t="s">
        <v>142</v>
      </c>
      <c r="C192" s="3210">
        <v>8180</v>
      </c>
      <c r="D192" s="3210">
        <v>8140</v>
      </c>
      <c r="E192" s="3210">
        <v>10870</v>
      </c>
      <c r="F192" s="3210">
        <v>1690</v>
      </c>
      <c r="G192" s="3223">
        <v>5140</v>
      </c>
    </row>
    <row r="193" spans="1:7" s="3199" customFormat="1" ht="14.25" customHeight="1">
      <c r="A193" s="3210" t="s">
        <v>304</v>
      </c>
      <c r="B193" s="3210" t="s">
        <v>151</v>
      </c>
      <c r="C193" s="3210">
        <v>8440</v>
      </c>
      <c r="D193" s="3210">
        <v>8390</v>
      </c>
      <c r="E193" s="3210">
        <v>11210</v>
      </c>
      <c r="F193" s="3210">
        <v>1600</v>
      </c>
      <c r="G193" s="3223">
        <v>5300</v>
      </c>
    </row>
    <row r="194" spans="1:7" s="3199" customFormat="1" ht="14.25" customHeight="1">
      <c r="A194" s="3210" t="s">
        <v>304</v>
      </c>
      <c r="B194" s="3210" t="s">
        <v>160</v>
      </c>
      <c r="C194" s="3210">
        <v>8780</v>
      </c>
      <c r="D194" s="3210">
        <v>8730</v>
      </c>
      <c r="E194" s="3210">
        <v>11550</v>
      </c>
      <c r="F194" s="3210">
        <v>1660</v>
      </c>
      <c r="G194" s="3223">
        <v>5520</v>
      </c>
    </row>
    <row r="195" spans="1:7" s="3199" customFormat="1" ht="14.25" customHeight="1">
      <c r="A195" s="3210" t="s">
        <v>304</v>
      </c>
      <c r="B195" s="3210" t="s">
        <v>167</v>
      </c>
      <c r="C195" s="3210">
        <v>8720</v>
      </c>
      <c r="D195" s="3210">
        <v>8670</v>
      </c>
      <c r="E195" s="3210">
        <v>11450</v>
      </c>
      <c r="F195" s="3210">
        <v>1720</v>
      </c>
      <c r="G195" s="3223">
        <v>5480</v>
      </c>
    </row>
    <row r="196" spans="1:7" s="3199" customFormat="1" ht="14.25" customHeight="1">
      <c r="A196" s="3210" t="s">
        <v>304</v>
      </c>
      <c r="B196" s="3210" t="s">
        <v>173</v>
      </c>
      <c r="C196" s="3210">
        <v>8460</v>
      </c>
      <c r="D196" s="3210">
        <v>8410</v>
      </c>
      <c r="E196" s="3210">
        <v>11230</v>
      </c>
      <c r="F196" s="3210">
        <v>1730</v>
      </c>
      <c r="G196" s="3223">
        <v>5310</v>
      </c>
    </row>
    <row r="197" spans="1:7" s="3199" customFormat="1" ht="14.25" customHeight="1">
      <c r="A197" s="3210" t="s">
        <v>304</v>
      </c>
      <c r="B197" s="3210" t="s">
        <v>180</v>
      </c>
      <c r="C197" s="3210">
        <v>8790</v>
      </c>
      <c r="D197" s="3210">
        <v>8730</v>
      </c>
      <c r="E197" s="3210">
        <v>11560</v>
      </c>
      <c r="F197" s="3210">
        <v>1750</v>
      </c>
      <c r="G197" s="3223">
        <v>5520</v>
      </c>
    </row>
    <row r="198" spans="1:7" s="3199" customFormat="1" ht="14.25" customHeight="1">
      <c r="A198" s="3210" t="s">
        <v>304</v>
      </c>
      <c r="B198" s="3210" t="s">
        <v>190</v>
      </c>
      <c r="C198" s="3210">
        <v>8720</v>
      </c>
      <c r="D198" s="3210">
        <v>8680</v>
      </c>
      <c r="E198" s="3210">
        <v>11470</v>
      </c>
      <c r="F198" s="3210"/>
      <c r="G198" s="3223">
        <v>5480</v>
      </c>
    </row>
    <row r="199" spans="1:7" s="3199" customFormat="1" ht="14.25" customHeight="1">
      <c r="A199" s="3210" t="s">
        <v>304</v>
      </c>
      <c r="B199" s="3210" t="s">
        <v>3072</v>
      </c>
      <c r="C199" s="3210">
        <v>8690</v>
      </c>
      <c r="D199" s="3210">
        <v>8630</v>
      </c>
      <c r="E199" s="3210">
        <v>11350</v>
      </c>
      <c r="F199" s="3210">
        <v>1600</v>
      </c>
      <c r="G199" s="3223">
        <v>5450</v>
      </c>
    </row>
    <row r="200" spans="1:7" s="3199" customFormat="1" ht="14.25" customHeight="1">
      <c r="A200" s="3210" t="s">
        <v>304</v>
      </c>
      <c r="B200" s="3210" t="s">
        <v>2883</v>
      </c>
      <c r="C200" s="3210"/>
      <c r="D200" s="3210"/>
      <c r="E200" s="3210"/>
      <c r="F200" s="3210">
        <v>1510</v>
      </c>
      <c r="G200" s="3223"/>
    </row>
    <row r="201" spans="1:7" s="3199" customFormat="1" ht="14.25" customHeight="1">
      <c r="A201" s="3210" t="s">
        <v>304</v>
      </c>
      <c r="B201" s="3210" t="s">
        <v>3073</v>
      </c>
      <c r="C201" s="3210">
        <v>8440</v>
      </c>
      <c r="D201" s="3210">
        <v>8390</v>
      </c>
      <c r="E201" s="3210">
        <v>10930</v>
      </c>
      <c r="F201" s="3210">
        <v>1500</v>
      </c>
      <c r="G201" s="3223">
        <v>5300</v>
      </c>
    </row>
    <row r="202" spans="1:7" s="3199" customFormat="1" ht="14.25" customHeight="1">
      <c r="A202" s="3210" t="s">
        <v>304</v>
      </c>
      <c r="B202" s="3210" t="s">
        <v>240</v>
      </c>
      <c r="C202" s="3210">
        <v>8530</v>
      </c>
      <c r="D202" s="3210">
        <v>8490</v>
      </c>
      <c r="E202" s="3210">
        <v>11160</v>
      </c>
      <c r="F202" s="3210">
        <v>1580</v>
      </c>
      <c r="G202" s="3223">
        <v>5360</v>
      </c>
    </row>
    <row r="203" spans="1:7" s="3199" customFormat="1" ht="14.25" customHeight="1">
      <c r="A203" s="3210" t="s">
        <v>304</v>
      </c>
      <c r="B203" s="3210" t="s">
        <v>3074</v>
      </c>
      <c r="C203" s="3210">
        <v>8130</v>
      </c>
      <c r="D203" s="3210">
        <v>8070</v>
      </c>
      <c r="E203" s="3210">
        <v>10820</v>
      </c>
      <c r="F203" s="3210">
        <v>1690</v>
      </c>
      <c r="G203" s="3223">
        <v>5100</v>
      </c>
    </row>
    <row r="204" spans="1:7" s="3199" customFormat="1" ht="14.25" customHeight="1">
      <c r="A204" s="3210" t="s">
        <v>304</v>
      </c>
      <c r="B204" s="3210" t="s">
        <v>2894</v>
      </c>
      <c r="C204" s="3210">
        <v>8350</v>
      </c>
      <c r="D204" s="3210">
        <v>8290</v>
      </c>
      <c r="E204" s="3210">
        <v>11080</v>
      </c>
      <c r="F204" s="3210">
        <v>1450</v>
      </c>
      <c r="G204" s="3223">
        <v>5240</v>
      </c>
    </row>
    <row r="205" spans="1:7" s="3199" customFormat="1" ht="14.25" customHeight="1">
      <c r="A205" s="3210" t="s">
        <v>304</v>
      </c>
      <c r="B205" s="3210" t="s">
        <v>2896</v>
      </c>
      <c r="C205" s="3210">
        <v>7190</v>
      </c>
      <c r="D205" s="3210">
        <v>7130</v>
      </c>
      <c r="E205" s="3210">
        <v>9490</v>
      </c>
      <c r="F205" s="3210">
        <v>1470</v>
      </c>
      <c r="G205" s="3223">
        <v>4510</v>
      </c>
    </row>
    <row r="206" spans="1:7" s="3199" customFormat="1" ht="14.25" customHeight="1">
      <c r="A206" s="3210" t="s">
        <v>304</v>
      </c>
      <c r="B206" s="3210" t="s">
        <v>2899</v>
      </c>
      <c r="C206" s="3210">
        <v>7000</v>
      </c>
      <c r="D206" s="3210">
        <v>6950</v>
      </c>
      <c r="E206" s="3210">
        <v>9170</v>
      </c>
      <c r="F206" s="3210">
        <v>1400</v>
      </c>
      <c r="G206" s="3223">
        <v>4380</v>
      </c>
    </row>
    <row r="207" spans="1:7" s="3199" customFormat="1" ht="14.25" customHeight="1">
      <c r="A207" s="3210" t="s">
        <v>304</v>
      </c>
      <c r="B207" s="3210" t="s">
        <v>2901</v>
      </c>
      <c r="C207" s="3210">
        <v>6950</v>
      </c>
      <c r="D207" s="3210">
        <v>6900</v>
      </c>
      <c r="E207" s="3210">
        <v>9110</v>
      </c>
      <c r="F207" s="3210">
        <v>1790</v>
      </c>
      <c r="G207" s="3223">
        <v>4360</v>
      </c>
    </row>
    <row r="208" spans="1:7" s="3199" customFormat="1" ht="14.25" customHeight="1">
      <c r="A208" s="3210" t="s">
        <v>304</v>
      </c>
      <c r="B208" s="3210" t="s">
        <v>3075</v>
      </c>
      <c r="C208" s="3210">
        <v>9470</v>
      </c>
      <c r="D208" s="3210">
        <v>9410</v>
      </c>
      <c r="E208" s="3210">
        <v>12330</v>
      </c>
      <c r="F208" s="3210">
        <v>1770</v>
      </c>
      <c r="G208" s="3223">
        <v>5940</v>
      </c>
    </row>
    <row r="209" spans="1:7" s="3199" customFormat="1" ht="14.25" customHeight="1">
      <c r="A209" s="3210" t="s">
        <v>304</v>
      </c>
      <c r="B209" s="3210" t="s">
        <v>264</v>
      </c>
      <c r="C209" s="3210">
        <v>8740</v>
      </c>
      <c r="D209" s="3210">
        <v>8700</v>
      </c>
      <c r="E209" s="3210">
        <v>11500</v>
      </c>
      <c r="F209" s="3210">
        <v>1730</v>
      </c>
      <c r="G209" s="3223">
        <v>5490</v>
      </c>
    </row>
    <row r="210" spans="1:7" s="3199" customFormat="1" ht="14.25" customHeight="1">
      <c r="A210" s="3210" t="s">
        <v>304</v>
      </c>
      <c r="B210" s="3210" t="s">
        <v>2911</v>
      </c>
      <c r="C210" s="3210">
        <v>8710</v>
      </c>
      <c r="D210" s="3210">
        <v>8660</v>
      </c>
      <c r="E210" s="3210">
        <v>11440</v>
      </c>
      <c r="F210" s="3210">
        <v>1740</v>
      </c>
      <c r="G210" s="3223">
        <v>5470</v>
      </c>
    </row>
    <row r="211" spans="1:7" s="3199" customFormat="1" ht="14.25" customHeight="1">
      <c r="A211" s="3210" t="s">
        <v>304</v>
      </c>
      <c r="B211" s="3210" t="s">
        <v>3076</v>
      </c>
      <c r="C211" s="3210">
        <v>9480</v>
      </c>
      <c r="D211" s="3210">
        <v>9430</v>
      </c>
      <c r="E211" s="3210">
        <v>12360</v>
      </c>
      <c r="F211" s="3210">
        <v>1820</v>
      </c>
      <c r="G211" s="3223">
        <v>5950</v>
      </c>
    </row>
    <row r="212" spans="1:7" s="3199" customFormat="1" ht="14.25" customHeight="1">
      <c r="A212" s="3210" t="s">
        <v>304</v>
      </c>
      <c r="B212" s="3210" t="s">
        <v>285</v>
      </c>
      <c r="C212" s="3210">
        <v>9070</v>
      </c>
      <c r="D212" s="3210">
        <v>9020</v>
      </c>
      <c r="E212" s="3210">
        <v>11720</v>
      </c>
      <c r="F212" s="3210">
        <v>1850</v>
      </c>
      <c r="G212" s="3223">
        <v>5700</v>
      </c>
    </row>
    <row r="213" spans="1:7" s="3199" customFormat="1" ht="14.25" customHeight="1">
      <c r="A213" s="3210" t="s">
        <v>304</v>
      </c>
      <c r="B213" s="3210" t="s">
        <v>288</v>
      </c>
      <c r="C213" s="3210">
        <v>9030</v>
      </c>
      <c r="D213" s="3210">
        <v>8980</v>
      </c>
      <c r="E213" s="3210">
        <v>11670</v>
      </c>
      <c r="F213" s="3210">
        <v>1690</v>
      </c>
      <c r="G213" s="3223">
        <v>5670</v>
      </c>
    </row>
    <row r="214" spans="1:7" s="3199" customFormat="1" ht="14.25" customHeight="1">
      <c r="A214" s="3210" t="s">
        <v>304</v>
      </c>
      <c r="B214" s="3210" t="s">
        <v>3077</v>
      </c>
      <c r="C214" s="3210">
        <v>8090</v>
      </c>
      <c r="D214" s="3210">
        <v>8030</v>
      </c>
      <c r="E214" s="3210">
        <v>10780</v>
      </c>
      <c r="F214" s="3210">
        <v>1570</v>
      </c>
      <c r="G214" s="3223">
        <v>5070</v>
      </c>
    </row>
    <row r="215" spans="1:7" s="3199" customFormat="1" ht="14.25" customHeight="1">
      <c r="A215" s="3210" t="s">
        <v>304</v>
      </c>
      <c r="B215" s="3210" t="s">
        <v>3078</v>
      </c>
      <c r="C215" s="3210">
        <v>7950</v>
      </c>
      <c r="D215" s="3210">
        <v>7900</v>
      </c>
      <c r="E215" s="3210">
        <v>10560</v>
      </c>
      <c r="F215" s="3210">
        <v>1630</v>
      </c>
      <c r="G215" s="3223">
        <v>4990</v>
      </c>
    </row>
    <row r="216" spans="1:7" s="3199" customFormat="1" ht="14.25" customHeight="1">
      <c r="A216" s="3210" t="s">
        <v>304</v>
      </c>
      <c r="B216" s="3210" t="s">
        <v>3079</v>
      </c>
      <c r="C216" s="3210">
        <v>8490</v>
      </c>
      <c r="D216" s="3210">
        <v>8440</v>
      </c>
      <c r="E216" s="3210">
        <v>11260</v>
      </c>
      <c r="F216" s="3210">
        <v>1690</v>
      </c>
      <c r="G216" s="3223">
        <v>5330</v>
      </c>
    </row>
    <row r="217" spans="1:7" s="3199" customFormat="1" ht="14.25" customHeight="1">
      <c r="A217" s="3210" t="s">
        <v>304</v>
      </c>
      <c r="B217" s="3210" t="s">
        <v>2944</v>
      </c>
      <c r="C217" s="3210">
        <v>8200</v>
      </c>
      <c r="D217" s="3210">
        <v>8150</v>
      </c>
      <c r="E217" s="3210">
        <v>10910</v>
      </c>
      <c r="F217" s="3210">
        <v>1670</v>
      </c>
      <c r="G217" s="3223">
        <v>5150</v>
      </c>
    </row>
    <row r="218" spans="1:7" s="3199" customFormat="1" ht="14.25" customHeight="1">
      <c r="A218" s="3210" t="s">
        <v>304</v>
      </c>
      <c r="B218" s="3210" t="s">
        <v>3080</v>
      </c>
      <c r="C218" s="3210"/>
      <c r="D218" s="3210"/>
      <c r="E218" s="3210"/>
      <c r="F218" s="3210">
        <v>2040</v>
      </c>
      <c r="G218" s="3223"/>
    </row>
    <row r="219" spans="1:7" s="3199" customFormat="1" ht="14.25" customHeight="1">
      <c r="A219" s="3210" t="s">
        <v>304</v>
      </c>
      <c r="B219" s="3210" t="s">
        <v>3081</v>
      </c>
      <c r="C219" s="3210"/>
      <c r="D219" s="3210"/>
      <c r="E219" s="3210"/>
      <c r="F219" s="3210">
        <v>2040</v>
      </c>
      <c r="G219" s="3223"/>
    </row>
    <row r="220" spans="1:7" s="3199" customFormat="1" ht="14.25" customHeight="1">
      <c r="A220" s="3210" t="s">
        <v>304</v>
      </c>
      <c r="B220" s="3210" t="s">
        <v>3082</v>
      </c>
      <c r="C220" s="3210"/>
      <c r="D220" s="3210"/>
      <c r="E220" s="3210"/>
      <c r="F220" s="3210">
        <v>2040</v>
      </c>
      <c r="G220" s="3223"/>
    </row>
    <row r="221" spans="1:7" s="3199" customFormat="1" ht="14.25" customHeight="1">
      <c r="A221" s="3210" t="s">
        <v>304</v>
      </c>
      <c r="B221" s="3210" t="s">
        <v>3083</v>
      </c>
      <c r="C221" s="3210"/>
      <c r="D221" s="3210"/>
      <c r="E221" s="3210"/>
      <c r="F221" s="3210">
        <v>2040</v>
      </c>
      <c r="G221" s="3223"/>
    </row>
    <row r="222" spans="1:7" s="3199" customFormat="1" ht="14.25" customHeight="1">
      <c r="A222" s="3210" t="s">
        <v>304</v>
      </c>
      <c r="B222" s="3210" t="s">
        <v>3084</v>
      </c>
      <c r="C222" s="3210"/>
      <c r="D222" s="3210"/>
      <c r="E222" s="3210"/>
      <c r="F222" s="3210">
        <v>2040</v>
      </c>
      <c r="G222" s="3223"/>
    </row>
    <row r="223" spans="1:7" s="3199" customFormat="1" ht="14.25" customHeight="1">
      <c r="A223" s="3210" t="s">
        <v>304</v>
      </c>
      <c r="B223" s="3210" t="s">
        <v>3085</v>
      </c>
      <c r="C223" s="3210"/>
      <c r="D223" s="3210"/>
      <c r="E223" s="3210"/>
      <c r="F223" s="3210">
        <v>1930</v>
      </c>
      <c r="G223" s="3223"/>
    </row>
    <row r="224" spans="1:7" s="3199" customFormat="1" ht="14.25" customHeight="1">
      <c r="A224" s="3210" t="s">
        <v>304</v>
      </c>
      <c r="B224" s="3210" t="s">
        <v>3086</v>
      </c>
      <c r="C224" s="3210"/>
      <c r="D224" s="3210"/>
      <c r="E224" s="3210"/>
      <c r="F224" s="3210">
        <v>1930</v>
      </c>
      <c r="G224" s="3223"/>
    </row>
    <row r="225" spans="1:7" s="3199" customFormat="1" ht="14.25" customHeight="1">
      <c r="A225" s="3210" t="s">
        <v>304</v>
      </c>
      <c r="B225" s="3210" t="s">
        <v>3087</v>
      </c>
      <c r="C225" s="3210"/>
      <c r="D225" s="3210"/>
      <c r="E225" s="3210"/>
      <c r="F225" s="3210">
        <v>1930</v>
      </c>
      <c r="G225" s="3223"/>
    </row>
    <row r="226" spans="1:7" s="3199" customFormat="1" ht="14.25" customHeight="1">
      <c r="A226" s="3210" t="s">
        <v>304</v>
      </c>
      <c r="B226" s="3210" t="s">
        <v>3088</v>
      </c>
      <c r="C226" s="3210"/>
      <c r="D226" s="3210"/>
      <c r="E226" s="3210"/>
      <c r="F226" s="3210">
        <v>1700</v>
      </c>
      <c r="G226" s="3223"/>
    </row>
    <row r="227" spans="1:7" s="3199" customFormat="1" ht="14.25" customHeight="1">
      <c r="A227" s="3210" t="s">
        <v>304</v>
      </c>
      <c r="B227" s="3210" t="s">
        <v>3089</v>
      </c>
      <c r="C227" s="3210"/>
      <c r="D227" s="3210"/>
      <c r="E227" s="3210"/>
      <c r="F227" s="3210">
        <v>1520</v>
      </c>
      <c r="G227" s="3223"/>
    </row>
    <row r="228" spans="1:7" s="3199" customFormat="1" ht="14.25" customHeight="1">
      <c r="A228" s="3210" t="s">
        <v>304</v>
      </c>
      <c r="B228" s="3210" t="s">
        <v>3090</v>
      </c>
      <c r="C228" s="3210"/>
      <c r="D228" s="3210"/>
      <c r="E228" s="3210"/>
      <c r="F228" s="3210">
        <v>1520</v>
      </c>
      <c r="G228" s="3223"/>
    </row>
    <row r="229" spans="1:7" s="3199" customFormat="1" ht="14.25" customHeight="1">
      <c r="A229" s="3210" t="s">
        <v>304</v>
      </c>
      <c r="B229" s="3210" t="s">
        <v>3007</v>
      </c>
      <c r="C229" s="3210"/>
      <c r="D229" s="3210"/>
      <c r="E229" s="3210"/>
      <c r="F229" s="3210">
        <v>1520</v>
      </c>
      <c r="G229" s="3223"/>
    </row>
    <row r="230" spans="1:7" s="3199" customFormat="1" ht="14.25" customHeight="1">
      <c r="A230" s="3210" t="s">
        <v>304</v>
      </c>
      <c r="B230" s="3210" t="s">
        <v>3091</v>
      </c>
      <c r="C230" s="3210"/>
      <c r="D230" s="3210"/>
      <c r="E230" s="3210"/>
      <c r="F230" s="3210">
        <v>1820</v>
      </c>
      <c r="G230" s="3223"/>
    </row>
    <row r="231" spans="1:7" s="3199" customFormat="1" ht="14.25" customHeight="1">
      <c r="A231" s="3210" t="s">
        <v>304</v>
      </c>
      <c r="B231" s="3210" t="s">
        <v>3092</v>
      </c>
      <c r="C231" s="3210"/>
      <c r="D231" s="3210"/>
      <c r="E231" s="3210"/>
      <c r="F231" s="3210">
        <v>1760</v>
      </c>
      <c r="G231" s="3223"/>
    </row>
    <row r="232" spans="1:7" s="3199" customFormat="1" ht="14.25" customHeight="1">
      <c r="A232" s="3210" t="s">
        <v>304</v>
      </c>
      <c r="B232" s="3210" t="s">
        <v>3093</v>
      </c>
      <c r="C232" s="3210"/>
      <c r="D232" s="3210"/>
      <c r="E232" s="3210"/>
      <c r="F232" s="3210">
        <v>1840</v>
      </c>
      <c r="G232" s="3223"/>
    </row>
    <row r="233" spans="1:7" s="3199" customFormat="1" ht="14.25" customHeight="1" thickBot="1">
      <c r="A233" s="3224" t="s">
        <v>304</v>
      </c>
      <c r="B233" s="3217" t="s">
        <v>3024</v>
      </c>
      <c r="C233" s="3217"/>
      <c r="D233" s="3217"/>
      <c r="E233" s="3217"/>
      <c r="F233" s="3217">
        <v>1770</v>
      </c>
      <c r="G233" s="3225"/>
    </row>
    <row r="234" spans="1:7" s="3199" customFormat="1" ht="14.25" customHeight="1">
      <c r="A234" s="3215" t="s">
        <v>305</v>
      </c>
      <c r="B234" s="3206" t="s">
        <v>3094</v>
      </c>
      <c r="C234" s="3210">
        <v>6980</v>
      </c>
      <c r="D234" s="3210">
        <v>6970</v>
      </c>
      <c r="E234" s="3210">
        <v>8720</v>
      </c>
      <c r="F234" s="3210">
        <v>1350</v>
      </c>
      <c r="G234" s="3210">
        <v>4280</v>
      </c>
    </row>
    <row r="235" spans="1:7" s="3199" customFormat="1" ht="14.25" customHeight="1">
      <c r="A235" s="3210" t="s">
        <v>305</v>
      </c>
      <c r="B235" s="3210" t="s">
        <v>134</v>
      </c>
      <c r="C235" s="3210">
        <v>7620</v>
      </c>
      <c r="D235" s="3210">
        <v>7580</v>
      </c>
      <c r="E235" s="3210">
        <v>9360</v>
      </c>
      <c r="F235" s="3210">
        <v>1490</v>
      </c>
      <c r="G235" s="3210">
        <v>4650</v>
      </c>
    </row>
    <row r="236" spans="1:7" s="3199" customFormat="1" ht="14.25" customHeight="1">
      <c r="A236" s="3210" t="s">
        <v>305</v>
      </c>
      <c r="B236" s="3210" t="s">
        <v>143</v>
      </c>
      <c r="C236" s="3210">
        <v>6650</v>
      </c>
      <c r="D236" s="3210">
        <v>6630</v>
      </c>
      <c r="E236" s="3210">
        <v>8330</v>
      </c>
      <c r="F236" s="3210">
        <v>1250</v>
      </c>
      <c r="G236" s="3210">
        <v>4070</v>
      </c>
    </row>
    <row r="237" spans="1:7" s="3199" customFormat="1" ht="14.25" customHeight="1">
      <c r="A237" s="3210" t="s">
        <v>305</v>
      </c>
      <c r="B237" s="3210" t="s">
        <v>152</v>
      </c>
      <c r="C237" s="3210">
        <v>5850</v>
      </c>
      <c r="D237" s="3210">
        <v>5820</v>
      </c>
      <c r="E237" s="3210">
        <v>7260</v>
      </c>
      <c r="F237" s="3210">
        <v>1140</v>
      </c>
      <c r="G237" s="3210">
        <v>3570</v>
      </c>
    </row>
    <row r="238" spans="1:7" s="3199" customFormat="1" ht="14.25" customHeight="1">
      <c r="A238" s="3210" t="s">
        <v>305</v>
      </c>
      <c r="B238" s="3210" t="s">
        <v>2865</v>
      </c>
      <c r="C238" s="3210">
        <v>6920</v>
      </c>
      <c r="D238" s="3210">
        <v>6890</v>
      </c>
      <c r="E238" s="3210">
        <v>8640</v>
      </c>
      <c r="F238" s="3210">
        <v>1310</v>
      </c>
      <c r="G238" s="3210">
        <v>4230</v>
      </c>
    </row>
    <row r="239" spans="1:7" s="3199" customFormat="1" ht="14.25" customHeight="1">
      <c r="A239" s="3210" t="s">
        <v>305</v>
      </c>
      <c r="B239" s="3210" t="s">
        <v>3095</v>
      </c>
      <c r="C239" s="3210">
        <v>6780</v>
      </c>
      <c r="D239" s="3210">
        <v>6750</v>
      </c>
      <c r="E239" s="3210">
        <v>8440</v>
      </c>
      <c r="F239" s="3210">
        <v>1160</v>
      </c>
      <c r="G239" s="3210">
        <v>4140</v>
      </c>
    </row>
    <row r="240" spans="1:7" s="3199" customFormat="1" ht="14.25" customHeight="1">
      <c r="A240" s="3210" t="s">
        <v>305</v>
      </c>
      <c r="B240" s="3210" t="s">
        <v>3096</v>
      </c>
      <c r="C240" s="3210">
        <v>5420</v>
      </c>
      <c r="D240" s="3210">
        <v>5380</v>
      </c>
      <c r="E240" s="3210">
        <v>6640</v>
      </c>
      <c r="F240" s="3210">
        <v>1020</v>
      </c>
      <c r="G240" s="3210">
        <v>3300</v>
      </c>
    </row>
    <row r="241" spans="1:7" s="3199" customFormat="1" ht="14.25" customHeight="1">
      <c r="A241" s="3210" t="s">
        <v>305</v>
      </c>
      <c r="B241" s="3210" t="s">
        <v>3097</v>
      </c>
      <c r="C241" s="3210">
        <v>6660</v>
      </c>
      <c r="D241" s="3210">
        <v>6640</v>
      </c>
      <c r="E241" s="3210">
        <v>8340</v>
      </c>
      <c r="F241" s="3210">
        <v>1130</v>
      </c>
      <c r="G241" s="3210">
        <v>4080</v>
      </c>
    </row>
    <row r="242" spans="1:7" s="3199" customFormat="1" ht="14.25" customHeight="1">
      <c r="A242" s="3210" t="s">
        <v>305</v>
      </c>
      <c r="B242" s="3210" t="s">
        <v>181</v>
      </c>
      <c r="C242" s="3210">
        <v>6580</v>
      </c>
      <c r="D242" s="3210">
        <v>6550</v>
      </c>
      <c r="E242" s="3210">
        <v>8090</v>
      </c>
      <c r="F242" s="3210">
        <v>1240</v>
      </c>
      <c r="G242" s="3210">
        <v>4020</v>
      </c>
    </row>
    <row r="243" spans="1:7" s="3199" customFormat="1" ht="14.25" customHeight="1">
      <c r="A243" s="3210" t="s">
        <v>305</v>
      </c>
      <c r="B243" s="3210" t="s">
        <v>191</v>
      </c>
      <c r="C243" s="3210">
        <v>6000</v>
      </c>
      <c r="D243" s="3210">
        <v>5970</v>
      </c>
      <c r="E243" s="3210">
        <v>7370</v>
      </c>
      <c r="F243" s="3210">
        <v>1070</v>
      </c>
      <c r="G243" s="3210">
        <v>3670</v>
      </c>
    </row>
    <row r="244" spans="1:7" s="3199" customFormat="1" ht="14.25" customHeight="1">
      <c r="A244" s="3210" t="s">
        <v>305</v>
      </c>
      <c r="B244" s="3210" t="s">
        <v>3098</v>
      </c>
      <c r="C244" s="3210">
        <v>5840</v>
      </c>
      <c r="D244" s="3210">
        <v>5810</v>
      </c>
      <c r="E244" s="3210">
        <v>7240</v>
      </c>
      <c r="F244" s="3210">
        <v>1100</v>
      </c>
      <c r="G244" s="3210">
        <v>3560</v>
      </c>
    </row>
    <row r="245" spans="1:7" s="3199" customFormat="1" ht="14.25" customHeight="1">
      <c r="A245" s="3210" t="s">
        <v>305</v>
      </c>
      <c r="B245" s="3210" t="s">
        <v>206</v>
      </c>
      <c r="C245" s="3210">
        <v>6040</v>
      </c>
      <c r="D245" s="3210">
        <v>6000</v>
      </c>
      <c r="E245" s="3210">
        <v>7420</v>
      </c>
      <c r="F245" s="3210">
        <v>1140</v>
      </c>
      <c r="G245" s="3210">
        <v>3690</v>
      </c>
    </row>
    <row r="246" spans="1:7" s="3199" customFormat="1" ht="14.25" customHeight="1">
      <c r="A246" s="3210" t="s">
        <v>305</v>
      </c>
      <c r="B246" s="3210" t="s">
        <v>213</v>
      </c>
      <c r="C246" s="3210">
        <v>5890</v>
      </c>
      <c r="D246" s="3210">
        <v>5860</v>
      </c>
      <c r="E246" s="3210">
        <v>7300</v>
      </c>
      <c r="F246" s="3210">
        <v>1110</v>
      </c>
      <c r="G246" s="3210">
        <v>3590</v>
      </c>
    </row>
    <row r="247" spans="1:7" s="3199" customFormat="1" ht="14.25" customHeight="1">
      <c r="A247" s="3210" t="s">
        <v>305</v>
      </c>
      <c r="B247" s="3210" t="s">
        <v>3099</v>
      </c>
      <c r="C247" s="3210">
        <v>6480</v>
      </c>
      <c r="D247" s="3210">
        <v>6450</v>
      </c>
      <c r="E247" s="3210">
        <v>8010</v>
      </c>
      <c r="F247" s="3210">
        <v>1170</v>
      </c>
      <c r="G247" s="3210">
        <v>3960</v>
      </c>
    </row>
    <row r="248" spans="1:7" s="3199" customFormat="1" ht="14.25" customHeight="1">
      <c r="A248" s="3210" t="s">
        <v>305</v>
      </c>
      <c r="B248" s="3210" t="s">
        <v>227</v>
      </c>
      <c r="C248" s="3210">
        <v>6860</v>
      </c>
      <c r="D248" s="3210">
        <v>6840</v>
      </c>
      <c r="E248" s="3210">
        <v>8520</v>
      </c>
      <c r="F248" s="3210">
        <v>1240</v>
      </c>
      <c r="G248" s="3210">
        <v>4200</v>
      </c>
    </row>
    <row r="249" spans="1:7" s="3199" customFormat="1" ht="14.25" customHeight="1">
      <c r="A249" s="3210" t="s">
        <v>305</v>
      </c>
      <c r="B249" s="3210" t="s">
        <v>3100</v>
      </c>
      <c r="C249" s="3210">
        <v>7180</v>
      </c>
      <c r="D249" s="3210">
        <v>7140</v>
      </c>
      <c r="E249" s="3210">
        <v>8900</v>
      </c>
      <c r="F249" s="3210">
        <v>1350</v>
      </c>
      <c r="G249" s="3210">
        <v>4380</v>
      </c>
    </row>
    <row r="250" spans="1:7" s="3199" customFormat="1" ht="14.25" customHeight="1">
      <c r="A250" s="3210" t="s">
        <v>305</v>
      </c>
      <c r="B250" s="3210" t="s">
        <v>241</v>
      </c>
      <c r="C250" s="3210">
        <v>6880</v>
      </c>
      <c r="D250" s="3210">
        <v>6860</v>
      </c>
      <c r="E250" s="3210">
        <v>8550</v>
      </c>
      <c r="F250" s="3210">
        <v>1220</v>
      </c>
      <c r="G250" s="3210">
        <v>4210</v>
      </c>
    </row>
    <row r="251" spans="1:7" s="3199" customFormat="1" ht="14.25" customHeight="1">
      <c r="A251" s="3210" t="s">
        <v>305</v>
      </c>
      <c r="B251" s="3210" t="s">
        <v>249</v>
      </c>
      <c r="C251" s="3210"/>
      <c r="D251" s="3210"/>
      <c r="E251" s="3210"/>
      <c r="F251" s="3210">
        <v>1100</v>
      </c>
      <c r="G251" s="3210"/>
    </row>
    <row r="252" spans="1:7" s="3199" customFormat="1" ht="14.25" customHeight="1">
      <c r="A252" s="3210" t="s">
        <v>305</v>
      </c>
      <c r="B252" s="3210" t="s">
        <v>3101</v>
      </c>
      <c r="C252" s="3210">
        <v>7240</v>
      </c>
      <c r="D252" s="3210">
        <v>7200</v>
      </c>
      <c r="E252" s="3210">
        <v>9040</v>
      </c>
      <c r="F252" s="3210">
        <v>1380</v>
      </c>
      <c r="G252" s="3210">
        <v>4420</v>
      </c>
    </row>
    <row r="253" spans="1:7" s="3199" customFormat="1" ht="14.25" customHeight="1">
      <c r="A253" s="3210" t="s">
        <v>305</v>
      </c>
      <c r="B253" s="3210" t="s">
        <v>283</v>
      </c>
      <c r="C253" s="3210">
        <v>6670</v>
      </c>
      <c r="D253" s="3210">
        <v>6650</v>
      </c>
      <c r="E253" s="3210">
        <v>8350</v>
      </c>
      <c r="F253" s="3210">
        <v>1260</v>
      </c>
      <c r="G253" s="3210">
        <v>4080</v>
      </c>
    </row>
    <row r="254" spans="1:7" s="3199" customFormat="1" ht="14.25" customHeight="1">
      <c r="A254" s="3210" t="s">
        <v>305</v>
      </c>
      <c r="B254" s="3210" t="s">
        <v>286</v>
      </c>
      <c r="C254" s="3210">
        <v>7630</v>
      </c>
      <c r="D254" s="3210">
        <v>7590</v>
      </c>
      <c r="E254" s="3210">
        <v>9380</v>
      </c>
      <c r="F254" s="3210">
        <v>1320</v>
      </c>
      <c r="G254" s="3210">
        <v>4660</v>
      </c>
    </row>
    <row r="255" spans="1:7" s="3199" customFormat="1" ht="14.25" customHeight="1">
      <c r="A255" s="3210" t="s">
        <v>305</v>
      </c>
      <c r="B255" s="3210" t="s">
        <v>289</v>
      </c>
      <c r="C255" s="3210">
        <v>6940</v>
      </c>
      <c r="D255" s="3210">
        <v>6890</v>
      </c>
      <c r="E255" s="3210">
        <v>8650</v>
      </c>
      <c r="F255" s="3210">
        <v>1210</v>
      </c>
      <c r="G255" s="3210">
        <v>4230</v>
      </c>
    </row>
    <row r="256" spans="1:7" s="3199" customFormat="1" ht="14.25" customHeight="1">
      <c r="A256" s="3210" t="s">
        <v>305</v>
      </c>
      <c r="B256" s="3210" t="s">
        <v>3102</v>
      </c>
      <c r="C256" s="3210">
        <v>7520</v>
      </c>
      <c r="D256" s="3210">
        <v>7490</v>
      </c>
      <c r="E256" s="3210">
        <v>9240</v>
      </c>
      <c r="F256" s="3210">
        <v>1270</v>
      </c>
      <c r="G256" s="3210">
        <v>4590</v>
      </c>
    </row>
    <row r="257" spans="1:7" s="3199" customFormat="1" ht="14.25" customHeight="1">
      <c r="A257" s="3210" t="s">
        <v>305</v>
      </c>
      <c r="B257" s="3210" t="s">
        <v>275</v>
      </c>
      <c r="C257" s="3210">
        <v>6280</v>
      </c>
      <c r="D257" s="3210">
        <v>6230</v>
      </c>
      <c r="E257" s="3210">
        <v>7740</v>
      </c>
      <c r="F257" s="3210">
        <v>1080</v>
      </c>
      <c r="G257" s="3210">
        <v>3830</v>
      </c>
    </row>
    <row r="258" spans="1:7" s="3199" customFormat="1" ht="14.25" customHeight="1">
      <c r="A258" s="3210" t="s">
        <v>305</v>
      </c>
      <c r="B258" s="3210" t="s">
        <v>2927</v>
      </c>
      <c r="C258" s="3210">
        <v>6190</v>
      </c>
      <c r="D258" s="3210">
        <v>6160</v>
      </c>
      <c r="E258" s="3210">
        <v>7680</v>
      </c>
      <c r="F258" s="3210">
        <v>1170</v>
      </c>
      <c r="G258" s="3210">
        <v>3780</v>
      </c>
    </row>
    <row r="259" spans="1:7" s="3199" customFormat="1" ht="14.25" customHeight="1">
      <c r="A259" s="3210" t="s">
        <v>305</v>
      </c>
      <c r="B259" s="3210" t="s">
        <v>3103</v>
      </c>
      <c r="C259" s="3210">
        <v>7610</v>
      </c>
      <c r="D259" s="3210">
        <v>7570</v>
      </c>
      <c r="E259" s="3210">
        <v>9350</v>
      </c>
      <c r="F259" s="3210">
        <v>1350</v>
      </c>
      <c r="G259" s="3210">
        <v>4650</v>
      </c>
    </row>
    <row r="260" spans="1:7" s="3199" customFormat="1" ht="14.25" customHeight="1">
      <c r="A260" s="3210" t="s">
        <v>305</v>
      </c>
      <c r="B260" s="3210" t="s">
        <v>3104</v>
      </c>
      <c r="C260" s="3210">
        <v>6920</v>
      </c>
      <c r="D260" s="3210">
        <v>6880</v>
      </c>
      <c r="E260" s="3210">
        <v>8380</v>
      </c>
      <c r="F260" s="3210">
        <v>1160</v>
      </c>
      <c r="G260" s="3210">
        <v>4220</v>
      </c>
    </row>
    <row r="261" spans="1:7" s="3199" customFormat="1" ht="14.25" customHeight="1">
      <c r="A261" s="3210" t="s">
        <v>305</v>
      </c>
      <c r="B261" s="3210" t="s">
        <v>3105</v>
      </c>
      <c r="C261" s="3210">
        <v>6850</v>
      </c>
      <c r="D261" s="3210">
        <v>6810</v>
      </c>
      <c r="E261" s="3210">
        <v>8290</v>
      </c>
      <c r="F261" s="3210">
        <v>1130</v>
      </c>
      <c r="G261" s="3210">
        <v>4180</v>
      </c>
    </row>
    <row r="262" spans="1:7" s="3199" customFormat="1" ht="14.25" customHeight="1">
      <c r="A262" s="3210" t="s">
        <v>305</v>
      </c>
      <c r="B262" s="3210" t="s">
        <v>3106</v>
      </c>
      <c r="C262" s="3210">
        <v>5860</v>
      </c>
      <c r="D262" s="3210">
        <v>5820</v>
      </c>
      <c r="E262" s="3210">
        <v>7640</v>
      </c>
      <c r="F262" s="3210">
        <v>1070</v>
      </c>
      <c r="G262" s="3210">
        <v>3570</v>
      </c>
    </row>
    <row r="263" spans="1:7" s="3199" customFormat="1" ht="14.25" customHeight="1">
      <c r="A263" s="3210" t="s">
        <v>305</v>
      </c>
      <c r="B263" s="3210" t="s">
        <v>3107</v>
      </c>
      <c r="C263" s="3210">
        <v>5870</v>
      </c>
      <c r="D263" s="3210">
        <v>5840</v>
      </c>
      <c r="E263" s="3210">
        <v>7270</v>
      </c>
      <c r="F263" s="3210">
        <v>1190</v>
      </c>
      <c r="G263" s="3210">
        <v>3580</v>
      </c>
    </row>
    <row r="264" spans="1:7" s="3199" customFormat="1" ht="14.25" customHeight="1">
      <c r="A264" s="3210" t="s">
        <v>305</v>
      </c>
      <c r="B264" s="3210" t="s">
        <v>299</v>
      </c>
      <c r="C264" s="3210">
        <v>6190</v>
      </c>
      <c r="D264" s="3210">
        <v>6150</v>
      </c>
      <c r="E264" s="3210">
        <v>7660</v>
      </c>
      <c r="F264" s="3210">
        <v>1160</v>
      </c>
      <c r="G264" s="3210">
        <v>3770</v>
      </c>
    </row>
    <row r="265" spans="1:7" s="3199" customFormat="1" ht="14.25" customHeight="1">
      <c r="A265" s="3210" t="s">
        <v>305</v>
      </c>
      <c r="B265" s="3210" t="s">
        <v>3108</v>
      </c>
      <c r="C265" s="3210"/>
      <c r="D265" s="3210"/>
      <c r="E265" s="3210"/>
      <c r="F265" s="3210">
        <v>1500</v>
      </c>
      <c r="G265" s="3210"/>
    </row>
    <row r="266" spans="1:7" s="3199" customFormat="1" ht="14.25" customHeight="1">
      <c r="A266" s="3210" t="s">
        <v>305</v>
      </c>
      <c r="B266" s="3210" t="s">
        <v>3109</v>
      </c>
      <c r="C266" s="3210"/>
      <c r="D266" s="3210"/>
      <c r="E266" s="3210"/>
      <c r="F266" s="3210">
        <v>1500</v>
      </c>
      <c r="G266" s="3210"/>
    </row>
    <row r="267" spans="1:7" s="3199" customFormat="1" ht="14.25" customHeight="1">
      <c r="A267" s="3210" t="s">
        <v>305</v>
      </c>
      <c r="B267" s="3210" t="s">
        <v>3110</v>
      </c>
      <c r="C267" s="3210"/>
      <c r="D267" s="3210"/>
      <c r="E267" s="3210"/>
      <c r="F267" s="3210">
        <v>1500</v>
      </c>
      <c r="G267" s="3210"/>
    </row>
    <row r="268" spans="1:7" s="3199" customFormat="1" ht="14.25" customHeight="1">
      <c r="A268" s="3210" t="s">
        <v>305</v>
      </c>
      <c r="B268" s="3210" t="s">
        <v>3111</v>
      </c>
      <c r="C268" s="3210"/>
      <c r="D268" s="3210"/>
      <c r="E268" s="3210"/>
      <c r="F268" s="3210">
        <v>1290</v>
      </c>
      <c r="G268" s="3210"/>
    </row>
    <row r="269" spans="1:7" s="3199" customFormat="1" ht="14.25" customHeight="1">
      <c r="A269" s="3210" t="s">
        <v>305</v>
      </c>
      <c r="B269" s="3210" t="s">
        <v>3112</v>
      </c>
      <c r="C269" s="3210"/>
      <c r="D269" s="3210"/>
      <c r="E269" s="3210"/>
      <c r="F269" s="3210">
        <v>1150</v>
      </c>
      <c r="G269" s="3210"/>
    </row>
    <row r="270" spans="1:7" s="3199" customFormat="1" ht="14.25" customHeight="1">
      <c r="A270" s="3210" t="s">
        <v>305</v>
      </c>
      <c r="B270" s="3210" t="s">
        <v>3113</v>
      </c>
      <c r="C270" s="3210"/>
      <c r="D270" s="3210"/>
      <c r="E270" s="3210"/>
      <c r="F270" s="3210">
        <v>1380</v>
      </c>
      <c r="G270" s="3210"/>
    </row>
    <row r="271" spans="1:7" s="3199" customFormat="1" ht="14.25" customHeight="1">
      <c r="A271" s="3210" t="s">
        <v>305</v>
      </c>
      <c r="B271" s="3210" t="s">
        <v>3114</v>
      </c>
      <c r="C271" s="3210"/>
      <c r="D271" s="3210"/>
      <c r="E271" s="3210"/>
      <c r="F271" s="3210">
        <v>1460</v>
      </c>
      <c r="G271" s="3210"/>
    </row>
    <row r="272" spans="1:7" s="3199" customFormat="1" ht="14.25" customHeight="1">
      <c r="A272" s="3210" t="s">
        <v>305</v>
      </c>
      <c r="B272" s="3210" t="s">
        <v>3115</v>
      </c>
      <c r="C272" s="3210"/>
      <c r="D272" s="3210"/>
      <c r="E272" s="3210"/>
      <c r="F272" s="3210">
        <v>1460</v>
      </c>
      <c r="G272" s="3210"/>
    </row>
    <row r="273" spans="1:7" s="3199" customFormat="1" ht="14.25" customHeight="1">
      <c r="A273" s="3210" t="s">
        <v>305</v>
      </c>
      <c r="B273" s="3210" t="s">
        <v>3008</v>
      </c>
      <c r="C273" s="3210"/>
      <c r="D273" s="3210"/>
      <c r="E273" s="3210"/>
      <c r="F273" s="3210">
        <v>1490</v>
      </c>
      <c r="G273" s="3210"/>
    </row>
    <row r="274" spans="1:7" s="3199" customFormat="1" ht="14.25" customHeight="1">
      <c r="A274" s="3210" t="s">
        <v>305</v>
      </c>
      <c r="B274" s="3210" t="s">
        <v>3116</v>
      </c>
      <c r="C274" s="3210"/>
      <c r="D274" s="3210"/>
      <c r="E274" s="3210"/>
      <c r="F274" s="3210">
        <v>1490</v>
      </c>
      <c r="G274" s="3210"/>
    </row>
    <row r="275" spans="1:7" s="3199" customFormat="1" ht="14.25" customHeight="1">
      <c r="A275" s="3210" t="s">
        <v>305</v>
      </c>
      <c r="B275" s="3210" t="s">
        <v>3117</v>
      </c>
      <c r="C275" s="3210"/>
      <c r="D275" s="3210"/>
      <c r="E275" s="3210"/>
      <c r="F275" s="3210">
        <v>1220</v>
      </c>
      <c r="G275" s="3210"/>
    </row>
    <row r="276" spans="1:7" s="3199" customFormat="1" ht="14.25" customHeight="1" thickBot="1">
      <c r="A276" s="3218" t="s">
        <v>305</v>
      </c>
      <c r="B276" s="3220" t="s">
        <v>3118</v>
      </c>
      <c r="C276" s="3221"/>
      <c r="D276" s="3221"/>
      <c r="E276" s="3221"/>
      <c r="F276" s="3221">
        <v>1380</v>
      </c>
      <c r="G276" s="3221"/>
    </row>
    <row r="277" spans="1:7" s="3199" customFormat="1" ht="14.25" customHeight="1">
      <c r="A277" s="3215" t="s">
        <v>306</v>
      </c>
      <c r="B277" s="3206" t="s">
        <v>3119</v>
      </c>
      <c r="C277" s="3206">
        <v>5790</v>
      </c>
      <c r="D277" s="3206">
        <v>5740</v>
      </c>
      <c r="E277" s="3206">
        <v>6730</v>
      </c>
      <c r="F277" s="3206">
        <v>1110</v>
      </c>
      <c r="G277" s="3222">
        <v>3460</v>
      </c>
    </row>
    <row r="278" spans="1:7" s="3199" customFormat="1" ht="14.25" customHeight="1">
      <c r="A278" s="3210" t="s">
        <v>306</v>
      </c>
      <c r="B278" s="3210" t="s">
        <v>135</v>
      </c>
      <c r="C278" s="3210">
        <v>5740</v>
      </c>
      <c r="D278" s="3210">
        <v>5670</v>
      </c>
      <c r="E278" s="3210">
        <v>6680</v>
      </c>
      <c r="F278" s="3210">
        <v>1070</v>
      </c>
      <c r="G278" s="3223">
        <v>3420</v>
      </c>
    </row>
    <row r="279" spans="1:7" s="3199" customFormat="1" ht="14.25" customHeight="1">
      <c r="A279" s="3210" t="s">
        <v>306</v>
      </c>
      <c r="B279" s="3210" t="s">
        <v>3120</v>
      </c>
      <c r="C279" s="3210">
        <v>4760</v>
      </c>
      <c r="D279" s="3210">
        <v>4720</v>
      </c>
      <c r="E279" s="3210">
        <v>5540</v>
      </c>
      <c r="F279" s="3210">
        <v>810</v>
      </c>
      <c r="G279" s="3223">
        <v>2850</v>
      </c>
    </row>
    <row r="280" spans="1:7" s="3199" customFormat="1" ht="14.25" customHeight="1">
      <c r="A280" s="3210" t="s">
        <v>306</v>
      </c>
      <c r="B280" s="3210" t="s">
        <v>3121</v>
      </c>
      <c r="C280" s="3210">
        <v>4010</v>
      </c>
      <c r="D280" s="3210">
        <v>3950</v>
      </c>
      <c r="E280" s="3210">
        <v>4710</v>
      </c>
      <c r="F280" s="3210">
        <v>800</v>
      </c>
      <c r="G280" s="3223">
        <v>2390</v>
      </c>
    </row>
    <row r="281" spans="1:7" s="3199" customFormat="1" ht="14.25" customHeight="1">
      <c r="A281" s="3210" t="s">
        <v>306</v>
      </c>
      <c r="B281" s="3210" t="s">
        <v>3122</v>
      </c>
      <c r="C281" s="3210">
        <v>4480</v>
      </c>
      <c r="D281" s="3210">
        <v>4420</v>
      </c>
      <c r="E281" s="3210">
        <v>5230</v>
      </c>
      <c r="F281" s="3210">
        <v>870</v>
      </c>
      <c r="G281" s="3223">
        <v>2660</v>
      </c>
    </row>
    <row r="282" spans="1:7" s="3199" customFormat="1" ht="14.25" customHeight="1">
      <c r="A282" s="3210" t="s">
        <v>306</v>
      </c>
      <c r="B282" s="3210" t="s">
        <v>3123</v>
      </c>
      <c r="C282" s="3210">
        <v>5360</v>
      </c>
      <c r="D282" s="3210">
        <v>5300</v>
      </c>
      <c r="E282" s="3210">
        <v>6190</v>
      </c>
      <c r="F282" s="3210">
        <v>950</v>
      </c>
      <c r="G282" s="3223">
        <v>3190</v>
      </c>
    </row>
    <row r="283" spans="1:7" s="3199" customFormat="1" ht="14.25" customHeight="1">
      <c r="A283" s="3210" t="s">
        <v>306</v>
      </c>
      <c r="B283" s="3210" t="s">
        <v>174</v>
      </c>
      <c r="C283" s="3210">
        <v>4950</v>
      </c>
      <c r="D283" s="3210">
        <v>4900</v>
      </c>
      <c r="E283" s="3210">
        <v>5720</v>
      </c>
      <c r="F283" s="3210">
        <v>920</v>
      </c>
      <c r="G283" s="3223">
        <v>2950</v>
      </c>
    </row>
    <row r="284" spans="1:7" s="3199" customFormat="1" ht="14.25" customHeight="1">
      <c r="A284" s="3210" t="s">
        <v>306</v>
      </c>
      <c r="B284" s="3210" t="s">
        <v>182</v>
      </c>
      <c r="C284" s="3210">
        <v>5610</v>
      </c>
      <c r="D284" s="3210">
        <v>5560</v>
      </c>
      <c r="E284" s="3210">
        <v>6520</v>
      </c>
      <c r="F284" s="3210">
        <v>1030</v>
      </c>
      <c r="G284" s="3223">
        <v>3360</v>
      </c>
    </row>
    <row r="285" spans="1:7" s="3199" customFormat="1" ht="14.25" customHeight="1">
      <c r="A285" s="3210" t="s">
        <v>306</v>
      </c>
      <c r="B285" s="3210" t="s">
        <v>192</v>
      </c>
      <c r="C285" s="3210">
        <v>5340</v>
      </c>
      <c r="D285" s="3210">
        <v>5290</v>
      </c>
      <c r="E285" s="3210">
        <v>6170</v>
      </c>
      <c r="F285" s="3210">
        <v>1080</v>
      </c>
      <c r="G285" s="3223">
        <v>3180</v>
      </c>
    </row>
    <row r="286" spans="1:7" s="3199" customFormat="1" ht="14.25" customHeight="1">
      <c r="A286" s="3210" t="s">
        <v>306</v>
      </c>
      <c r="B286" s="3210" t="s">
        <v>199</v>
      </c>
      <c r="C286" s="3210">
        <v>4890</v>
      </c>
      <c r="D286" s="3210">
        <v>4840</v>
      </c>
      <c r="E286" s="3210">
        <v>5640</v>
      </c>
      <c r="F286" s="3210">
        <v>960</v>
      </c>
      <c r="G286" s="3223">
        <v>2910</v>
      </c>
    </row>
    <row r="287" spans="1:7" s="3199" customFormat="1" ht="14.25" customHeight="1">
      <c r="A287" s="3210" t="s">
        <v>306</v>
      </c>
      <c r="B287" s="3210" t="s">
        <v>3124</v>
      </c>
      <c r="C287" s="3210">
        <v>4960</v>
      </c>
      <c r="D287" s="3210">
        <v>4920</v>
      </c>
      <c r="E287" s="3210">
        <v>5730</v>
      </c>
      <c r="F287" s="3210">
        <v>930</v>
      </c>
      <c r="G287" s="3223">
        <v>2960</v>
      </c>
    </row>
    <row r="288" spans="1:7" s="3199" customFormat="1" ht="14.25" customHeight="1">
      <c r="A288" s="3210" t="s">
        <v>306</v>
      </c>
      <c r="B288" s="3210" t="s">
        <v>219</v>
      </c>
      <c r="C288" s="3210">
        <v>4350</v>
      </c>
      <c r="D288" s="3210">
        <v>4300</v>
      </c>
      <c r="E288" s="3210">
        <v>4900</v>
      </c>
      <c r="F288" s="3210">
        <v>820</v>
      </c>
      <c r="G288" s="3223">
        <v>2590</v>
      </c>
    </row>
    <row r="289" spans="1:7" s="3199" customFormat="1" ht="14.25" customHeight="1">
      <c r="A289" s="3210" t="s">
        <v>306</v>
      </c>
      <c r="B289" s="3210" t="s">
        <v>3125</v>
      </c>
      <c r="C289" s="3210">
        <v>5230</v>
      </c>
      <c r="D289" s="3210">
        <v>5170</v>
      </c>
      <c r="E289" s="3210">
        <v>6060</v>
      </c>
      <c r="F289" s="3210">
        <v>900</v>
      </c>
      <c r="G289" s="3223">
        <v>3120</v>
      </c>
    </row>
    <row r="290" spans="1:7" s="3199" customFormat="1" ht="14.25" customHeight="1">
      <c r="A290" s="3210" t="s">
        <v>306</v>
      </c>
      <c r="B290" s="3210" t="s">
        <v>242</v>
      </c>
      <c r="C290" s="3210">
        <v>5550</v>
      </c>
      <c r="D290" s="3210">
        <v>5500</v>
      </c>
      <c r="E290" s="3210">
        <v>6440</v>
      </c>
      <c r="F290" s="3210">
        <v>960</v>
      </c>
      <c r="G290" s="3223">
        <v>3320</v>
      </c>
    </row>
    <row r="291" spans="1:7" s="3199" customFormat="1" ht="14.25" customHeight="1">
      <c r="A291" s="3210" t="s">
        <v>306</v>
      </c>
      <c r="B291" s="3210" t="s">
        <v>250</v>
      </c>
      <c r="C291" s="3210">
        <v>5440</v>
      </c>
      <c r="D291" s="3210">
        <v>5400</v>
      </c>
      <c r="E291" s="3210">
        <v>6320</v>
      </c>
      <c r="F291" s="3210">
        <v>930</v>
      </c>
      <c r="G291" s="3223">
        <v>3250</v>
      </c>
    </row>
    <row r="292" spans="1:7" s="3199" customFormat="1" ht="14.25" customHeight="1">
      <c r="A292" s="3210" t="s">
        <v>306</v>
      </c>
      <c r="B292" s="3210" t="s">
        <v>256</v>
      </c>
      <c r="C292" s="3210">
        <v>5400</v>
      </c>
      <c r="D292" s="3210">
        <v>5360</v>
      </c>
      <c r="E292" s="3210">
        <v>6270</v>
      </c>
      <c r="F292" s="3210">
        <v>1040</v>
      </c>
      <c r="G292" s="3223">
        <v>3230</v>
      </c>
    </row>
    <row r="293" spans="1:7" s="3199" customFormat="1" ht="14.25" customHeight="1">
      <c r="A293" s="3210" t="s">
        <v>306</v>
      </c>
      <c r="B293" s="3210" t="s">
        <v>2900</v>
      </c>
      <c r="C293" s="3210">
        <v>5320</v>
      </c>
      <c r="D293" s="3210">
        <v>5270</v>
      </c>
      <c r="E293" s="3210">
        <v>6160</v>
      </c>
      <c r="F293" s="3210">
        <v>990</v>
      </c>
      <c r="G293" s="3223">
        <v>3170</v>
      </c>
    </row>
    <row r="294" spans="1:7" s="3199" customFormat="1" ht="14.25" customHeight="1">
      <c r="A294" s="3210" t="s">
        <v>306</v>
      </c>
      <c r="B294" s="3210" t="s">
        <v>3126</v>
      </c>
      <c r="C294" s="3210">
        <v>5260</v>
      </c>
      <c r="D294" s="3210">
        <v>5210</v>
      </c>
      <c r="E294" s="3210">
        <v>6100</v>
      </c>
      <c r="F294" s="3210">
        <v>950</v>
      </c>
      <c r="G294" s="3223">
        <v>3150</v>
      </c>
    </row>
    <row r="295" spans="1:7" s="3199" customFormat="1" ht="14.25" customHeight="1">
      <c r="A295" s="3210" t="s">
        <v>306</v>
      </c>
      <c r="B295" s="3210" t="s">
        <v>290</v>
      </c>
      <c r="C295" s="3210">
        <v>5610</v>
      </c>
      <c r="D295" s="3210">
        <v>5570</v>
      </c>
      <c r="E295" s="3210">
        <v>6530</v>
      </c>
      <c r="F295" s="3210">
        <v>960</v>
      </c>
      <c r="G295" s="3223">
        <v>3360</v>
      </c>
    </row>
    <row r="296" spans="1:7" s="3199" customFormat="1" ht="14.25" customHeight="1">
      <c r="A296" s="3210" t="s">
        <v>306</v>
      </c>
      <c r="B296" s="3210" t="s">
        <v>293</v>
      </c>
      <c r="C296" s="3210">
        <v>5540</v>
      </c>
      <c r="D296" s="3210">
        <v>5490</v>
      </c>
      <c r="E296" s="3210">
        <v>6430</v>
      </c>
      <c r="F296" s="3210">
        <v>980</v>
      </c>
      <c r="G296" s="3223">
        <v>3310</v>
      </c>
    </row>
    <row r="297" spans="1:7" s="3199" customFormat="1" ht="14.25" customHeight="1">
      <c r="A297" s="3210" t="s">
        <v>306</v>
      </c>
      <c r="B297" s="3210" t="s">
        <v>295</v>
      </c>
      <c r="C297" s="3210">
        <v>5480</v>
      </c>
      <c r="D297" s="3210">
        <v>5420</v>
      </c>
      <c r="E297" s="3210">
        <v>6370</v>
      </c>
      <c r="F297" s="3210">
        <v>990</v>
      </c>
      <c r="G297" s="3223">
        <v>3270</v>
      </c>
    </row>
    <row r="298" spans="1:7" s="3199" customFormat="1" ht="14.25" customHeight="1">
      <c r="A298" s="3210" t="s">
        <v>306</v>
      </c>
      <c r="B298" s="3210" t="s">
        <v>298</v>
      </c>
      <c r="C298" s="3210">
        <v>5090</v>
      </c>
      <c r="D298" s="3210">
        <v>5050</v>
      </c>
      <c r="E298" s="3210">
        <v>5910</v>
      </c>
      <c r="F298" s="3210">
        <v>900</v>
      </c>
      <c r="G298" s="3223">
        <v>3040</v>
      </c>
    </row>
    <row r="299" spans="1:7" s="3199" customFormat="1" ht="14.25" customHeight="1">
      <c r="A299" s="3210" t="s">
        <v>306</v>
      </c>
      <c r="B299" s="3219" t="s">
        <v>2919</v>
      </c>
      <c r="C299" s="3210">
        <v>5430</v>
      </c>
      <c r="D299" s="3210">
        <v>5380</v>
      </c>
      <c r="E299" s="3210">
        <v>6280</v>
      </c>
      <c r="F299" s="3210">
        <v>1000</v>
      </c>
      <c r="G299" s="3223">
        <v>3240</v>
      </c>
    </row>
    <row r="300" spans="1:7" s="3199" customFormat="1" ht="14.25" customHeight="1">
      <c r="A300" s="3210" t="s">
        <v>306</v>
      </c>
      <c r="B300" s="3219" t="s">
        <v>271</v>
      </c>
      <c r="C300" s="3210">
        <v>4740</v>
      </c>
      <c r="D300" s="3210">
        <v>4680</v>
      </c>
      <c r="E300" s="3210">
        <v>5450</v>
      </c>
      <c r="F300" s="3210">
        <v>900</v>
      </c>
      <c r="G300" s="3223">
        <v>2830</v>
      </c>
    </row>
    <row r="301" spans="1:7" s="3199" customFormat="1" ht="14.25" customHeight="1">
      <c r="A301" s="3210" t="s">
        <v>306</v>
      </c>
      <c r="B301" s="3219" t="s">
        <v>276</v>
      </c>
      <c r="C301" s="3210">
        <v>4870</v>
      </c>
      <c r="D301" s="3210">
        <v>4810</v>
      </c>
      <c r="E301" s="3210">
        <v>5560</v>
      </c>
      <c r="F301" s="3210">
        <v>990</v>
      </c>
      <c r="G301" s="3223">
        <v>2910</v>
      </c>
    </row>
    <row r="302" spans="1:7" s="3199" customFormat="1" ht="14.25" customHeight="1">
      <c r="A302" s="3210" t="s">
        <v>306</v>
      </c>
      <c r="B302" s="3210" t="s">
        <v>3127</v>
      </c>
      <c r="C302" s="3210">
        <v>5520</v>
      </c>
      <c r="D302" s="3210">
        <v>5470</v>
      </c>
      <c r="E302" s="3210">
        <v>6410</v>
      </c>
      <c r="F302" s="3210">
        <v>950</v>
      </c>
      <c r="G302" s="3223">
        <v>3300</v>
      </c>
    </row>
    <row r="303" spans="1:7" s="3199" customFormat="1" ht="14.25" customHeight="1">
      <c r="A303" s="3210" t="s">
        <v>306</v>
      </c>
      <c r="B303" s="3210" t="s">
        <v>2939</v>
      </c>
      <c r="C303" s="3210">
        <v>5630</v>
      </c>
      <c r="D303" s="3210">
        <v>5590</v>
      </c>
      <c r="E303" s="3210">
        <v>6550</v>
      </c>
      <c r="F303" s="3210">
        <v>1010</v>
      </c>
      <c r="G303" s="3223">
        <v>3370</v>
      </c>
    </row>
    <row r="304" spans="1:7" s="3199" customFormat="1" ht="14.25" customHeight="1">
      <c r="A304" s="3210" t="s">
        <v>306</v>
      </c>
      <c r="B304" s="3210" t="s">
        <v>2946</v>
      </c>
      <c r="C304" s="3210">
        <v>5680</v>
      </c>
      <c r="D304" s="3210">
        <v>5620</v>
      </c>
      <c r="E304" s="3210">
        <v>6620</v>
      </c>
      <c r="F304" s="3210">
        <v>1050</v>
      </c>
      <c r="G304" s="3223">
        <v>3390</v>
      </c>
    </row>
    <row r="305" spans="1:7" s="3199" customFormat="1" ht="14.25" customHeight="1">
      <c r="A305" s="3210" t="s">
        <v>306</v>
      </c>
      <c r="B305" s="3210" t="s">
        <v>2952</v>
      </c>
      <c r="C305" s="3210">
        <v>5590</v>
      </c>
      <c r="D305" s="3210">
        <v>5530</v>
      </c>
      <c r="E305" s="3210">
        <v>6460</v>
      </c>
      <c r="F305" s="3210">
        <v>900</v>
      </c>
      <c r="G305" s="3223">
        <v>3340</v>
      </c>
    </row>
    <row r="306" spans="1:7" s="3199" customFormat="1" ht="14.25" customHeight="1">
      <c r="A306" s="3210" t="s">
        <v>306</v>
      </c>
      <c r="B306" s="3210" t="s">
        <v>3128</v>
      </c>
      <c r="C306" s="3210">
        <v>5560</v>
      </c>
      <c r="D306" s="3210">
        <v>5510</v>
      </c>
      <c r="E306" s="3210">
        <v>6440</v>
      </c>
      <c r="F306" s="3210">
        <v>900</v>
      </c>
      <c r="G306" s="3223">
        <v>3320</v>
      </c>
    </row>
    <row r="307" spans="1:7" s="3199" customFormat="1" ht="14.25" customHeight="1">
      <c r="A307" s="3210" t="s">
        <v>306</v>
      </c>
      <c r="B307" s="3210" t="s">
        <v>2964</v>
      </c>
      <c r="C307" s="3210">
        <v>5650</v>
      </c>
      <c r="D307" s="3210">
        <v>5600</v>
      </c>
      <c r="E307" s="3210">
        <v>6590</v>
      </c>
      <c r="F307" s="3210">
        <v>930</v>
      </c>
      <c r="G307" s="3223">
        <v>3380</v>
      </c>
    </row>
    <row r="308" spans="1:7" s="3199" customFormat="1" ht="14.25" customHeight="1">
      <c r="A308" s="3210" t="s">
        <v>306</v>
      </c>
      <c r="B308" s="3210" t="s">
        <v>3129</v>
      </c>
      <c r="C308" s="3210">
        <v>5620</v>
      </c>
      <c r="D308" s="3210">
        <v>5580</v>
      </c>
      <c r="E308" s="3210">
        <v>6540</v>
      </c>
      <c r="F308" s="3210">
        <v>910</v>
      </c>
      <c r="G308" s="3223">
        <v>3370</v>
      </c>
    </row>
    <row r="309" spans="1:7" s="3199" customFormat="1" ht="14.25" customHeight="1">
      <c r="A309" s="3210" t="s">
        <v>306</v>
      </c>
      <c r="B309" s="3210" t="s">
        <v>3130</v>
      </c>
      <c r="C309" s="3210">
        <v>5060</v>
      </c>
      <c r="D309" s="3210">
        <v>5020</v>
      </c>
      <c r="E309" s="3210">
        <v>6370</v>
      </c>
      <c r="F309" s="3210">
        <v>800</v>
      </c>
      <c r="G309" s="3223">
        <v>3020</v>
      </c>
    </row>
    <row r="310" spans="1:7" s="3199" customFormat="1" ht="14.25" customHeight="1">
      <c r="A310" s="3210" t="s">
        <v>306</v>
      </c>
      <c r="B310" s="3210" t="s">
        <v>2979</v>
      </c>
      <c r="C310" s="3210">
        <v>5150</v>
      </c>
      <c r="D310" s="3210">
        <v>5110</v>
      </c>
      <c r="E310" s="3210">
        <v>6500</v>
      </c>
      <c r="F310" s="3210">
        <v>880</v>
      </c>
      <c r="G310" s="3223">
        <v>3080</v>
      </c>
    </row>
    <row r="311" spans="1:7" s="3199" customFormat="1" ht="14.25" customHeight="1">
      <c r="A311" s="3210" t="s">
        <v>306</v>
      </c>
      <c r="B311" s="3210" t="s">
        <v>3131</v>
      </c>
      <c r="C311" s="3210">
        <v>4750</v>
      </c>
      <c r="D311" s="3210">
        <v>4710</v>
      </c>
      <c r="E311" s="3210">
        <v>5510</v>
      </c>
      <c r="F311" s="3210">
        <v>880</v>
      </c>
      <c r="G311" s="3223">
        <v>2840</v>
      </c>
    </row>
    <row r="312" spans="1:7" s="3199" customFormat="1" ht="14.25" customHeight="1">
      <c r="A312" s="3210" t="s">
        <v>306</v>
      </c>
      <c r="B312" s="3210" t="s">
        <v>2989</v>
      </c>
      <c r="C312" s="3210">
        <v>4690</v>
      </c>
      <c r="D312" s="3210">
        <v>4640</v>
      </c>
      <c r="E312" s="3210">
        <v>5420</v>
      </c>
      <c r="F312" s="3210">
        <v>800</v>
      </c>
      <c r="G312" s="3223">
        <v>2800</v>
      </c>
    </row>
    <row r="313" spans="1:7" s="3199" customFormat="1" ht="14.25" customHeight="1">
      <c r="A313" s="3210" t="s">
        <v>306</v>
      </c>
      <c r="B313" s="3210" t="s">
        <v>2994</v>
      </c>
      <c r="C313" s="3210">
        <v>4810</v>
      </c>
      <c r="D313" s="3210">
        <v>4760</v>
      </c>
      <c r="E313" s="3210">
        <v>5550</v>
      </c>
      <c r="F313" s="3210">
        <v>920</v>
      </c>
      <c r="G313" s="3223">
        <v>2870</v>
      </c>
    </row>
    <row r="314" spans="1:7" s="3199" customFormat="1" ht="14.25" customHeight="1">
      <c r="A314" s="3210" t="s">
        <v>306</v>
      </c>
      <c r="B314" s="3210" t="s">
        <v>3132</v>
      </c>
      <c r="C314" s="3210"/>
      <c r="D314" s="3210"/>
      <c r="E314" s="3210"/>
      <c r="F314" s="3210">
        <v>1020</v>
      </c>
      <c r="G314" s="3223"/>
    </row>
    <row r="315" spans="1:7" s="3199" customFormat="1" ht="14.25" customHeight="1">
      <c r="A315" s="3210" t="s">
        <v>306</v>
      </c>
      <c r="B315" s="3210" t="s">
        <v>3133</v>
      </c>
      <c r="C315" s="3210"/>
      <c r="D315" s="3210"/>
      <c r="E315" s="3210"/>
      <c r="F315" s="3210">
        <v>1050</v>
      </c>
      <c r="G315" s="3223"/>
    </row>
    <row r="316" spans="1:7" s="3199" customFormat="1" ht="14.25" customHeight="1">
      <c r="A316" s="3210" t="s">
        <v>306</v>
      </c>
      <c r="B316" s="3210" t="s">
        <v>3009</v>
      </c>
      <c r="C316" s="3210"/>
      <c r="D316" s="3210"/>
      <c r="E316" s="3210"/>
      <c r="F316" s="3210">
        <v>900</v>
      </c>
      <c r="G316" s="3223"/>
    </row>
    <row r="317" spans="1:7" s="3199" customFormat="1" ht="14.25" customHeight="1">
      <c r="A317" s="3210" t="s">
        <v>306</v>
      </c>
      <c r="B317" s="3210" t="s">
        <v>3134</v>
      </c>
      <c r="C317" s="3210"/>
      <c r="D317" s="3210"/>
      <c r="E317" s="3210"/>
      <c r="F317" s="3210">
        <v>920</v>
      </c>
      <c r="G317" s="3223"/>
    </row>
    <row r="318" spans="1:7" s="3199" customFormat="1" ht="14.25" customHeight="1">
      <c r="A318" s="3210" t="s">
        <v>306</v>
      </c>
      <c r="B318" s="3210" t="s">
        <v>3135</v>
      </c>
      <c r="C318" s="3210"/>
      <c r="D318" s="3210"/>
      <c r="E318" s="3210"/>
      <c r="F318" s="3210">
        <v>1080</v>
      </c>
      <c r="G318" s="3223"/>
    </row>
    <row r="319" spans="1:7" s="3199" customFormat="1" ht="14.25" customHeight="1">
      <c r="A319" s="3210" t="s">
        <v>306</v>
      </c>
      <c r="B319" s="3210" t="s">
        <v>3022</v>
      </c>
      <c r="C319" s="3210"/>
      <c r="D319" s="3210"/>
      <c r="E319" s="3210"/>
      <c r="F319" s="3210">
        <v>1020</v>
      </c>
      <c r="G319" s="3223"/>
    </row>
    <row r="320" spans="1:7" s="3199" customFormat="1" ht="14.25" customHeight="1">
      <c r="A320" s="3210" t="s">
        <v>306</v>
      </c>
      <c r="B320" s="3210" t="s">
        <v>3025</v>
      </c>
      <c r="C320" s="3210"/>
      <c r="D320" s="3210"/>
      <c r="E320" s="3210"/>
      <c r="F320" s="3210">
        <v>1050</v>
      </c>
      <c r="G320" s="3223"/>
    </row>
    <row r="321" spans="1:7" s="3199" customFormat="1" ht="14.25" customHeight="1">
      <c r="A321" s="3210" t="s">
        <v>306</v>
      </c>
      <c r="B321" s="3210" t="s">
        <v>3027</v>
      </c>
      <c r="C321" s="3210"/>
      <c r="D321" s="3210"/>
      <c r="E321" s="3210"/>
      <c r="F321" s="3210">
        <v>960</v>
      </c>
      <c r="G321" s="3223"/>
    </row>
    <row r="322" spans="1:7" s="3199" customFormat="1" ht="14.25" customHeight="1">
      <c r="A322" s="3210" t="s">
        <v>306</v>
      </c>
      <c r="B322" s="3210" t="s">
        <v>3029</v>
      </c>
      <c r="C322" s="3210"/>
      <c r="D322" s="3210"/>
      <c r="E322" s="3210"/>
      <c r="F322" s="3210">
        <v>960</v>
      </c>
      <c r="G322" s="3223"/>
    </row>
    <row r="323" spans="1:7" s="3199" customFormat="1" ht="14.25" customHeight="1">
      <c r="A323" s="3210" t="s">
        <v>306</v>
      </c>
      <c r="B323" s="3210" t="s">
        <v>3031</v>
      </c>
      <c r="C323" s="3210"/>
      <c r="D323" s="3210"/>
      <c r="E323" s="3210"/>
      <c r="F323" s="3210">
        <v>880</v>
      </c>
      <c r="G323" s="3223"/>
    </row>
    <row r="324" spans="1:7" s="3199" customFormat="1" ht="14.25" customHeight="1">
      <c r="A324" s="3210" t="s">
        <v>306</v>
      </c>
      <c r="B324" s="3210" t="s">
        <v>3033</v>
      </c>
      <c r="C324" s="3210"/>
      <c r="D324" s="3210"/>
      <c r="E324" s="3210"/>
      <c r="F324" s="3210">
        <v>930</v>
      </c>
      <c r="G324" s="3223"/>
    </row>
    <row r="325" spans="1:7" s="3199" customFormat="1" ht="14.25" customHeight="1">
      <c r="A325" s="3210" t="s">
        <v>306</v>
      </c>
      <c r="B325" s="3211" t="s">
        <v>3035</v>
      </c>
      <c r="C325" s="3210"/>
      <c r="D325" s="3210"/>
      <c r="E325" s="3210"/>
      <c r="F325" s="3210">
        <v>900</v>
      </c>
      <c r="G325" s="3223"/>
    </row>
    <row r="326" spans="1:7" s="3199" customFormat="1" ht="14.25" customHeight="1" thickBot="1">
      <c r="A326" s="3224" t="s">
        <v>306</v>
      </c>
      <c r="B326" s="3217" t="s">
        <v>3037</v>
      </c>
      <c r="C326" s="3217"/>
      <c r="D326" s="3217"/>
      <c r="E326" s="3217"/>
      <c r="F326" s="3217">
        <v>790</v>
      </c>
      <c r="G326" s="3225"/>
    </row>
    <row r="327" spans="1:7" s="3199" customFormat="1" ht="14.25" customHeight="1">
      <c r="A327" s="3215" t="s">
        <v>307</v>
      </c>
      <c r="B327" s="3206" t="s">
        <v>3136</v>
      </c>
      <c r="C327" s="3210">
        <v>3750</v>
      </c>
      <c r="D327" s="3210">
        <v>3710</v>
      </c>
      <c r="E327" s="3210">
        <v>4080</v>
      </c>
      <c r="F327" s="3210">
        <v>860</v>
      </c>
      <c r="G327" s="3210">
        <v>2210</v>
      </c>
    </row>
    <row r="328" spans="1:7" s="3199" customFormat="1" ht="14.25" customHeight="1">
      <c r="A328" s="3210" t="s">
        <v>307</v>
      </c>
      <c r="B328" s="3210" t="s">
        <v>136</v>
      </c>
      <c r="C328" s="3210">
        <v>3330</v>
      </c>
      <c r="D328" s="3210">
        <v>3290</v>
      </c>
      <c r="E328" s="3210">
        <v>3610</v>
      </c>
      <c r="F328" s="3210">
        <v>850</v>
      </c>
      <c r="G328" s="3210">
        <v>1960</v>
      </c>
    </row>
    <row r="329" spans="1:7" s="3199" customFormat="1" ht="14.25" customHeight="1">
      <c r="A329" s="3210" t="s">
        <v>307</v>
      </c>
      <c r="B329" s="3210" t="s">
        <v>3137</v>
      </c>
      <c r="C329" s="3210">
        <v>2730</v>
      </c>
      <c r="D329" s="3210">
        <v>2690</v>
      </c>
      <c r="E329" s="3210">
        <v>3100</v>
      </c>
      <c r="F329" s="3210">
        <v>660</v>
      </c>
      <c r="G329" s="3210">
        <v>1610</v>
      </c>
    </row>
    <row r="330" spans="1:7" s="3199" customFormat="1" ht="14.25" customHeight="1">
      <c r="A330" s="3210" t="s">
        <v>307</v>
      </c>
      <c r="B330" s="3210" t="s">
        <v>3138</v>
      </c>
      <c r="C330" s="3210">
        <v>3270</v>
      </c>
      <c r="D330" s="3210">
        <v>3240</v>
      </c>
      <c r="E330" s="3210">
        <v>3560</v>
      </c>
      <c r="F330" s="3210">
        <v>680</v>
      </c>
      <c r="G330" s="3210">
        <v>1940</v>
      </c>
    </row>
    <row r="331" spans="1:7" s="3199" customFormat="1" ht="14.25" customHeight="1">
      <c r="A331" s="3210" t="s">
        <v>307</v>
      </c>
      <c r="B331" s="3210" t="s">
        <v>161</v>
      </c>
      <c r="C331" s="3210">
        <v>3770</v>
      </c>
      <c r="D331" s="3210">
        <v>3740</v>
      </c>
      <c r="E331" s="3210">
        <v>4110</v>
      </c>
      <c r="F331" s="3210">
        <v>730</v>
      </c>
      <c r="G331" s="3210">
        <v>2230</v>
      </c>
    </row>
    <row r="332" spans="1:7" s="3199" customFormat="1" ht="14.25" customHeight="1">
      <c r="A332" s="3210" t="s">
        <v>307</v>
      </c>
      <c r="B332" s="3210" t="s">
        <v>2871</v>
      </c>
      <c r="C332" s="3210">
        <v>3520</v>
      </c>
      <c r="D332" s="3210">
        <v>3480</v>
      </c>
      <c r="E332" s="3210">
        <v>3830</v>
      </c>
      <c r="F332" s="3210">
        <v>720</v>
      </c>
      <c r="G332" s="3210">
        <v>2090</v>
      </c>
    </row>
    <row r="333" spans="1:7" s="3199" customFormat="1" ht="14.25" customHeight="1">
      <c r="A333" s="3210" t="s">
        <v>307</v>
      </c>
      <c r="B333" s="3210" t="s">
        <v>3139</v>
      </c>
      <c r="C333" s="3210">
        <v>3840</v>
      </c>
      <c r="D333" s="3210">
        <v>3800</v>
      </c>
      <c r="E333" s="3210">
        <v>4200</v>
      </c>
      <c r="F333" s="3210">
        <v>760</v>
      </c>
      <c r="G333" s="3210">
        <v>2270</v>
      </c>
    </row>
    <row r="334" spans="1:7" s="3199" customFormat="1" ht="14.25" customHeight="1">
      <c r="A334" s="3210" t="s">
        <v>307</v>
      </c>
      <c r="B334" s="3210" t="s">
        <v>183</v>
      </c>
      <c r="C334" s="3210">
        <v>3960</v>
      </c>
      <c r="D334" s="3210">
        <v>3910</v>
      </c>
      <c r="E334" s="3210">
        <v>4340</v>
      </c>
      <c r="F334" s="3210">
        <v>780</v>
      </c>
      <c r="G334" s="3210">
        <v>2340</v>
      </c>
    </row>
    <row r="335" spans="1:7" s="3199" customFormat="1" ht="14.25" customHeight="1">
      <c r="A335" s="3210" t="s">
        <v>307</v>
      </c>
      <c r="B335" s="3210" t="s">
        <v>193</v>
      </c>
      <c r="C335" s="3210">
        <v>3710</v>
      </c>
      <c r="D335" s="3210">
        <v>3670</v>
      </c>
      <c r="E335" s="3210">
        <v>4030</v>
      </c>
      <c r="F335" s="3210">
        <v>750</v>
      </c>
      <c r="G335" s="3210">
        <v>2200</v>
      </c>
    </row>
    <row r="336" spans="1:7" s="3199" customFormat="1" ht="14.25" customHeight="1">
      <c r="A336" s="3210" t="s">
        <v>307</v>
      </c>
      <c r="B336" s="3210" t="s">
        <v>2881</v>
      </c>
      <c r="C336" s="3210">
        <v>3570</v>
      </c>
      <c r="D336" s="3210">
        <v>3530</v>
      </c>
      <c r="E336" s="3210">
        <v>3880</v>
      </c>
      <c r="F336" s="3210">
        <v>770</v>
      </c>
      <c r="G336" s="3210">
        <v>2110</v>
      </c>
    </row>
    <row r="337" spans="1:10" s="3199" customFormat="1" ht="14.25" customHeight="1">
      <c r="A337" s="3210" t="s">
        <v>307</v>
      </c>
      <c r="B337" s="3210" t="s">
        <v>3140</v>
      </c>
      <c r="C337" s="3210">
        <v>3780</v>
      </c>
      <c r="D337" s="3210">
        <v>3750</v>
      </c>
      <c r="E337" s="3210">
        <v>4130</v>
      </c>
      <c r="F337" s="3210">
        <v>750</v>
      </c>
      <c r="G337" s="3210">
        <v>2240</v>
      </c>
    </row>
    <row r="338" spans="1:10" s="3199" customFormat="1" ht="14.25" customHeight="1">
      <c r="A338" s="3210" t="s">
        <v>307</v>
      </c>
      <c r="B338" s="3210" t="s">
        <v>220</v>
      </c>
      <c r="C338" s="3210">
        <v>3600</v>
      </c>
      <c r="D338" s="3210">
        <v>3570</v>
      </c>
      <c r="E338" s="3210">
        <v>3920</v>
      </c>
      <c r="F338" s="3210">
        <v>790</v>
      </c>
      <c r="G338" s="3210">
        <v>2140</v>
      </c>
    </row>
    <row r="339" spans="1:10" s="3199" customFormat="1" ht="14.25" customHeight="1">
      <c r="A339" s="3210" t="s">
        <v>307</v>
      </c>
      <c r="B339" s="3210" t="s">
        <v>228</v>
      </c>
      <c r="C339" s="3210">
        <v>3540</v>
      </c>
      <c r="D339" s="3210">
        <v>3500</v>
      </c>
      <c r="E339" s="3210">
        <v>3850</v>
      </c>
      <c r="F339" s="3210">
        <v>780</v>
      </c>
      <c r="G339" s="3210">
        <v>2100</v>
      </c>
    </row>
    <row r="340" spans="1:10" s="3199" customFormat="1" ht="14.25" customHeight="1">
      <c r="A340" s="3210" t="s">
        <v>307</v>
      </c>
      <c r="B340" s="3210" t="s">
        <v>3141</v>
      </c>
      <c r="C340" s="3210">
        <v>3850</v>
      </c>
      <c r="D340" s="3210">
        <v>3810</v>
      </c>
      <c r="E340" s="3210">
        <v>4210</v>
      </c>
      <c r="F340" s="3210">
        <v>750</v>
      </c>
      <c r="G340" s="3210">
        <v>2280</v>
      </c>
    </row>
    <row r="341" spans="1:10" s="3199" customFormat="1" ht="14.25" customHeight="1">
      <c r="A341" s="3210" t="s">
        <v>307</v>
      </c>
      <c r="B341" s="3210" t="s">
        <v>207</v>
      </c>
      <c r="C341" s="3210">
        <v>3780</v>
      </c>
      <c r="D341" s="3210">
        <v>3750</v>
      </c>
      <c r="E341" s="3210">
        <v>4140</v>
      </c>
      <c r="F341" s="3210">
        <v>720</v>
      </c>
      <c r="G341" s="3210">
        <v>2240</v>
      </c>
    </row>
    <row r="342" spans="1:10" s="3199" customFormat="1" ht="14.25" customHeight="1">
      <c r="A342" s="3210" t="s">
        <v>307</v>
      </c>
      <c r="B342" s="3210" t="s">
        <v>3142</v>
      </c>
      <c r="C342" s="3210">
        <v>3670</v>
      </c>
      <c r="D342" s="3210">
        <v>3620</v>
      </c>
      <c r="E342" s="3210">
        <v>3990</v>
      </c>
      <c r="F342" s="3210">
        <v>760</v>
      </c>
      <c r="G342" s="3210">
        <v>2170</v>
      </c>
    </row>
    <row r="343" spans="1:10" s="3199" customFormat="1" ht="14.25" customHeight="1">
      <c r="A343" s="3210" t="s">
        <v>307</v>
      </c>
      <c r="B343" s="3210" t="s">
        <v>257</v>
      </c>
      <c r="C343" s="3210">
        <v>3760</v>
      </c>
      <c r="D343" s="3210">
        <v>3720</v>
      </c>
      <c r="E343" s="3210">
        <v>4090</v>
      </c>
      <c r="F343" s="3210">
        <v>780</v>
      </c>
      <c r="G343" s="3210">
        <v>2220</v>
      </c>
    </row>
    <row r="344" spans="1:10" s="3199" customFormat="1" ht="14.25" customHeight="1">
      <c r="A344" s="3210" t="s">
        <v>307</v>
      </c>
      <c r="B344" s="3210" t="s">
        <v>265</v>
      </c>
      <c r="C344" s="3210">
        <v>3680</v>
      </c>
      <c r="D344" s="3210">
        <v>3640</v>
      </c>
      <c r="E344" s="3210">
        <v>4010</v>
      </c>
      <c r="F344" s="3210">
        <v>750</v>
      </c>
      <c r="G344" s="3210">
        <v>2180</v>
      </c>
    </row>
    <row r="345" spans="1:10">
      <c r="A345" s="3210" t="s">
        <v>307</v>
      </c>
      <c r="B345" s="3210" t="s">
        <v>2906</v>
      </c>
      <c r="C345" s="3210">
        <v>3190</v>
      </c>
      <c r="D345" s="3210">
        <v>3140</v>
      </c>
      <c r="E345" s="3210">
        <v>3450</v>
      </c>
      <c r="F345" s="3210">
        <v>720</v>
      </c>
      <c r="G345" s="3210">
        <v>1880</v>
      </c>
      <c r="J345" s="3199"/>
    </row>
    <row r="346" spans="1:10">
      <c r="A346" s="3210" t="s">
        <v>307</v>
      </c>
      <c r="B346" s="3210" t="s">
        <v>3143</v>
      </c>
      <c r="C346" s="3210">
        <v>3630</v>
      </c>
      <c r="D346" s="3210">
        <v>3590</v>
      </c>
      <c r="E346" s="3210">
        <v>3940</v>
      </c>
      <c r="F346" s="3210">
        <v>730</v>
      </c>
      <c r="G346" s="3210">
        <v>2150</v>
      </c>
      <c r="J346" s="3199"/>
    </row>
    <row r="347" spans="1:10">
      <c r="A347" s="3210" t="s">
        <v>307</v>
      </c>
      <c r="B347" s="3210" t="s">
        <v>243</v>
      </c>
      <c r="C347" s="3210">
        <v>3860</v>
      </c>
      <c r="D347" s="3210">
        <v>3820</v>
      </c>
      <c r="E347" s="3210">
        <v>4220</v>
      </c>
      <c r="F347" s="3210">
        <v>750</v>
      </c>
      <c r="G347" s="3210">
        <v>2280</v>
      </c>
      <c r="J347" s="3199"/>
    </row>
    <row r="348" spans="1:10">
      <c r="A348" s="3210" t="s">
        <v>307</v>
      </c>
      <c r="B348" s="3210" t="s">
        <v>2915</v>
      </c>
      <c r="C348" s="3210">
        <v>4000</v>
      </c>
      <c r="D348" s="3210">
        <v>3950</v>
      </c>
      <c r="E348" s="3210">
        <v>4430</v>
      </c>
      <c r="F348" s="3210">
        <v>760</v>
      </c>
      <c r="G348" s="3210">
        <v>2360</v>
      </c>
      <c r="J348" s="3199"/>
    </row>
    <row r="349" spans="1:10">
      <c r="A349" s="3210" t="s">
        <v>307</v>
      </c>
      <c r="B349" s="3210" t="s">
        <v>2920</v>
      </c>
      <c r="C349" s="3210">
        <v>3820</v>
      </c>
      <c r="D349" s="3210">
        <v>3780</v>
      </c>
      <c r="E349" s="3210">
        <v>4170</v>
      </c>
      <c r="F349" s="3210">
        <v>710</v>
      </c>
      <c r="G349" s="3210">
        <v>2260</v>
      </c>
      <c r="J349" s="3199"/>
    </row>
    <row r="350" spans="1:10">
      <c r="A350" s="3210" t="s">
        <v>307</v>
      </c>
      <c r="B350" s="3210" t="s">
        <v>3144</v>
      </c>
      <c r="C350" s="3210">
        <v>3760</v>
      </c>
      <c r="D350" s="3210">
        <v>3730</v>
      </c>
      <c r="E350" s="3210">
        <v>4100</v>
      </c>
      <c r="F350" s="3210">
        <v>800</v>
      </c>
      <c r="G350" s="3210">
        <v>2230</v>
      </c>
      <c r="J350" s="3199"/>
    </row>
    <row r="351" spans="1:10">
      <c r="A351" s="3210" t="s">
        <v>307</v>
      </c>
      <c r="B351" s="3210" t="s">
        <v>2928</v>
      </c>
      <c r="C351" s="3210">
        <v>3610</v>
      </c>
      <c r="D351" s="3210">
        <v>3580</v>
      </c>
      <c r="E351" s="3210">
        <v>3930</v>
      </c>
      <c r="F351" s="3210">
        <v>700</v>
      </c>
      <c r="G351" s="3210">
        <v>2140</v>
      </c>
      <c r="J351" s="3199"/>
    </row>
    <row r="352" spans="1:10">
      <c r="A352" s="3210" t="s">
        <v>307</v>
      </c>
      <c r="B352" s="3210" t="s">
        <v>2933</v>
      </c>
      <c r="C352" s="3210">
        <v>3670</v>
      </c>
      <c r="D352" s="3210">
        <v>3630</v>
      </c>
      <c r="E352" s="3210">
        <v>4000</v>
      </c>
      <c r="F352" s="3210">
        <v>750</v>
      </c>
      <c r="G352" s="3210">
        <v>2180</v>
      </c>
    </row>
    <row r="353" spans="1:7" s="3203" customFormat="1">
      <c r="A353" s="3210" t="s">
        <v>307</v>
      </c>
      <c r="B353" s="3210" t="s">
        <v>3145</v>
      </c>
      <c r="C353" s="3210">
        <v>3190</v>
      </c>
      <c r="D353" s="3210">
        <v>3150</v>
      </c>
      <c r="E353" s="3210">
        <v>3640</v>
      </c>
      <c r="F353" s="3210">
        <v>630</v>
      </c>
      <c r="G353" s="3210">
        <v>1890</v>
      </c>
    </row>
    <row r="354" spans="1:7" s="3203" customFormat="1">
      <c r="A354" s="3210" t="s">
        <v>307</v>
      </c>
      <c r="B354" s="3210" t="s">
        <v>280</v>
      </c>
      <c r="C354" s="3210">
        <v>3450</v>
      </c>
      <c r="D354" s="3210">
        <v>3420</v>
      </c>
      <c r="E354" s="3210">
        <v>3960</v>
      </c>
      <c r="F354" s="3210">
        <v>660</v>
      </c>
      <c r="G354" s="3210">
        <v>2050</v>
      </c>
    </row>
    <row r="355" spans="1:7" s="3203" customFormat="1">
      <c r="A355" s="3210" t="s">
        <v>307</v>
      </c>
      <c r="B355" s="3210" t="s">
        <v>2953</v>
      </c>
      <c r="C355" s="3210">
        <v>3650</v>
      </c>
      <c r="D355" s="3210">
        <v>3610</v>
      </c>
      <c r="E355" s="3210">
        <v>4200</v>
      </c>
      <c r="F355" s="3210">
        <v>640</v>
      </c>
      <c r="G355" s="3210">
        <v>2160</v>
      </c>
    </row>
    <row r="356" spans="1:7" s="3203" customFormat="1">
      <c r="A356" s="3210" t="s">
        <v>307</v>
      </c>
      <c r="B356" s="3210" t="s">
        <v>2960</v>
      </c>
      <c r="C356" s="3210">
        <v>3260</v>
      </c>
      <c r="D356" s="3210">
        <v>3230</v>
      </c>
      <c r="E356" s="3210">
        <v>3740</v>
      </c>
      <c r="F356" s="3210">
        <v>600</v>
      </c>
      <c r="G356" s="3210">
        <v>1930</v>
      </c>
    </row>
    <row r="357" spans="1:7" s="3203" customFormat="1" ht="12" thickBot="1">
      <c r="A357" s="3218" t="s">
        <v>307</v>
      </c>
      <c r="B357" s="3221" t="s">
        <v>3146</v>
      </c>
      <c r="C357" s="3221">
        <v>3690</v>
      </c>
      <c r="D357" s="3221">
        <v>3650</v>
      </c>
      <c r="E357" s="3221">
        <v>4020</v>
      </c>
      <c r="F357" s="3221">
        <v>700</v>
      </c>
      <c r="G357" s="3221">
        <v>2190</v>
      </c>
    </row>
    <row r="358" spans="1:7" s="3203" customFormat="1">
      <c r="A358" s="3215" t="s">
        <v>3147</v>
      </c>
      <c r="B358" s="3206" t="s">
        <v>3148</v>
      </c>
      <c r="C358" s="3206">
        <v>2080</v>
      </c>
      <c r="D358" s="3206">
        <v>2040</v>
      </c>
      <c r="E358" s="3206">
        <v>2010</v>
      </c>
      <c r="F358" s="3206">
        <v>530</v>
      </c>
      <c r="G358" s="3222">
        <v>1230</v>
      </c>
    </row>
    <row r="359" spans="1:7" s="3203" customFormat="1">
      <c r="A359" s="3210" t="s">
        <v>3147</v>
      </c>
      <c r="B359" s="3210" t="s">
        <v>3149</v>
      </c>
      <c r="C359" s="3210">
        <v>1850</v>
      </c>
      <c r="D359" s="3210">
        <v>1820</v>
      </c>
      <c r="E359" s="3210">
        <v>1780</v>
      </c>
      <c r="F359" s="3210">
        <v>520</v>
      </c>
      <c r="G359" s="3223">
        <v>1100</v>
      </c>
    </row>
    <row r="360" spans="1:7" s="3203" customFormat="1">
      <c r="A360" s="3210" t="s">
        <v>3147</v>
      </c>
      <c r="B360" s="3210" t="s">
        <v>3150</v>
      </c>
      <c r="C360" s="3210">
        <v>2020</v>
      </c>
      <c r="D360" s="3210">
        <v>1990</v>
      </c>
      <c r="E360" s="3210">
        <v>1950</v>
      </c>
      <c r="F360" s="3210">
        <v>500</v>
      </c>
      <c r="G360" s="3223">
        <v>1200</v>
      </c>
    </row>
    <row r="361" spans="1:7" s="3203" customFormat="1">
      <c r="A361" s="3210" t="s">
        <v>3147</v>
      </c>
      <c r="B361" s="3210" t="s">
        <v>153</v>
      </c>
      <c r="C361" s="3210">
        <v>2260</v>
      </c>
      <c r="D361" s="3210">
        <v>2220</v>
      </c>
      <c r="E361" s="3210">
        <v>2180</v>
      </c>
      <c r="F361" s="3210">
        <v>580</v>
      </c>
      <c r="G361" s="3223">
        <v>1340</v>
      </c>
    </row>
    <row r="362" spans="1:7" s="3203" customFormat="1">
      <c r="A362" s="3210" t="s">
        <v>3147</v>
      </c>
      <c r="B362" s="3210" t="s">
        <v>3151</v>
      </c>
      <c r="C362" s="3210">
        <v>2650</v>
      </c>
      <c r="D362" s="3210">
        <v>2610</v>
      </c>
      <c r="E362" s="3210">
        <v>2570</v>
      </c>
      <c r="F362" s="3210">
        <v>630</v>
      </c>
      <c r="G362" s="3223">
        <v>1570</v>
      </c>
    </row>
    <row r="363" spans="1:7" s="3203" customFormat="1">
      <c r="A363" s="3210" t="s">
        <v>3147</v>
      </c>
      <c r="B363" s="3210" t="s">
        <v>2872</v>
      </c>
      <c r="C363" s="3210">
        <v>2390</v>
      </c>
      <c r="D363" s="3210">
        <v>2360</v>
      </c>
      <c r="E363" s="3210">
        <v>2320</v>
      </c>
      <c r="F363" s="3210">
        <v>600</v>
      </c>
      <c r="G363" s="3223">
        <v>1420</v>
      </c>
    </row>
    <row r="364" spans="1:7" s="3203" customFormat="1">
      <c r="A364" s="3210" t="s">
        <v>3147</v>
      </c>
      <c r="B364" s="3210" t="s">
        <v>3152</v>
      </c>
      <c r="C364" s="3210">
        <v>2050</v>
      </c>
      <c r="D364" s="3210">
        <v>2030</v>
      </c>
      <c r="E364" s="3210">
        <v>1990</v>
      </c>
      <c r="F364" s="3210">
        <v>550</v>
      </c>
      <c r="G364" s="3223">
        <v>1220</v>
      </c>
    </row>
    <row r="365" spans="1:7" s="3203" customFormat="1">
      <c r="A365" s="3210" t="s">
        <v>3147</v>
      </c>
      <c r="B365" s="3210" t="s">
        <v>200</v>
      </c>
      <c r="C365" s="3210">
        <v>2140</v>
      </c>
      <c r="D365" s="3210">
        <v>2100</v>
      </c>
      <c r="E365" s="3210">
        <v>2060</v>
      </c>
      <c r="F365" s="3210">
        <v>540</v>
      </c>
      <c r="G365" s="3223">
        <v>1270</v>
      </c>
    </row>
    <row r="366" spans="1:7" s="3203" customFormat="1">
      <c r="A366" s="3210" t="s">
        <v>3147</v>
      </c>
      <c r="B366" s="3210" t="s">
        <v>2879</v>
      </c>
      <c r="C366" s="3210">
        <v>2410</v>
      </c>
      <c r="D366" s="3210">
        <v>2370</v>
      </c>
      <c r="E366" s="3210">
        <v>2330</v>
      </c>
      <c r="F366" s="3210">
        <v>570</v>
      </c>
      <c r="G366" s="3223">
        <v>1440</v>
      </c>
    </row>
    <row r="367" spans="1:7" s="3203" customFormat="1">
      <c r="A367" s="3210" t="s">
        <v>3147</v>
      </c>
      <c r="B367" s="3210" t="s">
        <v>3153</v>
      </c>
      <c r="C367" s="3210">
        <v>2300</v>
      </c>
      <c r="D367" s="3210">
        <v>2260</v>
      </c>
      <c r="E367" s="3210">
        <v>2220</v>
      </c>
      <c r="F367" s="3210">
        <v>560</v>
      </c>
      <c r="G367" s="3223">
        <v>1370</v>
      </c>
    </row>
    <row r="368" spans="1:7" s="3203" customFormat="1">
      <c r="A368" s="3210" t="s">
        <v>3147</v>
      </c>
      <c r="B368" s="3210" t="s">
        <v>3154</v>
      </c>
      <c r="C368" s="3210">
        <v>2430</v>
      </c>
      <c r="D368" s="3210">
        <v>2390</v>
      </c>
      <c r="E368" s="3210">
        <v>2350</v>
      </c>
      <c r="F368" s="3210">
        <v>570</v>
      </c>
      <c r="G368" s="3223">
        <v>1450</v>
      </c>
    </row>
    <row r="369" spans="1:7" s="3203" customFormat="1">
      <c r="A369" s="3210" t="s">
        <v>3147</v>
      </c>
      <c r="B369" s="3210" t="s">
        <v>214</v>
      </c>
      <c r="C369" s="3210">
        <v>2320</v>
      </c>
      <c r="D369" s="3210">
        <v>2290</v>
      </c>
      <c r="E369" s="3210">
        <v>2250</v>
      </c>
      <c r="F369" s="3210">
        <v>550</v>
      </c>
      <c r="G369" s="3223">
        <v>1380</v>
      </c>
    </row>
    <row r="370" spans="1:7" s="3203" customFormat="1">
      <c r="A370" s="3210" t="s">
        <v>3147</v>
      </c>
      <c r="B370" s="3210" t="s">
        <v>221</v>
      </c>
      <c r="C370" s="3210">
        <v>2190</v>
      </c>
      <c r="D370" s="3210">
        <v>2170</v>
      </c>
      <c r="E370" s="3210">
        <v>2130</v>
      </c>
      <c r="F370" s="3210">
        <v>530</v>
      </c>
      <c r="G370" s="3223">
        <v>1310</v>
      </c>
    </row>
    <row r="371" spans="1:7" s="3203" customFormat="1">
      <c r="A371" s="3210" t="s">
        <v>3147</v>
      </c>
      <c r="B371" s="3210" t="s">
        <v>229</v>
      </c>
      <c r="C371" s="3210">
        <v>2460</v>
      </c>
      <c r="D371" s="3210">
        <v>2420</v>
      </c>
      <c r="E371" s="3210">
        <v>2370</v>
      </c>
      <c r="F371" s="3210">
        <v>560</v>
      </c>
      <c r="G371" s="3223">
        <v>1470</v>
      </c>
    </row>
    <row r="372" spans="1:7" s="3203" customFormat="1">
      <c r="A372" s="3210" t="s">
        <v>3147</v>
      </c>
      <c r="B372" s="3210" t="s">
        <v>3155</v>
      </c>
      <c r="C372" s="3210">
        <v>2250</v>
      </c>
      <c r="D372" s="3210">
        <v>2210</v>
      </c>
      <c r="E372" s="3210">
        <v>2180</v>
      </c>
      <c r="F372" s="3210">
        <v>550</v>
      </c>
      <c r="G372" s="3223">
        <v>1340</v>
      </c>
    </row>
    <row r="373" spans="1:7" s="3203" customFormat="1">
      <c r="A373" s="3210" t="s">
        <v>3147</v>
      </c>
      <c r="B373" s="3210" t="s">
        <v>258</v>
      </c>
      <c r="C373" s="3210">
        <v>2210</v>
      </c>
      <c r="D373" s="3210">
        <v>2190</v>
      </c>
      <c r="E373" s="3210">
        <v>2150</v>
      </c>
      <c r="F373" s="3210">
        <v>530</v>
      </c>
      <c r="G373" s="3223">
        <v>1320</v>
      </c>
    </row>
    <row r="374" spans="1:7" s="3203" customFormat="1">
      <c r="A374" s="3210" t="s">
        <v>3147</v>
      </c>
      <c r="B374" s="3210" t="s">
        <v>266</v>
      </c>
      <c r="C374" s="3210">
        <v>2320</v>
      </c>
      <c r="D374" s="3210">
        <v>2280</v>
      </c>
      <c r="E374" s="3210">
        <v>2230</v>
      </c>
      <c r="F374" s="3210">
        <v>580</v>
      </c>
      <c r="G374" s="3223">
        <v>1380</v>
      </c>
    </row>
    <row r="375" spans="1:7" s="3203" customFormat="1">
      <c r="A375" s="3210" t="s">
        <v>3147</v>
      </c>
      <c r="B375" s="3210" t="s">
        <v>3156</v>
      </c>
      <c r="C375" s="3210">
        <v>2090</v>
      </c>
      <c r="D375" s="3210">
        <v>2050</v>
      </c>
      <c r="E375" s="3210">
        <v>2020</v>
      </c>
      <c r="F375" s="3210">
        <v>520</v>
      </c>
      <c r="G375" s="3223">
        <v>1240</v>
      </c>
    </row>
    <row r="376" spans="1:7" s="3203" customFormat="1">
      <c r="A376" s="3210" t="s">
        <v>3147</v>
      </c>
      <c r="B376" s="3210" t="s">
        <v>277</v>
      </c>
      <c r="C376" s="3210">
        <v>2010</v>
      </c>
      <c r="D376" s="3210">
        <v>1980</v>
      </c>
      <c r="E376" s="3210">
        <v>1940</v>
      </c>
      <c r="F376" s="3210">
        <v>540</v>
      </c>
      <c r="G376" s="3223">
        <v>1190</v>
      </c>
    </row>
    <row r="377" spans="1:7" s="3203" customFormat="1" ht="12" thickBot="1">
      <c r="A377" s="3218" t="s">
        <v>3147</v>
      </c>
      <c r="B377" s="3221" t="s">
        <v>2909</v>
      </c>
      <c r="C377" s="3221">
        <v>1930</v>
      </c>
      <c r="D377" s="3221">
        <v>1890</v>
      </c>
      <c r="E377" s="3221">
        <v>1860</v>
      </c>
      <c r="F377" s="3221">
        <v>530</v>
      </c>
      <c r="G377" s="3226">
        <v>1150</v>
      </c>
    </row>
    <row r="378" spans="1:7" s="3203" customFormat="1">
      <c r="A378" s="3227" t="s">
        <v>3157</v>
      </c>
      <c r="B378" s="3206" t="s">
        <v>3158</v>
      </c>
      <c r="C378" s="3206">
        <v>1520</v>
      </c>
      <c r="D378" s="3206">
        <v>1490</v>
      </c>
      <c r="E378" s="3206">
        <v>1460</v>
      </c>
      <c r="F378" s="3206">
        <v>460</v>
      </c>
      <c r="G378" s="3222">
        <v>940</v>
      </c>
    </row>
    <row r="379" spans="1:7" s="3203" customFormat="1">
      <c r="A379" s="3228" t="s">
        <v>3157</v>
      </c>
      <c r="B379" s="3210" t="s">
        <v>3159</v>
      </c>
      <c r="C379" s="3210">
        <v>1500</v>
      </c>
      <c r="D379" s="3210">
        <v>1470</v>
      </c>
      <c r="E379" s="3210">
        <v>1430</v>
      </c>
      <c r="F379" s="3210">
        <v>460</v>
      </c>
      <c r="G379" s="3223">
        <v>920</v>
      </c>
    </row>
    <row r="380" spans="1:7" s="3203" customFormat="1">
      <c r="A380" s="3228" t="s">
        <v>3157</v>
      </c>
      <c r="B380" s="3210" t="s">
        <v>3160</v>
      </c>
      <c r="C380" s="3210">
        <v>1620</v>
      </c>
      <c r="D380" s="3210">
        <v>1590</v>
      </c>
      <c r="E380" s="3210">
        <v>1560</v>
      </c>
      <c r="F380" s="3210">
        <v>480</v>
      </c>
      <c r="G380" s="3223">
        <v>1000</v>
      </c>
    </row>
    <row r="381" spans="1:7" s="3203" customFormat="1">
      <c r="A381" s="3228" t="s">
        <v>3157</v>
      </c>
      <c r="B381" s="3210" t="s">
        <v>3161</v>
      </c>
      <c r="C381" s="3210">
        <v>1460</v>
      </c>
      <c r="D381" s="3210">
        <v>1430</v>
      </c>
      <c r="E381" s="3210">
        <v>1390</v>
      </c>
      <c r="F381" s="3210">
        <v>450</v>
      </c>
      <c r="G381" s="3223">
        <v>900</v>
      </c>
    </row>
    <row r="382" spans="1:7" s="3203" customFormat="1">
      <c r="A382" s="3228" t="s">
        <v>3157</v>
      </c>
      <c r="B382" s="3210" t="s">
        <v>3162</v>
      </c>
      <c r="C382" s="3210">
        <v>1310</v>
      </c>
      <c r="D382" s="3210">
        <v>1280</v>
      </c>
      <c r="E382" s="3210">
        <v>1250</v>
      </c>
      <c r="F382" s="3210">
        <v>440</v>
      </c>
      <c r="G382" s="3223">
        <v>800</v>
      </c>
    </row>
    <row r="383" spans="1:7" s="3203" customFormat="1">
      <c r="A383" s="3228" t="s">
        <v>3157</v>
      </c>
      <c r="B383" s="3210" t="s">
        <v>3163</v>
      </c>
      <c r="C383" s="3210">
        <v>1260</v>
      </c>
      <c r="D383" s="3210">
        <v>1230</v>
      </c>
      <c r="E383" s="3210">
        <v>1200</v>
      </c>
      <c r="F383" s="3210">
        <v>420</v>
      </c>
      <c r="G383" s="3223">
        <v>770</v>
      </c>
    </row>
    <row r="384" spans="1:7" s="3203" customFormat="1" ht="12" thickBot="1">
      <c r="A384" s="3229" t="s">
        <v>3157</v>
      </c>
      <c r="B384" s="3217" t="s">
        <v>3164</v>
      </c>
      <c r="C384" s="3217">
        <v>1170</v>
      </c>
      <c r="D384" s="3217">
        <v>1140</v>
      </c>
      <c r="E384" s="3217">
        <v>1120</v>
      </c>
      <c r="F384" s="3217">
        <v>400</v>
      </c>
      <c r="G384" s="3225">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69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98"/>
      <c r="C2" s="3698"/>
      <c r="D2" s="3698"/>
      <c r="E2" s="3698"/>
    </row>
    <row r="3" spans="1:5" ht="18">
      <c r="A3" s="3699" t="str">
        <f>IF(项目基本情况!B9="房地产市场价值","估价结果一览表（市场价值不需“结果表-1”）","估价结果一览表")</f>
        <v>估价结果一览表（市场价值不需“结果表-1”）</v>
      </c>
      <c r="B3" s="3699"/>
      <c r="C3" s="3699"/>
      <c r="D3" s="3699"/>
      <c r="E3" s="3699"/>
    </row>
    <row r="4" spans="1:5" ht="19.5" thickBot="1">
      <c r="A4" s="1493"/>
      <c r="B4" s="3697" t="s">
        <v>917</v>
      </c>
      <c r="C4" s="3697"/>
      <c r="D4" s="3697"/>
      <c r="E4" s="1493"/>
    </row>
    <row r="5" spans="1:5" ht="16.5" thickTop="1">
      <c r="A5" s="1491"/>
      <c r="B5" s="3695" t="s">
        <v>909</v>
      </c>
      <c r="C5" s="1494" t="s">
        <v>910</v>
      </c>
      <c r="D5" s="850">
        <f ca="1">结果表!H101</f>
        <v>196852</v>
      </c>
      <c r="E5" s="1491"/>
    </row>
    <row r="6" spans="1:5" ht="15.75">
      <c r="A6" s="1491"/>
      <c r="B6" s="3695"/>
      <c r="C6" s="1494" t="s">
        <v>911</v>
      </c>
      <c r="D6" s="850" t="str">
        <f ca="1">NUMBERSTRING(INT(D5*10000),2)&amp;"元整"</f>
        <v>壹拾玖亿陆仟捌佰伍拾贰万元整</v>
      </c>
      <c r="E6" s="1491"/>
    </row>
    <row r="7" spans="1:5" ht="15.75">
      <c r="A7" s="1491"/>
      <c r="B7" s="3700"/>
      <c r="C7" s="1495" t="s">
        <v>912</v>
      </c>
      <c r="D7" s="851">
        <f ca="1">结果表!H102</f>
        <v>40404</v>
      </c>
      <c r="E7" s="1491"/>
    </row>
    <row r="8" spans="1:5" ht="15.75">
      <c r="A8" s="1491"/>
      <c r="B8" s="3701" t="str">
        <f>结果表!E103</f>
        <v>2.估价师知悉的法定优先受偿款</v>
      </c>
      <c r="C8" s="1496" t="s">
        <v>913</v>
      </c>
      <c r="D8" s="851">
        <f>结果表!H103</f>
        <v>0</v>
      </c>
      <c r="E8" s="1491"/>
    </row>
    <row r="9" spans="1:5" ht="15.75">
      <c r="A9" s="1491"/>
      <c r="B9" s="370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694" t="str">
        <f>结果表!E107</f>
        <v>3.房地产抵押价值</v>
      </c>
      <c r="C13" s="1499" t="s">
        <v>910</v>
      </c>
      <c r="D13" s="853">
        <f ca="1">结果表!H107</f>
        <v>196852</v>
      </c>
      <c r="E13" s="1491"/>
    </row>
    <row r="14" spans="1:5" ht="15.75">
      <c r="A14" s="1491"/>
      <c r="B14" s="3695"/>
      <c r="C14" s="1494" t="s">
        <v>911</v>
      </c>
      <c r="D14" s="850" t="str">
        <f ca="1">NUMBERSTRING(INT(D13*10000),2)&amp;"元整"</f>
        <v>壹拾玖亿陆仟捌佰伍拾贰万元整</v>
      </c>
      <c r="E14" s="1491"/>
    </row>
    <row r="15" spans="1:5" ht="15">
      <c r="A15" s="1491"/>
      <c r="B15" s="3700"/>
      <c r="C15" s="1495" t="s">
        <v>921</v>
      </c>
      <c r="D15" s="859">
        <f ca="1">结果表!H108</f>
        <v>40404</v>
      </c>
      <c r="E15" s="1491"/>
    </row>
    <row r="16" spans="1:5" ht="15">
      <c r="A16" s="1491"/>
      <c r="B16" s="3701" t="str">
        <f>结果表!E109</f>
        <v>——</v>
      </c>
      <c r="C16" s="1499" t="s">
        <v>922</v>
      </c>
      <c r="D16" s="1500" t="str">
        <f>结果表!H109</f>
        <v>——</v>
      </c>
      <c r="E16" s="1491"/>
    </row>
    <row r="17" spans="1:5" ht="15.75">
      <c r="A17" s="1491"/>
      <c r="B17" s="3702"/>
      <c r="C17" s="1494" t="s">
        <v>923</v>
      </c>
      <c r="D17" s="850" t="e">
        <f>NUMBERSTRING(INT(D16*10000),2)&amp;"元整"</f>
        <v>#VALUE!</v>
      </c>
      <c r="E17" s="1491"/>
    </row>
    <row r="18" spans="1:5" ht="15">
      <c r="A18" s="1491"/>
      <c r="B18" s="3703"/>
      <c r="C18" s="1495" t="s">
        <v>912</v>
      </c>
      <c r="D18" s="859" t="str">
        <f>结果表!H110</f>
        <v>——</v>
      </c>
      <c r="E18" s="1491"/>
    </row>
    <row r="19" spans="1:5" ht="15.75">
      <c r="A19" s="1491"/>
      <c r="B19" s="3694" t="str">
        <f>结果表!E111</f>
        <v>4.抵押净值</v>
      </c>
      <c r="C19" s="1499" t="s">
        <v>910</v>
      </c>
      <c r="D19" s="851">
        <f ca="1">结果表!H111</f>
        <v>188390</v>
      </c>
      <c r="E19" s="1491"/>
    </row>
    <row r="20" spans="1:5" ht="15.75">
      <c r="A20" s="1491"/>
      <c r="B20" s="3695"/>
      <c r="C20" s="1494" t="s">
        <v>923</v>
      </c>
      <c r="D20" s="850" t="str">
        <f ca="1">NUMBERSTRING(INT(D19*10000),2)&amp;"元整"</f>
        <v>壹拾捌亿捌仟叁佰玖拾万元整</v>
      </c>
      <c r="E20" s="1491"/>
    </row>
    <row r="21" spans="1:5" ht="15.75" thickBot="1">
      <c r="A21" s="1491"/>
      <c r="B21" s="3696"/>
      <c r="C21" s="1501" t="s">
        <v>921</v>
      </c>
      <c r="D21" s="860">
        <f ca="1">结果表!H112</f>
        <v>38667</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66" customWidth="1"/>
    <col min="2" max="2" width="20" style="3266" customWidth="1"/>
    <col min="3" max="7" width="8.875" style="3230"/>
    <col min="8" max="16384" width="8.875" style="3231"/>
  </cols>
  <sheetData>
    <row r="1" spans="1:7">
      <c r="A1" s="4000" t="s">
        <v>3165</v>
      </c>
      <c r="B1" s="4000"/>
    </row>
    <row r="2" spans="1:7" ht="14.25" thickBot="1">
      <c r="A2" s="3232"/>
      <c r="B2" s="3232"/>
    </row>
    <row r="3" spans="1:7" ht="14.25" thickBot="1">
      <c r="A3" s="3232"/>
      <c r="B3" s="3232"/>
      <c r="C3" s="3233" t="s">
        <v>2795</v>
      </c>
      <c r="D3" s="3233" t="s">
        <v>2851</v>
      </c>
      <c r="E3" s="3233" t="s">
        <v>2797</v>
      </c>
      <c r="F3" s="3233" t="s">
        <v>2852</v>
      </c>
      <c r="G3" s="3233" t="s">
        <v>2615</v>
      </c>
    </row>
    <row r="4" spans="1:7" ht="14.25" thickBot="1">
      <c r="A4" s="3234" t="s">
        <v>2850</v>
      </c>
      <c r="B4" s="3235" t="s">
        <v>2856</v>
      </c>
      <c r="C4" s="3233"/>
      <c r="D4" s="3233"/>
      <c r="E4" s="3233"/>
      <c r="F4" s="3233"/>
      <c r="G4" s="3233"/>
    </row>
    <row r="5" spans="1:7">
      <c r="A5" s="3236" t="s">
        <v>2824</v>
      </c>
      <c r="B5" s="3237" t="s">
        <v>2838</v>
      </c>
      <c r="C5" s="3238">
        <v>9.8000000000000004E-2</v>
      </c>
      <c r="D5" s="3238">
        <v>8.6999999999999994E-2</v>
      </c>
      <c r="E5" s="3238">
        <v>8.6999999999999994E-2</v>
      </c>
      <c r="F5" s="3238">
        <v>9.8000000000000004E-2</v>
      </c>
      <c r="G5" s="3239">
        <v>9.5000000000000001E-2</v>
      </c>
    </row>
    <row r="6" spans="1:7">
      <c r="A6" s="3240" t="s">
        <v>144</v>
      </c>
      <c r="B6" s="3241" t="s">
        <v>2853</v>
      </c>
      <c r="C6" s="3242">
        <v>9.8000000000000004E-2</v>
      </c>
      <c r="D6" s="3242">
        <v>9.8000000000000004E-2</v>
      </c>
      <c r="E6" s="3242">
        <v>9.8000000000000004E-2</v>
      </c>
      <c r="F6" s="3242">
        <v>0.1</v>
      </c>
      <c r="G6" s="3243">
        <v>9.9000000000000005E-2</v>
      </c>
    </row>
    <row r="7" spans="1:7">
      <c r="A7" s="3240" t="s">
        <v>144</v>
      </c>
      <c r="B7" s="3241" t="s">
        <v>137</v>
      </c>
      <c r="C7" s="3242">
        <v>9.7000000000000003E-2</v>
      </c>
      <c r="D7" s="3242">
        <v>9.7000000000000003E-2</v>
      </c>
      <c r="E7" s="3242">
        <v>9.6000000000000002E-2</v>
      </c>
      <c r="F7" s="3242">
        <v>0.1</v>
      </c>
      <c r="G7" s="3243">
        <v>9.8000000000000004E-2</v>
      </c>
    </row>
    <row r="8" spans="1:7">
      <c r="A8" s="3240" t="s">
        <v>144</v>
      </c>
      <c r="B8" s="3241" t="s">
        <v>145</v>
      </c>
      <c r="C8" s="3242">
        <v>8.1000000000000003E-2</v>
      </c>
      <c r="D8" s="3242">
        <v>8.2000000000000003E-2</v>
      </c>
      <c r="E8" s="3242">
        <v>7.0000000000000007E-2</v>
      </c>
      <c r="F8" s="3242">
        <v>9.6000000000000002E-2</v>
      </c>
      <c r="G8" s="3243">
        <v>8.8999999999999996E-2</v>
      </c>
    </row>
    <row r="9" spans="1:7" ht="14.25" thickBot="1">
      <c r="A9" s="3244" t="s">
        <v>144</v>
      </c>
      <c r="B9" s="3245" t="s">
        <v>154</v>
      </c>
      <c r="C9" s="3246">
        <v>0.1</v>
      </c>
      <c r="D9" s="3246">
        <v>0.1</v>
      </c>
      <c r="E9" s="3246">
        <v>0.1</v>
      </c>
      <c r="F9" s="3247"/>
      <c r="G9" s="3248">
        <v>0.1</v>
      </c>
    </row>
    <row r="10" spans="1:7">
      <c r="A10" s="3236" t="s">
        <v>184</v>
      </c>
      <c r="B10" s="3237" t="s">
        <v>2839</v>
      </c>
      <c r="C10" s="3238">
        <v>6.7000000000000004E-2</v>
      </c>
      <c r="D10" s="3238">
        <v>7.9000000000000001E-2</v>
      </c>
      <c r="E10" s="3238">
        <v>7.9000000000000001E-2</v>
      </c>
      <c r="F10" s="3238">
        <v>0.1</v>
      </c>
      <c r="G10" s="3239">
        <v>9.0999999999999998E-2</v>
      </c>
    </row>
    <row r="11" spans="1:7">
      <c r="A11" s="3240" t="s">
        <v>184</v>
      </c>
      <c r="B11" s="3241" t="s">
        <v>128</v>
      </c>
      <c r="C11" s="3242">
        <v>0.05</v>
      </c>
      <c r="D11" s="3242">
        <v>5.2999999999999999E-2</v>
      </c>
      <c r="E11" s="3242">
        <v>6.3E-2</v>
      </c>
      <c r="F11" s="3242">
        <v>0.1</v>
      </c>
      <c r="G11" s="3243">
        <v>7.1999999999999995E-2</v>
      </c>
    </row>
    <row r="12" spans="1:7">
      <c r="A12" s="3240" t="s">
        <v>184</v>
      </c>
      <c r="B12" s="3241" t="s">
        <v>111</v>
      </c>
      <c r="C12" s="3242">
        <v>5.2999999999999999E-2</v>
      </c>
      <c r="D12" s="3242">
        <v>0.09</v>
      </c>
      <c r="E12" s="3242">
        <v>7.1999999999999995E-2</v>
      </c>
      <c r="F12" s="3242">
        <v>0.1</v>
      </c>
      <c r="G12" s="3243">
        <v>9.7000000000000003E-2</v>
      </c>
    </row>
    <row r="13" spans="1:7">
      <c r="A13" s="3240" t="s">
        <v>184</v>
      </c>
      <c r="B13" s="3241" t="s">
        <v>146</v>
      </c>
      <c r="C13" s="3242">
        <v>9.7000000000000003E-2</v>
      </c>
      <c r="D13" s="3242">
        <v>9.1999999999999998E-2</v>
      </c>
      <c r="E13" s="3242">
        <v>9.5000000000000001E-2</v>
      </c>
      <c r="F13" s="3242">
        <v>0.1</v>
      </c>
      <c r="G13" s="3243">
        <v>9.7000000000000003E-2</v>
      </c>
    </row>
    <row r="14" spans="1:7">
      <c r="A14" s="3240" t="s">
        <v>184</v>
      </c>
      <c r="B14" s="3241" t="s">
        <v>155</v>
      </c>
      <c r="C14" s="3242">
        <v>9.7000000000000003E-2</v>
      </c>
      <c r="D14" s="3242">
        <v>9.7000000000000003E-2</v>
      </c>
      <c r="E14" s="3242">
        <v>9.7000000000000003E-2</v>
      </c>
      <c r="F14" s="3242">
        <v>0.1</v>
      </c>
      <c r="G14" s="3243">
        <v>9.8000000000000004E-2</v>
      </c>
    </row>
    <row r="15" spans="1:7">
      <c r="A15" s="3240" t="s">
        <v>184</v>
      </c>
      <c r="B15" s="3241" t="s">
        <v>162</v>
      </c>
      <c r="C15" s="3242">
        <v>9.8000000000000004E-2</v>
      </c>
      <c r="D15" s="3242">
        <v>9.0999999999999998E-2</v>
      </c>
      <c r="E15" s="3242">
        <v>0.06</v>
      </c>
      <c r="F15" s="3242">
        <v>0.1</v>
      </c>
      <c r="G15" s="3243">
        <v>9.7000000000000003E-2</v>
      </c>
    </row>
    <row r="16" spans="1:7">
      <c r="A16" s="3240" t="s">
        <v>184</v>
      </c>
      <c r="B16" s="3241" t="s">
        <v>168</v>
      </c>
      <c r="C16" s="3242">
        <v>9.8000000000000004E-2</v>
      </c>
      <c r="D16" s="3242">
        <v>9.7000000000000003E-2</v>
      </c>
      <c r="E16" s="3242">
        <v>9.5000000000000001E-2</v>
      </c>
      <c r="F16" s="3242">
        <v>0.1</v>
      </c>
      <c r="G16" s="3243">
        <v>9.9000000000000005E-2</v>
      </c>
    </row>
    <row r="17" spans="1:7">
      <c r="A17" s="3240" t="s">
        <v>184</v>
      </c>
      <c r="B17" s="3241" t="s">
        <v>175</v>
      </c>
      <c r="C17" s="3242">
        <v>8.8999999999999996E-2</v>
      </c>
      <c r="D17" s="3242">
        <v>9.1999999999999998E-2</v>
      </c>
      <c r="E17" s="3242">
        <v>6.0999999999999999E-2</v>
      </c>
      <c r="F17" s="3242">
        <v>0.1</v>
      </c>
      <c r="G17" s="3243">
        <v>9.7000000000000003E-2</v>
      </c>
    </row>
    <row r="18" spans="1:7">
      <c r="A18" s="3240" t="s">
        <v>184</v>
      </c>
      <c r="B18" s="3241" t="s">
        <v>185</v>
      </c>
      <c r="C18" s="3242">
        <v>9.8000000000000004E-2</v>
      </c>
      <c r="D18" s="3242">
        <v>9.8000000000000004E-2</v>
      </c>
      <c r="E18" s="3242">
        <v>9.8000000000000004E-2</v>
      </c>
      <c r="F18" s="3249"/>
      <c r="G18" s="3243">
        <v>9.9000000000000005E-2</v>
      </c>
    </row>
    <row r="19" spans="1:7">
      <c r="A19" s="3240" t="s">
        <v>184</v>
      </c>
      <c r="B19" s="3241" t="s">
        <v>194</v>
      </c>
      <c r="C19" s="3242">
        <v>9.9000000000000005E-2</v>
      </c>
      <c r="D19" s="3242">
        <v>7.3999999999999996E-2</v>
      </c>
      <c r="E19" s="3242">
        <v>8.1000000000000003E-2</v>
      </c>
      <c r="F19" s="3249"/>
      <c r="G19" s="3243">
        <v>9.2999999999999999E-2</v>
      </c>
    </row>
    <row r="20" spans="1:7">
      <c r="A20" s="3240" t="s">
        <v>184</v>
      </c>
      <c r="B20" s="3241" t="s">
        <v>201</v>
      </c>
      <c r="C20" s="3242">
        <v>0.1</v>
      </c>
      <c r="D20" s="3242">
        <v>8.8999999999999996E-2</v>
      </c>
      <c r="E20" s="3242">
        <v>8.8999999999999996E-2</v>
      </c>
      <c r="F20" s="3249"/>
      <c r="G20" s="3243">
        <v>9.5000000000000001E-2</v>
      </c>
    </row>
    <row r="21" spans="1:7">
      <c r="A21" s="3240" t="s">
        <v>184</v>
      </c>
      <c r="B21" s="3241" t="s">
        <v>208</v>
      </c>
      <c r="C21" s="3242">
        <v>0.1</v>
      </c>
      <c r="D21" s="3242">
        <v>9.0999999999999998E-2</v>
      </c>
      <c r="E21" s="3242">
        <v>8.2000000000000003E-2</v>
      </c>
      <c r="F21" s="3249"/>
      <c r="G21" s="3243">
        <v>9.7000000000000003E-2</v>
      </c>
    </row>
    <row r="22" spans="1:7">
      <c r="A22" s="3240" t="s">
        <v>184</v>
      </c>
      <c r="B22" s="3241" t="s">
        <v>2889</v>
      </c>
      <c r="C22" s="3242">
        <v>9.5000000000000001E-2</v>
      </c>
      <c r="D22" s="3242">
        <v>9.9000000000000005E-2</v>
      </c>
      <c r="E22" s="3242">
        <v>9.8000000000000004E-2</v>
      </c>
      <c r="F22" s="3249"/>
      <c r="G22" s="3243">
        <v>0.1</v>
      </c>
    </row>
    <row r="23" spans="1:7">
      <c r="A23" s="3240" t="s">
        <v>184</v>
      </c>
      <c r="B23" s="3241" t="s">
        <v>222</v>
      </c>
      <c r="C23" s="3242">
        <v>9.9000000000000005E-2</v>
      </c>
      <c r="D23" s="3242">
        <v>0.1</v>
      </c>
      <c r="E23" s="3242">
        <v>0.1</v>
      </c>
      <c r="F23" s="3249"/>
      <c r="G23" s="3243">
        <v>0.1</v>
      </c>
    </row>
    <row r="24" spans="1:7">
      <c r="A24" s="3240" t="s">
        <v>184</v>
      </c>
      <c r="B24" s="3241" t="s">
        <v>230</v>
      </c>
      <c r="C24" s="3242">
        <v>9.5000000000000001E-2</v>
      </c>
      <c r="D24" s="3242">
        <v>0.1</v>
      </c>
      <c r="E24" s="3242">
        <v>9.8000000000000004E-2</v>
      </c>
      <c r="F24" s="3249"/>
      <c r="G24" s="3243">
        <v>0.1</v>
      </c>
    </row>
    <row r="25" spans="1:7">
      <c r="A25" s="3240" t="s">
        <v>184</v>
      </c>
      <c r="B25" s="3241" t="s">
        <v>235</v>
      </c>
      <c r="C25" s="3242">
        <v>0.05</v>
      </c>
      <c r="D25" s="3242">
        <v>9.6000000000000002E-2</v>
      </c>
      <c r="E25" s="3242">
        <v>9.6000000000000002E-2</v>
      </c>
      <c r="F25" s="3249"/>
      <c r="G25" s="3243">
        <v>9.6000000000000002E-2</v>
      </c>
    </row>
    <row r="26" spans="1:7">
      <c r="A26" s="3240" t="s">
        <v>184</v>
      </c>
      <c r="B26" s="3241" t="s">
        <v>244</v>
      </c>
      <c r="C26" s="3242">
        <v>6.3E-2</v>
      </c>
      <c r="D26" s="3242">
        <v>9.9000000000000005E-2</v>
      </c>
      <c r="E26" s="3242">
        <v>9.8000000000000004E-2</v>
      </c>
      <c r="F26" s="3249"/>
      <c r="G26" s="3243">
        <v>0.1</v>
      </c>
    </row>
    <row r="27" spans="1:7">
      <c r="A27" s="3240" t="s">
        <v>184</v>
      </c>
      <c r="B27" s="3241" t="s">
        <v>251</v>
      </c>
      <c r="C27" s="3242">
        <v>5.1999999999999998E-2</v>
      </c>
      <c r="D27" s="3242">
        <v>9.5000000000000001E-2</v>
      </c>
      <c r="E27" s="3242">
        <v>6.4000000000000001E-2</v>
      </c>
      <c r="F27" s="3249"/>
      <c r="G27" s="3243">
        <v>9.7000000000000003E-2</v>
      </c>
    </row>
    <row r="28" spans="1:7">
      <c r="A28" s="3240" t="s">
        <v>184</v>
      </c>
      <c r="B28" s="3241" t="s">
        <v>259</v>
      </c>
      <c r="C28" s="3249"/>
      <c r="D28" s="3242">
        <v>6.3E-2</v>
      </c>
      <c r="E28" s="3242">
        <v>5.1999999999999998E-2</v>
      </c>
      <c r="F28" s="3249"/>
      <c r="G28" s="3243">
        <v>6.3E-2</v>
      </c>
    </row>
    <row r="29" spans="1:7" ht="14.25" thickBot="1">
      <c r="A29" s="3244" t="s">
        <v>184</v>
      </c>
      <c r="B29" s="3245" t="s">
        <v>2907</v>
      </c>
      <c r="C29" s="3250"/>
      <c r="D29" s="3246">
        <v>5.1999999999999998E-2</v>
      </c>
      <c r="E29" s="3246">
        <v>7.0000000000000007E-2</v>
      </c>
      <c r="F29" s="3250"/>
      <c r="G29" s="3248">
        <v>7.0999999999999994E-2</v>
      </c>
    </row>
    <row r="30" spans="1:7">
      <c r="A30" s="3251" t="s">
        <v>296</v>
      </c>
      <c r="B30" s="3237" t="s">
        <v>2840</v>
      </c>
      <c r="C30" s="3238">
        <v>6.6000000000000003E-2</v>
      </c>
      <c r="D30" s="3238">
        <v>6.6000000000000003E-2</v>
      </c>
      <c r="E30" s="3238">
        <v>5.7000000000000002E-2</v>
      </c>
      <c r="F30" s="3238">
        <v>0.1</v>
      </c>
      <c r="G30" s="3239">
        <v>6.8000000000000005E-2</v>
      </c>
    </row>
    <row r="31" spans="1:7">
      <c r="A31" s="3252" t="s">
        <v>296</v>
      </c>
      <c r="B31" s="3241" t="s">
        <v>129</v>
      </c>
      <c r="C31" s="3242">
        <v>5.5E-2</v>
      </c>
      <c r="D31" s="3242">
        <v>8.2000000000000003E-2</v>
      </c>
      <c r="E31" s="3242">
        <v>6.4000000000000001E-2</v>
      </c>
      <c r="F31" s="3242">
        <v>0.1</v>
      </c>
      <c r="G31" s="3243">
        <v>9.5000000000000001E-2</v>
      </c>
    </row>
    <row r="32" spans="1:7">
      <c r="A32" s="3252" t="s">
        <v>296</v>
      </c>
      <c r="B32" s="3241" t="s">
        <v>138</v>
      </c>
      <c r="C32" s="3242">
        <v>8.2000000000000003E-2</v>
      </c>
      <c r="D32" s="3242">
        <v>8.6999999999999994E-2</v>
      </c>
      <c r="E32" s="3242">
        <v>9.5000000000000001E-2</v>
      </c>
      <c r="F32" s="3242">
        <v>0.1</v>
      </c>
      <c r="G32" s="3243">
        <v>9.6000000000000002E-2</v>
      </c>
    </row>
    <row r="33" spans="1:7">
      <c r="A33" s="3252" t="s">
        <v>296</v>
      </c>
      <c r="B33" s="3241" t="s">
        <v>147</v>
      </c>
      <c r="C33" s="3242">
        <v>9.9000000000000005E-2</v>
      </c>
      <c r="D33" s="3242">
        <v>9.1999999999999998E-2</v>
      </c>
      <c r="E33" s="3242">
        <v>8.6999999999999994E-2</v>
      </c>
      <c r="F33" s="3242">
        <v>0.1</v>
      </c>
      <c r="G33" s="3243">
        <v>9.7000000000000003E-2</v>
      </c>
    </row>
    <row r="34" spans="1:7">
      <c r="A34" s="3252" t="s">
        <v>296</v>
      </c>
      <c r="B34" s="3241" t="s">
        <v>156</v>
      </c>
      <c r="C34" s="3242">
        <v>8.4000000000000005E-2</v>
      </c>
      <c r="D34" s="3242">
        <v>9.7000000000000003E-2</v>
      </c>
      <c r="E34" s="3242">
        <v>7.0999999999999994E-2</v>
      </c>
      <c r="F34" s="3242">
        <v>0.1</v>
      </c>
      <c r="G34" s="3243">
        <v>9.8000000000000004E-2</v>
      </c>
    </row>
    <row r="35" spans="1:7">
      <c r="A35" s="3252" t="s">
        <v>296</v>
      </c>
      <c r="B35" s="3241" t="s">
        <v>163</v>
      </c>
      <c r="C35" s="3242">
        <v>8.3000000000000004E-2</v>
      </c>
      <c r="D35" s="3242">
        <v>9.7000000000000003E-2</v>
      </c>
      <c r="E35" s="3242">
        <v>6.0999999999999999E-2</v>
      </c>
      <c r="F35" s="3242">
        <v>0.1</v>
      </c>
      <c r="G35" s="3243">
        <v>9.9000000000000005E-2</v>
      </c>
    </row>
    <row r="36" spans="1:7">
      <c r="A36" s="3252" t="s">
        <v>296</v>
      </c>
      <c r="B36" s="3241" t="s">
        <v>169</v>
      </c>
      <c r="C36" s="3242">
        <v>9.7000000000000003E-2</v>
      </c>
      <c r="D36" s="3242">
        <v>9.7000000000000003E-2</v>
      </c>
      <c r="E36" s="3242">
        <v>7.8E-2</v>
      </c>
      <c r="F36" s="3242">
        <v>0.1</v>
      </c>
      <c r="G36" s="3243">
        <v>9.9000000000000005E-2</v>
      </c>
    </row>
    <row r="37" spans="1:7">
      <c r="A37" s="3252" t="s">
        <v>296</v>
      </c>
      <c r="B37" s="3241" t="s">
        <v>176</v>
      </c>
      <c r="C37" s="3242">
        <v>9.7000000000000003E-2</v>
      </c>
      <c r="D37" s="3242">
        <v>9.5000000000000001E-2</v>
      </c>
      <c r="E37" s="3242">
        <v>7.8E-2</v>
      </c>
      <c r="F37" s="3242">
        <v>0.1</v>
      </c>
      <c r="G37" s="3243">
        <v>9.7000000000000003E-2</v>
      </c>
    </row>
    <row r="38" spans="1:7">
      <c r="A38" s="3252" t="s">
        <v>296</v>
      </c>
      <c r="B38" s="3241" t="s">
        <v>186</v>
      </c>
      <c r="C38" s="3242">
        <v>9.7000000000000003E-2</v>
      </c>
      <c r="D38" s="3242">
        <v>7.6999999999999999E-2</v>
      </c>
      <c r="E38" s="3242">
        <v>7.0000000000000007E-2</v>
      </c>
      <c r="F38" s="3242">
        <v>0.1</v>
      </c>
      <c r="G38" s="3243">
        <v>7.6999999999999999E-2</v>
      </c>
    </row>
    <row r="39" spans="1:7">
      <c r="A39" s="3252" t="s">
        <v>296</v>
      </c>
      <c r="B39" s="3241" t="s">
        <v>195</v>
      </c>
      <c r="C39" s="3242">
        <v>9.5000000000000001E-2</v>
      </c>
      <c r="D39" s="3242">
        <v>7.6999999999999999E-2</v>
      </c>
      <c r="E39" s="3242">
        <v>6.6000000000000003E-2</v>
      </c>
      <c r="F39" s="3242">
        <v>0.1</v>
      </c>
      <c r="G39" s="3243">
        <v>8.5999999999999993E-2</v>
      </c>
    </row>
    <row r="40" spans="1:7">
      <c r="A40" s="3252" t="s">
        <v>296</v>
      </c>
      <c r="B40" s="3241" t="s">
        <v>202</v>
      </c>
      <c r="C40" s="3242">
        <v>7.6999999999999999E-2</v>
      </c>
      <c r="D40" s="3242">
        <v>7.8E-2</v>
      </c>
      <c r="E40" s="3242">
        <v>8.2000000000000003E-2</v>
      </c>
      <c r="F40" s="3253"/>
      <c r="G40" s="3243">
        <v>7.8E-2</v>
      </c>
    </row>
    <row r="41" spans="1:7">
      <c r="A41" s="3252" t="s">
        <v>296</v>
      </c>
      <c r="B41" s="3241" t="s">
        <v>209</v>
      </c>
      <c r="C41" s="3242">
        <v>7.8E-2</v>
      </c>
      <c r="D41" s="3242">
        <v>7.8E-2</v>
      </c>
      <c r="E41" s="3242">
        <v>8.2000000000000003E-2</v>
      </c>
      <c r="F41" s="3253"/>
      <c r="G41" s="3243">
        <v>8.5999999999999993E-2</v>
      </c>
    </row>
    <row r="42" spans="1:7">
      <c r="A42" s="3252" t="s">
        <v>296</v>
      </c>
      <c r="B42" s="3241" t="s">
        <v>215</v>
      </c>
      <c r="C42" s="3242">
        <v>7.8E-2</v>
      </c>
      <c r="D42" s="3242">
        <v>9.6000000000000002E-2</v>
      </c>
      <c r="E42" s="3242">
        <v>7.1999999999999995E-2</v>
      </c>
      <c r="F42" s="3253"/>
      <c r="G42" s="3243">
        <v>9.8000000000000004E-2</v>
      </c>
    </row>
    <row r="43" spans="1:7">
      <c r="A43" s="3252" t="s">
        <v>2826</v>
      </c>
      <c r="B43" s="3241" t="s">
        <v>223</v>
      </c>
      <c r="C43" s="3242">
        <v>7.8E-2</v>
      </c>
      <c r="D43" s="3242">
        <v>9.9000000000000005E-2</v>
      </c>
      <c r="E43" s="3242">
        <v>9.6000000000000002E-2</v>
      </c>
      <c r="F43" s="3253"/>
      <c r="G43" s="3243">
        <v>0.1</v>
      </c>
    </row>
    <row r="44" spans="1:7">
      <c r="A44" s="3252" t="s">
        <v>296</v>
      </c>
      <c r="B44" s="3241" t="s">
        <v>231</v>
      </c>
      <c r="C44" s="3242">
        <v>9.6000000000000002E-2</v>
      </c>
      <c r="D44" s="3242">
        <v>0.1</v>
      </c>
      <c r="E44" s="3242">
        <v>9.8000000000000004E-2</v>
      </c>
      <c r="F44" s="3253"/>
      <c r="G44" s="3243">
        <v>0.1</v>
      </c>
    </row>
    <row r="45" spans="1:7">
      <c r="A45" s="3252" t="s">
        <v>296</v>
      </c>
      <c r="B45" s="3241" t="s">
        <v>236</v>
      </c>
      <c r="C45" s="3242">
        <v>9.9000000000000005E-2</v>
      </c>
      <c r="D45" s="3242">
        <v>9.8000000000000004E-2</v>
      </c>
      <c r="E45" s="3242">
        <v>9.5000000000000001E-2</v>
      </c>
      <c r="F45" s="3253"/>
      <c r="G45" s="3243">
        <v>9.8000000000000004E-2</v>
      </c>
    </row>
    <row r="46" spans="1:7">
      <c r="A46" s="3252" t="s">
        <v>296</v>
      </c>
      <c r="B46" s="3241" t="s">
        <v>245</v>
      </c>
      <c r="C46" s="3242">
        <v>0.1</v>
      </c>
      <c r="D46" s="3242">
        <v>9.9000000000000005E-2</v>
      </c>
      <c r="E46" s="3242">
        <v>9.6000000000000002E-2</v>
      </c>
      <c r="F46" s="3253"/>
      <c r="G46" s="3243">
        <v>0.1</v>
      </c>
    </row>
    <row r="47" spans="1:7">
      <c r="A47" s="3252" t="s">
        <v>296</v>
      </c>
      <c r="B47" s="3241" t="s">
        <v>252</v>
      </c>
      <c r="C47" s="3242">
        <v>9.8000000000000004E-2</v>
      </c>
      <c r="D47" s="3242">
        <v>8.6999999999999994E-2</v>
      </c>
      <c r="E47" s="3242">
        <v>5.8999999999999997E-2</v>
      </c>
      <c r="F47" s="3253"/>
      <c r="G47" s="3243">
        <v>9.6000000000000002E-2</v>
      </c>
    </row>
    <row r="48" spans="1:7">
      <c r="A48" s="3252" t="s">
        <v>296</v>
      </c>
      <c r="B48" s="3241" t="s">
        <v>260</v>
      </c>
      <c r="C48" s="3242">
        <v>9.9000000000000005E-2</v>
      </c>
      <c r="D48" s="3242">
        <v>9.8000000000000004E-2</v>
      </c>
      <c r="E48" s="3242">
        <v>9.5000000000000001E-2</v>
      </c>
      <c r="F48" s="3253"/>
      <c r="G48" s="3243">
        <v>9.8000000000000004E-2</v>
      </c>
    </row>
    <row r="49" spans="1:7">
      <c r="A49" s="3252" t="s">
        <v>296</v>
      </c>
      <c r="B49" s="3241" t="s">
        <v>267</v>
      </c>
      <c r="C49" s="3242">
        <v>8.7999999999999995E-2</v>
      </c>
      <c r="D49" s="3242">
        <v>9.9000000000000005E-2</v>
      </c>
      <c r="E49" s="3242">
        <v>7.0000000000000007E-2</v>
      </c>
      <c r="F49" s="3253"/>
      <c r="G49" s="3243">
        <v>0.1</v>
      </c>
    </row>
    <row r="50" spans="1:7">
      <c r="A50" s="3252" t="s">
        <v>296</v>
      </c>
      <c r="B50" s="3241" t="s">
        <v>2910</v>
      </c>
      <c r="C50" s="3242">
        <v>9.8000000000000004E-2</v>
      </c>
      <c r="D50" s="3242">
        <v>7.2999999999999995E-2</v>
      </c>
      <c r="E50" s="3242">
        <v>7.0999999999999994E-2</v>
      </c>
      <c r="F50" s="3253"/>
      <c r="G50" s="3243">
        <v>7.2999999999999995E-2</v>
      </c>
    </row>
    <row r="51" spans="1:7">
      <c r="A51" s="3252" t="s">
        <v>296</v>
      </c>
      <c r="B51" s="3241" t="s">
        <v>2912</v>
      </c>
      <c r="C51" s="3242">
        <v>9.9000000000000005E-2</v>
      </c>
      <c r="D51" s="3242">
        <v>8.5000000000000006E-2</v>
      </c>
      <c r="E51" s="3242">
        <v>6.3E-2</v>
      </c>
      <c r="F51" s="3253"/>
      <c r="G51" s="3243">
        <v>9.6000000000000002E-2</v>
      </c>
    </row>
    <row r="52" spans="1:7">
      <c r="A52" s="3252" t="s">
        <v>296</v>
      </c>
      <c r="B52" s="3241" t="s">
        <v>2916</v>
      </c>
      <c r="C52" s="3242">
        <v>7.3999999999999996E-2</v>
      </c>
      <c r="D52" s="3242">
        <v>9.6000000000000002E-2</v>
      </c>
      <c r="E52" s="3242">
        <v>0.05</v>
      </c>
      <c r="F52" s="3253"/>
      <c r="G52" s="3243">
        <v>9.8000000000000004E-2</v>
      </c>
    </row>
    <row r="53" spans="1:7">
      <c r="A53" s="3252" t="s">
        <v>296</v>
      </c>
      <c r="B53" s="3241" t="s">
        <v>2921</v>
      </c>
      <c r="C53" s="3242">
        <v>8.5999999999999993E-2</v>
      </c>
      <c r="D53" s="3253"/>
      <c r="E53" s="3242">
        <v>9.1999999999999998E-2</v>
      </c>
      <c r="F53" s="3253"/>
      <c r="G53" s="3254"/>
    </row>
    <row r="54" spans="1:7" ht="14.25" thickBot="1">
      <c r="A54" s="3255" t="s">
        <v>296</v>
      </c>
      <c r="B54" s="3245" t="s">
        <v>2924</v>
      </c>
      <c r="C54" s="3246">
        <v>9.6000000000000002E-2</v>
      </c>
      <c r="D54" s="3247"/>
      <c r="E54" s="3256"/>
      <c r="F54" s="3247"/>
      <c r="G54" s="3257"/>
    </row>
    <row r="55" spans="1:7">
      <c r="A55" s="3251" t="s">
        <v>110</v>
      </c>
      <c r="B55" s="3237" t="s">
        <v>2841</v>
      </c>
      <c r="C55" s="3238">
        <v>9.6000000000000002E-2</v>
      </c>
      <c r="D55" s="3238">
        <v>8.4000000000000005E-2</v>
      </c>
      <c r="E55" s="3238">
        <v>9.1999999999999998E-2</v>
      </c>
      <c r="F55" s="3238">
        <v>0.1</v>
      </c>
      <c r="G55" s="3239">
        <v>9.5000000000000001E-2</v>
      </c>
    </row>
    <row r="56" spans="1:7">
      <c r="A56" s="3252" t="s">
        <v>110</v>
      </c>
      <c r="B56" s="3241" t="s">
        <v>130</v>
      </c>
      <c r="C56" s="3242">
        <v>8.4000000000000005E-2</v>
      </c>
      <c r="D56" s="3242">
        <v>9.1999999999999998E-2</v>
      </c>
      <c r="E56" s="3242">
        <v>9.5000000000000001E-2</v>
      </c>
      <c r="F56" s="3242">
        <v>9.1999999999999998E-2</v>
      </c>
      <c r="G56" s="3243">
        <v>9.6000000000000002E-2</v>
      </c>
    </row>
    <row r="57" spans="1:7">
      <c r="A57" s="3252" t="s">
        <v>110</v>
      </c>
      <c r="B57" s="3241" t="s">
        <v>139</v>
      </c>
      <c r="C57" s="3242">
        <v>9.9000000000000005E-2</v>
      </c>
      <c r="D57" s="3242">
        <v>9.6000000000000002E-2</v>
      </c>
      <c r="E57" s="3242">
        <v>9.1999999999999998E-2</v>
      </c>
      <c r="F57" s="3242">
        <v>0.1</v>
      </c>
      <c r="G57" s="3243">
        <v>9.8000000000000004E-2</v>
      </c>
    </row>
    <row r="58" spans="1:7">
      <c r="A58" s="3252" t="s">
        <v>110</v>
      </c>
      <c r="B58" s="3241" t="s">
        <v>148</v>
      </c>
      <c r="C58" s="3242">
        <v>9.8000000000000004E-2</v>
      </c>
      <c r="D58" s="3242">
        <v>9.5000000000000001E-2</v>
      </c>
      <c r="E58" s="3242">
        <v>5.7000000000000002E-2</v>
      </c>
      <c r="F58" s="3242">
        <v>0.1</v>
      </c>
      <c r="G58" s="3243">
        <v>9.6000000000000002E-2</v>
      </c>
    </row>
    <row r="59" spans="1:7">
      <c r="A59" s="3252" t="s">
        <v>110</v>
      </c>
      <c r="B59" s="3241" t="s">
        <v>157</v>
      </c>
      <c r="C59" s="3242">
        <v>9.5000000000000001E-2</v>
      </c>
      <c r="D59" s="3242">
        <v>0.1</v>
      </c>
      <c r="E59" s="3242">
        <v>7.4999999999999997E-2</v>
      </c>
      <c r="F59" s="3242">
        <v>0.1</v>
      </c>
      <c r="G59" s="3243">
        <v>0.1</v>
      </c>
    </row>
    <row r="60" spans="1:7">
      <c r="A60" s="3252" t="s">
        <v>110</v>
      </c>
      <c r="B60" s="3241" t="s">
        <v>164</v>
      </c>
      <c r="C60" s="3242">
        <v>0.1</v>
      </c>
      <c r="D60" s="3242">
        <v>9.7000000000000003E-2</v>
      </c>
      <c r="E60" s="3242">
        <v>0.1</v>
      </c>
      <c r="F60" s="3242">
        <v>0.1</v>
      </c>
      <c r="G60" s="3243">
        <v>9.7000000000000003E-2</v>
      </c>
    </row>
    <row r="61" spans="1:7">
      <c r="A61" s="3252" t="s">
        <v>110</v>
      </c>
      <c r="B61" s="3241" t="s">
        <v>170</v>
      </c>
      <c r="C61" s="3242">
        <v>9.7000000000000003E-2</v>
      </c>
      <c r="D61" s="3242">
        <v>0.1</v>
      </c>
      <c r="E61" s="3242">
        <v>9.2999999999999999E-2</v>
      </c>
      <c r="F61" s="3242">
        <v>0.1</v>
      </c>
      <c r="G61" s="3243">
        <v>0.1</v>
      </c>
    </row>
    <row r="62" spans="1:7">
      <c r="A62" s="3252" t="s">
        <v>110</v>
      </c>
      <c r="B62" s="3241" t="s">
        <v>177</v>
      </c>
      <c r="C62" s="3242">
        <v>0.1</v>
      </c>
      <c r="D62" s="3242">
        <v>9.7000000000000003E-2</v>
      </c>
      <c r="E62" s="3242">
        <v>8.8999999999999996E-2</v>
      </c>
      <c r="F62" s="3242">
        <v>0.1</v>
      </c>
      <c r="G62" s="3243">
        <v>9.8000000000000004E-2</v>
      </c>
    </row>
    <row r="63" spans="1:7">
      <c r="A63" s="3252" t="s">
        <v>110</v>
      </c>
      <c r="B63" s="3241" t="s">
        <v>187</v>
      </c>
      <c r="C63" s="3242">
        <v>9.7000000000000003E-2</v>
      </c>
      <c r="D63" s="3242">
        <v>9.7000000000000003E-2</v>
      </c>
      <c r="E63" s="3242">
        <v>9.9000000000000005E-2</v>
      </c>
      <c r="F63" s="3242">
        <v>0.1</v>
      </c>
      <c r="G63" s="3243">
        <v>9.7000000000000003E-2</v>
      </c>
    </row>
    <row r="64" spans="1:7">
      <c r="A64" s="3252" t="s">
        <v>110</v>
      </c>
      <c r="B64" s="3241" t="s">
        <v>196</v>
      </c>
      <c r="C64" s="3242">
        <v>9.7000000000000003E-2</v>
      </c>
      <c r="D64" s="3242">
        <v>7.3999999999999996E-2</v>
      </c>
      <c r="E64" s="3242">
        <v>7.8E-2</v>
      </c>
      <c r="F64" s="3242">
        <v>0.1</v>
      </c>
      <c r="G64" s="3243">
        <v>8.8999999999999996E-2</v>
      </c>
    </row>
    <row r="65" spans="1:7">
      <c r="A65" s="3252" t="s">
        <v>110</v>
      </c>
      <c r="B65" s="3241" t="s">
        <v>203</v>
      </c>
      <c r="C65" s="3242">
        <v>7.2999999999999995E-2</v>
      </c>
      <c r="D65" s="3242">
        <v>9.8000000000000004E-2</v>
      </c>
      <c r="E65" s="3242">
        <v>9.5000000000000001E-2</v>
      </c>
      <c r="F65" s="3242">
        <v>0.1</v>
      </c>
      <c r="G65" s="3243">
        <v>9.9000000000000005E-2</v>
      </c>
    </row>
    <row r="66" spans="1:7">
      <c r="A66" s="3252" t="s">
        <v>110</v>
      </c>
      <c r="B66" s="3241" t="s">
        <v>210</v>
      </c>
      <c r="C66" s="3242">
        <v>9.8000000000000004E-2</v>
      </c>
      <c r="D66" s="3242">
        <v>9.5000000000000001E-2</v>
      </c>
      <c r="E66" s="3242">
        <v>0.05</v>
      </c>
      <c r="F66" s="3242">
        <v>0.1</v>
      </c>
      <c r="G66" s="3243">
        <v>9.7000000000000003E-2</v>
      </c>
    </row>
    <row r="67" spans="1:7">
      <c r="A67" s="3252" t="s">
        <v>110</v>
      </c>
      <c r="B67" s="3241" t="s">
        <v>216</v>
      </c>
      <c r="C67" s="3242">
        <v>9.5000000000000001E-2</v>
      </c>
      <c r="D67" s="3242">
        <v>9.7000000000000003E-2</v>
      </c>
      <c r="E67" s="3242">
        <v>9.7000000000000003E-2</v>
      </c>
      <c r="F67" s="3242">
        <v>0.1</v>
      </c>
      <c r="G67" s="3243">
        <v>9.9000000000000005E-2</v>
      </c>
    </row>
    <row r="68" spans="1:7">
      <c r="A68" s="3252" t="s">
        <v>110</v>
      </c>
      <c r="B68" s="3241" t="s">
        <v>224</v>
      </c>
      <c r="C68" s="3242">
        <v>9.7000000000000003E-2</v>
      </c>
      <c r="D68" s="3242">
        <v>6.8000000000000005E-2</v>
      </c>
      <c r="E68" s="3242">
        <v>6.6000000000000003E-2</v>
      </c>
      <c r="F68" s="3242">
        <v>0.1</v>
      </c>
      <c r="G68" s="3243">
        <v>8.4000000000000005E-2</v>
      </c>
    </row>
    <row r="69" spans="1:7">
      <c r="A69" s="3252" t="s">
        <v>110</v>
      </c>
      <c r="B69" s="3241" t="s">
        <v>232</v>
      </c>
      <c r="C69" s="3242">
        <v>6.8000000000000005E-2</v>
      </c>
      <c r="D69" s="3242">
        <v>9.8000000000000004E-2</v>
      </c>
      <c r="E69" s="3242">
        <v>9.5000000000000001E-2</v>
      </c>
      <c r="F69" s="3242">
        <v>0.1</v>
      </c>
      <c r="G69" s="3243">
        <v>0.1</v>
      </c>
    </row>
    <row r="70" spans="1:7">
      <c r="A70" s="3252" t="s">
        <v>110</v>
      </c>
      <c r="B70" s="3241" t="s">
        <v>237</v>
      </c>
      <c r="C70" s="3242">
        <v>9.8000000000000004E-2</v>
      </c>
      <c r="D70" s="3242">
        <v>8.8999999999999996E-2</v>
      </c>
      <c r="E70" s="3242">
        <v>5.8999999999999997E-2</v>
      </c>
      <c r="F70" s="3242">
        <v>0.1</v>
      </c>
      <c r="G70" s="3243">
        <v>9.6000000000000002E-2</v>
      </c>
    </row>
    <row r="71" spans="1:7">
      <c r="A71" s="3252" t="s">
        <v>110</v>
      </c>
      <c r="B71" s="3241" t="s">
        <v>246</v>
      </c>
      <c r="C71" s="3242">
        <v>8.8999999999999996E-2</v>
      </c>
      <c r="D71" s="3242">
        <v>9.9000000000000005E-2</v>
      </c>
      <c r="E71" s="3242">
        <v>9.6000000000000002E-2</v>
      </c>
      <c r="F71" s="3242">
        <v>0.1</v>
      </c>
      <c r="G71" s="3243">
        <v>0.1</v>
      </c>
    </row>
    <row r="72" spans="1:7">
      <c r="A72" s="3252" t="s">
        <v>110</v>
      </c>
      <c r="B72" s="3241" t="s">
        <v>253</v>
      </c>
      <c r="C72" s="3242">
        <v>9.9000000000000005E-2</v>
      </c>
      <c r="D72" s="3242">
        <v>0.1</v>
      </c>
      <c r="E72" s="3242">
        <v>7.0000000000000007E-2</v>
      </c>
      <c r="F72" s="3253"/>
      <c r="G72" s="3243">
        <v>0.1</v>
      </c>
    </row>
    <row r="73" spans="1:7">
      <c r="A73" s="3252" t="s">
        <v>110</v>
      </c>
      <c r="B73" s="3241" t="s">
        <v>261</v>
      </c>
      <c r="C73" s="3242">
        <v>0.1</v>
      </c>
      <c r="D73" s="3242">
        <v>0.1</v>
      </c>
      <c r="E73" s="3242">
        <v>9.6000000000000002E-2</v>
      </c>
      <c r="F73" s="3253"/>
      <c r="G73" s="3243">
        <v>0.1</v>
      </c>
    </row>
    <row r="74" spans="1:7">
      <c r="A74" s="3252" t="s">
        <v>110</v>
      </c>
      <c r="B74" s="3241" t="s">
        <v>268</v>
      </c>
      <c r="C74" s="3242">
        <v>0.1</v>
      </c>
      <c r="D74" s="3242">
        <v>0.1</v>
      </c>
      <c r="E74" s="3242">
        <v>9.8000000000000004E-2</v>
      </c>
      <c r="F74" s="3253"/>
      <c r="G74" s="3243">
        <v>0.1</v>
      </c>
    </row>
    <row r="75" spans="1:7">
      <c r="A75" s="3252" t="s">
        <v>110</v>
      </c>
      <c r="B75" s="3241" t="s">
        <v>272</v>
      </c>
      <c r="C75" s="3242">
        <v>0.1</v>
      </c>
      <c r="D75" s="3242">
        <v>9.9000000000000005E-2</v>
      </c>
      <c r="E75" s="3242">
        <v>9.8000000000000004E-2</v>
      </c>
      <c r="F75" s="3253"/>
      <c r="G75" s="3243">
        <v>0.1</v>
      </c>
    </row>
    <row r="76" spans="1:7">
      <c r="A76" s="3252" t="s">
        <v>110</v>
      </c>
      <c r="B76" s="3241" t="s">
        <v>278</v>
      </c>
      <c r="C76" s="3242">
        <v>9.9000000000000005E-2</v>
      </c>
      <c r="D76" s="3242">
        <v>0.1</v>
      </c>
      <c r="E76" s="3242">
        <v>9.7000000000000003E-2</v>
      </c>
      <c r="F76" s="3253"/>
      <c r="G76" s="3243">
        <v>0.1</v>
      </c>
    </row>
    <row r="77" spans="1:7">
      <c r="A77" s="3252" t="s">
        <v>110</v>
      </c>
      <c r="B77" s="3241" t="s">
        <v>281</v>
      </c>
      <c r="C77" s="3242">
        <v>0.1</v>
      </c>
      <c r="D77" s="3242">
        <v>0.1</v>
      </c>
      <c r="E77" s="3242">
        <v>9.6000000000000002E-2</v>
      </c>
      <c r="F77" s="3253"/>
      <c r="G77" s="3243">
        <v>0.1</v>
      </c>
    </row>
    <row r="78" spans="1:7">
      <c r="A78" s="3252" t="s">
        <v>110</v>
      </c>
      <c r="B78" s="3241" t="s">
        <v>2922</v>
      </c>
      <c r="C78" s="3242">
        <v>0.1</v>
      </c>
      <c r="D78" s="3242">
        <v>8.5000000000000006E-2</v>
      </c>
      <c r="E78" s="3242">
        <v>9.6000000000000002E-2</v>
      </c>
      <c r="F78" s="3253"/>
      <c r="G78" s="3243">
        <v>9.6000000000000002E-2</v>
      </c>
    </row>
    <row r="79" spans="1:7">
      <c r="A79" s="3252" t="s">
        <v>110</v>
      </c>
      <c r="B79" s="3241" t="s">
        <v>2925</v>
      </c>
      <c r="C79" s="3242">
        <v>0.05</v>
      </c>
      <c r="D79" s="3242">
        <v>9.6000000000000002E-2</v>
      </c>
      <c r="E79" s="3242">
        <v>9.5000000000000001E-2</v>
      </c>
      <c r="F79" s="3253"/>
      <c r="G79" s="3243">
        <v>9.8000000000000004E-2</v>
      </c>
    </row>
    <row r="80" spans="1:7">
      <c r="A80" s="3252" t="s">
        <v>110</v>
      </c>
      <c r="B80" s="3241" t="s">
        <v>2929</v>
      </c>
      <c r="C80" s="3242">
        <v>8.5999999999999993E-2</v>
      </c>
      <c r="D80" s="3258"/>
      <c r="E80" s="3242">
        <v>0.1</v>
      </c>
      <c r="F80" s="3253"/>
      <c r="G80" s="3254"/>
    </row>
    <row r="81" spans="1:7">
      <c r="A81" s="3252" t="s">
        <v>110</v>
      </c>
      <c r="B81" s="3241" t="s">
        <v>2934</v>
      </c>
      <c r="C81" s="3242">
        <v>9.6000000000000002E-2</v>
      </c>
      <c r="D81" s="3253"/>
      <c r="E81" s="3242">
        <v>9.8000000000000004E-2</v>
      </c>
      <c r="F81" s="3253"/>
      <c r="G81" s="3254"/>
    </row>
    <row r="82" spans="1:7">
      <c r="A82" s="3252" t="s">
        <v>110</v>
      </c>
      <c r="B82" s="3241" t="s">
        <v>2941</v>
      </c>
      <c r="C82" s="3258"/>
      <c r="D82" s="3253"/>
      <c r="E82" s="3242">
        <v>7.6999999999999999E-2</v>
      </c>
      <c r="F82" s="3253"/>
      <c r="G82" s="3254"/>
    </row>
    <row r="83" spans="1:7">
      <c r="A83" s="3252" t="s">
        <v>110</v>
      </c>
      <c r="B83" s="3241" t="s">
        <v>2947</v>
      </c>
      <c r="C83" s="3253"/>
      <c r="D83" s="3253"/>
      <c r="E83" s="3253"/>
      <c r="F83" s="3242">
        <v>0.1</v>
      </c>
      <c r="G83" s="3259"/>
    </row>
    <row r="84" spans="1:7">
      <c r="A84" s="3252" t="s">
        <v>110</v>
      </c>
      <c r="B84" s="3241" t="s">
        <v>2954</v>
      </c>
      <c r="C84" s="3253"/>
      <c r="D84" s="3253"/>
      <c r="E84" s="3253"/>
      <c r="F84" s="3242">
        <v>0.1</v>
      </c>
      <c r="G84" s="3259"/>
    </row>
    <row r="85" spans="1:7">
      <c r="A85" s="3252" t="s">
        <v>110</v>
      </c>
      <c r="B85" s="3241" t="s">
        <v>2961</v>
      </c>
      <c r="C85" s="3253"/>
      <c r="D85" s="3253"/>
      <c r="E85" s="3253"/>
      <c r="F85" s="3242">
        <v>0.1</v>
      </c>
      <c r="G85" s="3259"/>
    </row>
    <row r="86" spans="1:7" ht="14.25" thickBot="1">
      <c r="A86" s="3255" t="s">
        <v>110</v>
      </c>
      <c r="B86" s="3245" t="s">
        <v>2966</v>
      </c>
      <c r="C86" s="3246">
        <v>9.8000000000000004E-2</v>
      </c>
      <c r="D86" s="3246">
        <v>9.8000000000000004E-2</v>
      </c>
      <c r="E86" s="3246">
        <v>9.6000000000000002E-2</v>
      </c>
      <c r="F86" s="3256"/>
      <c r="G86" s="3248">
        <v>0.1</v>
      </c>
    </row>
    <row r="87" spans="1:7">
      <c r="A87" s="3251" t="s">
        <v>303</v>
      </c>
      <c r="B87" s="3237" t="s">
        <v>2842</v>
      </c>
      <c r="C87" s="3238">
        <v>0.1</v>
      </c>
      <c r="D87" s="3238">
        <v>0.1</v>
      </c>
      <c r="E87" s="3238">
        <v>9.8000000000000004E-2</v>
      </c>
      <c r="F87" s="3238">
        <v>0.1</v>
      </c>
      <c r="G87" s="3239">
        <v>0.1</v>
      </c>
    </row>
    <row r="88" spans="1:7">
      <c r="A88" s="3252" t="s">
        <v>303</v>
      </c>
      <c r="B88" s="3241" t="s">
        <v>131</v>
      </c>
      <c r="C88" s="3242">
        <v>9.0999999999999998E-2</v>
      </c>
      <c r="D88" s="3242">
        <v>9.1999999999999998E-2</v>
      </c>
      <c r="E88" s="3242">
        <v>0.1</v>
      </c>
      <c r="F88" s="3242">
        <v>0.1</v>
      </c>
      <c r="G88" s="3243">
        <v>9.6000000000000002E-2</v>
      </c>
    </row>
    <row r="89" spans="1:7">
      <c r="A89" s="3252" t="s">
        <v>303</v>
      </c>
      <c r="B89" s="3241" t="s">
        <v>140</v>
      </c>
      <c r="C89" s="3242">
        <v>0.1</v>
      </c>
      <c r="D89" s="3242">
        <v>0.1</v>
      </c>
      <c r="E89" s="3242">
        <v>6.7000000000000004E-2</v>
      </c>
      <c r="F89" s="3242">
        <v>9.2999999999999999E-2</v>
      </c>
      <c r="G89" s="3243">
        <v>0.1</v>
      </c>
    </row>
    <row r="90" spans="1:7">
      <c r="A90" s="3252" t="s">
        <v>303</v>
      </c>
      <c r="B90" s="3241" t="s">
        <v>149</v>
      </c>
      <c r="C90" s="3242">
        <v>9.6000000000000002E-2</v>
      </c>
      <c r="D90" s="3242">
        <v>9.6000000000000002E-2</v>
      </c>
      <c r="E90" s="3242">
        <v>0.1</v>
      </c>
      <c r="F90" s="3242">
        <v>0.1</v>
      </c>
      <c r="G90" s="3243">
        <v>9.8000000000000004E-2</v>
      </c>
    </row>
    <row r="91" spans="1:7">
      <c r="A91" s="3252" t="s">
        <v>303</v>
      </c>
      <c r="B91" s="3241" t="s">
        <v>158</v>
      </c>
      <c r="C91" s="3242">
        <v>7.6999999999999999E-2</v>
      </c>
      <c r="D91" s="3242">
        <v>7.6999999999999999E-2</v>
      </c>
      <c r="E91" s="3242">
        <v>9.6000000000000002E-2</v>
      </c>
      <c r="F91" s="3242">
        <v>0.1</v>
      </c>
      <c r="G91" s="3243">
        <v>7.6999999999999999E-2</v>
      </c>
    </row>
    <row r="92" spans="1:7">
      <c r="A92" s="3252" t="s">
        <v>303</v>
      </c>
      <c r="B92" s="3241" t="s">
        <v>165</v>
      </c>
      <c r="C92" s="3242">
        <v>0.1</v>
      </c>
      <c r="D92" s="3242">
        <v>0.1</v>
      </c>
      <c r="E92" s="3242">
        <v>9.1999999999999998E-2</v>
      </c>
      <c r="F92" s="3242">
        <v>0.1</v>
      </c>
      <c r="G92" s="3243">
        <v>0.1</v>
      </c>
    </row>
    <row r="93" spans="1:7">
      <c r="A93" s="3252" t="s">
        <v>303</v>
      </c>
      <c r="B93" s="3241" t="s">
        <v>171</v>
      </c>
      <c r="C93" s="3242">
        <v>9.8000000000000004E-2</v>
      </c>
      <c r="D93" s="3242">
        <v>9.8000000000000004E-2</v>
      </c>
      <c r="E93" s="3242">
        <v>9.6000000000000002E-2</v>
      </c>
      <c r="F93" s="3242">
        <v>0.1</v>
      </c>
      <c r="G93" s="3243">
        <v>9.9000000000000005E-2</v>
      </c>
    </row>
    <row r="94" spans="1:7">
      <c r="A94" s="3252" t="s">
        <v>303</v>
      </c>
      <c r="B94" s="3241" t="s">
        <v>178</v>
      </c>
      <c r="C94" s="3242">
        <v>8.7999999999999995E-2</v>
      </c>
      <c r="D94" s="3242">
        <v>8.7999999999999995E-2</v>
      </c>
      <c r="E94" s="3242">
        <v>9.6000000000000002E-2</v>
      </c>
      <c r="F94" s="3242">
        <v>0.1</v>
      </c>
      <c r="G94" s="3243">
        <v>8.7999999999999995E-2</v>
      </c>
    </row>
    <row r="95" spans="1:7">
      <c r="A95" s="3252" t="s">
        <v>303</v>
      </c>
      <c r="B95" s="3241" t="s">
        <v>188</v>
      </c>
      <c r="C95" s="3242">
        <v>9.6000000000000002E-2</v>
      </c>
      <c r="D95" s="3242">
        <v>9.6000000000000002E-2</v>
      </c>
      <c r="E95" s="3242">
        <v>0.1</v>
      </c>
      <c r="F95" s="3242">
        <v>0.1</v>
      </c>
      <c r="G95" s="3243">
        <v>9.8000000000000004E-2</v>
      </c>
    </row>
    <row r="96" spans="1:7">
      <c r="A96" s="3252" t="s">
        <v>303</v>
      </c>
      <c r="B96" s="3241" t="s">
        <v>197</v>
      </c>
      <c r="C96" s="3242">
        <v>9.7000000000000003E-2</v>
      </c>
      <c r="D96" s="3242">
        <v>9.7000000000000003E-2</v>
      </c>
      <c r="E96" s="3242">
        <v>0.1</v>
      </c>
      <c r="F96" s="3242">
        <v>0.1</v>
      </c>
      <c r="G96" s="3243">
        <v>9.8000000000000004E-2</v>
      </c>
    </row>
    <row r="97" spans="1:7">
      <c r="A97" s="3252" t="s">
        <v>303</v>
      </c>
      <c r="B97" s="3241" t="s">
        <v>204</v>
      </c>
      <c r="C97" s="3242">
        <v>9.6000000000000002E-2</v>
      </c>
      <c r="D97" s="3242">
        <v>9.6000000000000002E-2</v>
      </c>
      <c r="E97" s="3242">
        <v>9.9000000000000005E-2</v>
      </c>
      <c r="F97" s="3242">
        <v>0.1</v>
      </c>
      <c r="G97" s="3243">
        <v>9.8000000000000004E-2</v>
      </c>
    </row>
    <row r="98" spans="1:7">
      <c r="A98" s="3252" t="s">
        <v>303</v>
      </c>
      <c r="B98" s="3241" t="s">
        <v>211</v>
      </c>
      <c r="C98" s="3242">
        <v>9.8000000000000004E-2</v>
      </c>
      <c r="D98" s="3242">
        <v>9.8000000000000004E-2</v>
      </c>
      <c r="E98" s="3242">
        <v>0.1</v>
      </c>
      <c r="F98" s="3242">
        <v>0.1</v>
      </c>
      <c r="G98" s="3243">
        <v>9.9000000000000005E-2</v>
      </c>
    </row>
    <row r="99" spans="1:7">
      <c r="A99" s="3252" t="s">
        <v>303</v>
      </c>
      <c r="B99" s="3241" t="s">
        <v>217</v>
      </c>
      <c r="C99" s="3242">
        <v>9.6000000000000002E-2</v>
      </c>
      <c r="D99" s="3242">
        <v>9.6000000000000002E-2</v>
      </c>
      <c r="E99" s="3242">
        <v>0.1</v>
      </c>
      <c r="F99" s="3242">
        <v>0.1</v>
      </c>
      <c r="G99" s="3243">
        <v>9.7000000000000003E-2</v>
      </c>
    </row>
    <row r="100" spans="1:7">
      <c r="A100" s="3252" t="s">
        <v>303</v>
      </c>
      <c r="B100" s="3241" t="s">
        <v>225</v>
      </c>
      <c r="C100" s="3242">
        <v>0.1</v>
      </c>
      <c r="D100" s="3242">
        <v>0.1</v>
      </c>
      <c r="E100" s="3242">
        <v>9.7000000000000003E-2</v>
      </c>
      <c r="F100" s="3242">
        <v>9.8000000000000004E-2</v>
      </c>
      <c r="G100" s="3243">
        <v>0.1</v>
      </c>
    </row>
    <row r="101" spans="1:7">
      <c r="A101" s="3252" t="s">
        <v>303</v>
      </c>
      <c r="B101" s="3241" t="s">
        <v>233</v>
      </c>
      <c r="C101" s="3242">
        <v>0.1</v>
      </c>
      <c r="D101" s="3242">
        <v>0.1</v>
      </c>
      <c r="E101" s="3242">
        <v>9.5000000000000001E-2</v>
      </c>
      <c r="F101" s="3242">
        <v>0.1</v>
      </c>
      <c r="G101" s="3243">
        <v>0.1</v>
      </c>
    </row>
    <row r="102" spans="1:7">
      <c r="A102" s="3252" t="s">
        <v>303</v>
      </c>
      <c r="B102" s="3241" t="s">
        <v>238</v>
      </c>
      <c r="C102" s="3242">
        <v>0.1</v>
      </c>
      <c r="D102" s="3242">
        <v>0.1</v>
      </c>
      <c r="E102" s="3242">
        <v>9.9000000000000005E-2</v>
      </c>
      <c r="F102" s="3242">
        <v>9.7000000000000003E-2</v>
      </c>
      <c r="G102" s="3243">
        <v>0.1</v>
      </c>
    </row>
    <row r="103" spans="1:7">
      <c r="A103" s="3252" t="s">
        <v>303</v>
      </c>
      <c r="B103" s="3241" t="s">
        <v>247</v>
      </c>
      <c r="C103" s="3242">
        <v>0.1</v>
      </c>
      <c r="D103" s="3242">
        <v>0.1</v>
      </c>
      <c r="E103" s="3242">
        <v>9.8000000000000004E-2</v>
      </c>
      <c r="F103" s="3242">
        <v>0.1</v>
      </c>
      <c r="G103" s="3243">
        <v>0.1</v>
      </c>
    </row>
    <row r="104" spans="1:7">
      <c r="A104" s="3252" t="s">
        <v>303</v>
      </c>
      <c r="B104" s="3241" t="s">
        <v>254</v>
      </c>
      <c r="C104" s="3242">
        <v>0.1</v>
      </c>
      <c r="D104" s="3242">
        <v>0.1</v>
      </c>
      <c r="E104" s="3242">
        <v>9.8000000000000004E-2</v>
      </c>
      <c r="F104" s="3242">
        <v>0.1</v>
      </c>
      <c r="G104" s="3243">
        <v>0.1</v>
      </c>
    </row>
    <row r="105" spans="1:7">
      <c r="A105" s="3252" t="s">
        <v>303</v>
      </c>
      <c r="B105" s="3241" t="s">
        <v>262</v>
      </c>
      <c r="C105" s="3242">
        <v>9.8000000000000004E-2</v>
      </c>
      <c r="D105" s="3242">
        <v>9.8000000000000004E-2</v>
      </c>
      <c r="E105" s="3242">
        <v>9.8000000000000004E-2</v>
      </c>
      <c r="F105" s="3242">
        <v>0.1</v>
      </c>
      <c r="G105" s="3243">
        <v>9.9000000000000005E-2</v>
      </c>
    </row>
    <row r="106" spans="1:7">
      <c r="A106" s="3252" t="s">
        <v>303</v>
      </c>
      <c r="B106" s="3241" t="s">
        <v>269</v>
      </c>
      <c r="C106" s="3242">
        <v>9.7000000000000003E-2</v>
      </c>
      <c r="D106" s="3242">
        <v>9.7000000000000003E-2</v>
      </c>
      <c r="E106" s="3242">
        <v>9.7000000000000003E-2</v>
      </c>
      <c r="F106" s="3242">
        <v>0.1</v>
      </c>
      <c r="G106" s="3243">
        <v>9.9000000000000005E-2</v>
      </c>
    </row>
    <row r="107" spans="1:7">
      <c r="A107" s="3252" t="s">
        <v>303</v>
      </c>
      <c r="B107" s="3241" t="s">
        <v>273</v>
      </c>
      <c r="C107" s="3242">
        <v>0.1</v>
      </c>
      <c r="D107" s="3242">
        <v>0.1</v>
      </c>
      <c r="E107" s="3242">
        <v>8.5999999999999993E-2</v>
      </c>
      <c r="F107" s="3242">
        <v>0.09</v>
      </c>
      <c r="G107" s="3243">
        <v>0.1</v>
      </c>
    </row>
    <row r="108" spans="1:7">
      <c r="A108" s="3252" t="s">
        <v>303</v>
      </c>
      <c r="B108" s="3241" t="s">
        <v>279</v>
      </c>
      <c r="C108" s="3242">
        <v>0.1</v>
      </c>
      <c r="D108" s="3242">
        <v>0.1</v>
      </c>
      <c r="E108" s="3242">
        <v>9.6000000000000002E-2</v>
      </c>
      <c r="F108" s="3253"/>
      <c r="G108" s="3243">
        <v>0.1</v>
      </c>
    </row>
    <row r="109" spans="1:7">
      <c r="A109" s="3252" t="s">
        <v>303</v>
      </c>
      <c r="B109" s="3241" t="s">
        <v>282</v>
      </c>
      <c r="C109" s="3242">
        <v>0.1</v>
      </c>
      <c r="D109" s="3242">
        <v>0.1</v>
      </c>
      <c r="E109" s="3242">
        <v>0.1</v>
      </c>
      <c r="F109" s="3253"/>
      <c r="G109" s="3243">
        <v>0.1</v>
      </c>
    </row>
    <row r="110" spans="1:7">
      <c r="A110" s="3252" t="s">
        <v>303</v>
      </c>
      <c r="B110" s="3241" t="s">
        <v>284</v>
      </c>
      <c r="C110" s="3242">
        <v>0.1</v>
      </c>
      <c r="D110" s="3242">
        <v>0.1</v>
      </c>
      <c r="E110" s="3242">
        <v>0.1</v>
      </c>
      <c r="F110" s="3253"/>
      <c r="G110" s="3243">
        <v>0.1</v>
      </c>
    </row>
    <row r="111" spans="1:7">
      <c r="A111" s="3252" t="s">
        <v>303</v>
      </c>
      <c r="B111" s="3241" t="s">
        <v>287</v>
      </c>
      <c r="C111" s="3242">
        <v>0.1</v>
      </c>
      <c r="D111" s="3242">
        <v>0.1</v>
      </c>
      <c r="E111" s="3242">
        <v>9.5000000000000001E-2</v>
      </c>
      <c r="F111" s="3253"/>
      <c r="G111" s="3243">
        <v>0.1</v>
      </c>
    </row>
    <row r="112" spans="1:7">
      <c r="A112" s="3252" t="s">
        <v>303</v>
      </c>
      <c r="B112" s="3241" t="s">
        <v>291</v>
      </c>
      <c r="C112" s="3242">
        <v>9.7000000000000003E-2</v>
      </c>
      <c r="D112" s="3242">
        <v>9.7000000000000003E-2</v>
      </c>
      <c r="E112" s="3242">
        <v>0.05</v>
      </c>
      <c r="F112" s="3253"/>
      <c r="G112" s="3243">
        <v>9.8000000000000004E-2</v>
      </c>
    </row>
    <row r="113" spans="1:7">
      <c r="A113" s="3252" t="s">
        <v>303</v>
      </c>
      <c r="B113" s="3241" t="s">
        <v>2935</v>
      </c>
      <c r="C113" s="3242">
        <v>0.1</v>
      </c>
      <c r="D113" s="3242">
        <v>0.1</v>
      </c>
      <c r="E113" s="3253"/>
      <c r="F113" s="3253"/>
      <c r="G113" s="3243">
        <v>0.1</v>
      </c>
    </row>
    <row r="114" spans="1:7">
      <c r="A114" s="3252" t="s">
        <v>303</v>
      </c>
      <c r="B114" s="3241" t="s">
        <v>2942</v>
      </c>
      <c r="C114" s="3242">
        <v>9.7000000000000003E-2</v>
      </c>
      <c r="D114" s="3242">
        <v>9.7000000000000003E-2</v>
      </c>
      <c r="E114" s="3253"/>
      <c r="F114" s="3253"/>
      <c r="G114" s="3243">
        <v>9.9000000000000005E-2</v>
      </c>
    </row>
    <row r="115" spans="1:7">
      <c r="A115" s="3252" t="s">
        <v>303</v>
      </c>
      <c r="B115" s="3241" t="s">
        <v>2948</v>
      </c>
      <c r="C115" s="3242">
        <v>0.1</v>
      </c>
      <c r="D115" s="3242">
        <v>0.1</v>
      </c>
      <c r="E115" s="3253"/>
      <c r="F115" s="3253"/>
      <c r="G115" s="3243">
        <v>0.1</v>
      </c>
    </row>
    <row r="116" spans="1:7">
      <c r="A116" s="3252" t="s">
        <v>303</v>
      </c>
      <c r="B116" s="3241" t="s">
        <v>2955</v>
      </c>
      <c r="C116" s="3242">
        <v>0.1</v>
      </c>
      <c r="D116" s="3242">
        <v>0.1</v>
      </c>
      <c r="E116" s="3253"/>
      <c r="F116" s="3253"/>
      <c r="G116" s="3243">
        <v>0.1</v>
      </c>
    </row>
    <row r="117" spans="1:7">
      <c r="A117" s="3252" t="s">
        <v>303</v>
      </c>
      <c r="B117" s="3241" t="s">
        <v>2962</v>
      </c>
      <c r="C117" s="3242">
        <v>9.7000000000000003E-2</v>
      </c>
      <c r="D117" s="3242">
        <v>9.7000000000000003E-2</v>
      </c>
      <c r="E117" s="3253"/>
      <c r="F117" s="3253"/>
      <c r="G117" s="3243">
        <v>9.7000000000000003E-2</v>
      </c>
    </row>
    <row r="118" spans="1:7">
      <c r="A118" s="3252" t="s">
        <v>303</v>
      </c>
      <c r="B118" s="3241" t="s">
        <v>2967</v>
      </c>
      <c r="C118" s="3242">
        <v>0.1</v>
      </c>
      <c r="D118" s="3242">
        <v>0.1</v>
      </c>
      <c r="E118" s="3253"/>
      <c r="F118" s="3253"/>
      <c r="G118" s="3243">
        <v>0.1</v>
      </c>
    </row>
    <row r="119" spans="1:7">
      <c r="A119" s="3252" t="s">
        <v>303</v>
      </c>
      <c r="B119" s="3241" t="s">
        <v>2971</v>
      </c>
      <c r="C119" s="3242">
        <v>5.0999999999999997E-2</v>
      </c>
      <c r="D119" s="3242">
        <v>5.1999999999999998E-2</v>
      </c>
      <c r="E119" s="3253"/>
      <c r="F119" s="3258"/>
      <c r="G119" s="3243">
        <v>0.06</v>
      </c>
    </row>
    <row r="120" spans="1:7">
      <c r="A120" s="3252" t="s">
        <v>303</v>
      </c>
      <c r="B120" s="3241" t="s">
        <v>2975</v>
      </c>
      <c r="C120" s="3253"/>
      <c r="D120" s="3253"/>
      <c r="E120" s="3253"/>
      <c r="F120" s="3242">
        <v>0.1</v>
      </c>
      <c r="G120" s="3259"/>
    </row>
    <row r="121" spans="1:7">
      <c r="A121" s="3252" t="s">
        <v>303</v>
      </c>
      <c r="B121" s="3241" t="s">
        <v>2980</v>
      </c>
      <c r="C121" s="3253"/>
      <c r="D121" s="3253"/>
      <c r="E121" s="3253"/>
      <c r="F121" s="3242">
        <v>0.1</v>
      </c>
      <c r="G121" s="3259"/>
    </row>
    <row r="122" spans="1:7">
      <c r="A122" s="3252" t="s">
        <v>303</v>
      </c>
      <c r="B122" s="3241" t="s">
        <v>2985</v>
      </c>
      <c r="C122" s="3242">
        <v>0.1</v>
      </c>
      <c r="D122" s="3242">
        <v>0.1</v>
      </c>
      <c r="E122" s="3242">
        <v>9.8000000000000004E-2</v>
      </c>
      <c r="F122" s="3242">
        <v>0.1</v>
      </c>
      <c r="G122" s="3243">
        <v>0.1</v>
      </c>
    </row>
    <row r="123" spans="1:7">
      <c r="A123" s="3252" t="s">
        <v>303</v>
      </c>
      <c r="B123" s="3241" t="s">
        <v>2990</v>
      </c>
      <c r="C123" s="3242">
        <v>0.1</v>
      </c>
      <c r="D123" s="3242">
        <v>0.1</v>
      </c>
      <c r="E123" s="3242">
        <v>9.8000000000000004E-2</v>
      </c>
      <c r="F123" s="3242">
        <v>0.1</v>
      </c>
      <c r="G123" s="3243">
        <v>0.1</v>
      </c>
    </row>
    <row r="124" spans="1:7">
      <c r="A124" s="3252" t="s">
        <v>303</v>
      </c>
      <c r="B124" s="3241" t="s">
        <v>2995</v>
      </c>
      <c r="C124" s="3242">
        <v>0.1</v>
      </c>
      <c r="D124" s="3242">
        <v>0.1</v>
      </c>
      <c r="E124" s="3242">
        <v>9.8000000000000004E-2</v>
      </c>
      <c r="F124" s="3258"/>
      <c r="G124" s="3243">
        <v>0.1</v>
      </c>
    </row>
    <row r="125" spans="1:7">
      <c r="A125" s="3252" t="s">
        <v>303</v>
      </c>
      <c r="B125" s="3241" t="s">
        <v>3000</v>
      </c>
      <c r="C125" s="3242">
        <v>9.8000000000000004E-2</v>
      </c>
      <c r="D125" s="3242">
        <v>9.8000000000000004E-2</v>
      </c>
      <c r="E125" s="3242">
        <v>9.6000000000000002E-2</v>
      </c>
      <c r="F125" s="3258"/>
      <c r="G125" s="3243">
        <v>0.1</v>
      </c>
    </row>
    <row r="126" spans="1:7" ht="14.25" thickBot="1">
      <c r="A126" s="3255" t="s">
        <v>303</v>
      </c>
      <c r="B126" s="3245" t="s">
        <v>3166</v>
      </c>
      <c r="C126" s="3246">
        <v>0.1</v>
      </c>
      <c r="D126" s="3246">
        <v>0.1</v>
      </c>
      <c r="E126" s="3246">
        <v>9.8000000000000004E-2</v>
      </c>
      <c r="F126" s="3246">
        <v>0.1</v>
      </c>
      <c r="G126" s="3248">
        <v>0.1</v>
      </c>
    </row>
    <row r="127" spans="1:7">
      <c r="A127" s="3251" t="s">
        <v>29</v>
      </c>
      <c r="B127" s="3237" t="s">
        <v>2843</v>
      </c>
      <c r="C127" s="3238">
        <v>0.121</v>
      </c>
      <c r="D127" s="3238">
        <v>0.121</v>
      </c>
      <c r="E127" s="3238">
        <v>0.107</v>
      </c>
      <c r="F127" s="3238">
        <v>0.13</v>
      </c>
      <c r="G127" s="3239">
        <v>0.122</v>
      </c>
    </row>
    <row r="128" spans="1:7">
      <c r="A128" s="3252" t="s">
        <v>29</v>
      </c>
      <c r="B128" s="3241" t="s">
        <v>132</v>
      </c>
      <c r="C128" s="3242">
        <v>0.11600000000000001</v>
      </c>
      <c r="D128" s="3242">
        <v>0.11700000000000001</v>
      </c>
      <c r="E128" s="3242">
        <v>0.104</v>
      </c>
      <c r="F128" s="3242">
        <v>0.13</v>
      </c>
      <c r="G128" s="3243">
        <v>0.11700000000000001</v>
      </c>
    </row>
    <row r="129" spans="1:7">
      <c r="A129" s="3252" t="s">
        <v>29</v>
      </c>
      <c r="B129" s="3241" t="s">
        <v>141</v>
      </c>
      <c r="C129" s="3242">
        <v>0.107</v>
      </c>
      <c r="D129" s="3242">
        <v>0.108</v>
      </c>
      <c r="E129" s="3242">
        <v>0.1</v>
      </c>
      <c r="F129" s="3242">
        <v>0.13</v>
      </c>
      <c r="G129" s="3243">
        <v>0.11700000000000001</v>
      </c>
    </row>
    <row r="130" spans="1:7">
      <c r="A130" s="3252" t="s">
        <v>29</v>
      </c>
      <c r="B130" s="3241" t="s">
        <v>150</v>
      </c>
      <c r="C130" s="3242">
        <v>0.13</v>
      </c>
      <c r="D130" s="3242">
        <v>0.13</v>
      </c>
      <c r="E130" s="3242">
        <v>0.126</v>
      </c>
      <c r="F130" s="3242">
        <v>0.13</v>
      </c>
      <c r="G130" s="3243">
        <v>0.13</v>
      </c>
    </row>
    <row r="131" spans="1:7">
      <c r="A131" s="3252" t="s">
        <v>29</v>
      </c>
      <c r="B131" s="3241" t="s">
        <v>159</v>
      </c>
      <c r="C131" s="3242">
        <v>0.13</v>
      </c>
      <c r="D131" s="3242">
        <v>0.13</v>
      </c>
      <c r="E131" s="3242">
        <v>0.13</v>
      </c>
      <c r="F131" s="3242">
        <v>0.13</v>
      </c>
      <c r="G131" s="3243">
        <v>0.13</v>
      </c>
    </row>
    <row r="132" spans="1:7">
      <c r="A132" s="3252" t="s">
        <v>29</v>
      </c>
      <c r="B132" s="3241" t="s">
        <v>166</v>
      </c>
      <c r="C132" s="3242">
        <v>0.13</v>
      </c>
      <c r="D132" s="3242">
        <v>0.13</v>
      </c>
      <c r="E132" s="3242">
        <v>0.126</v>
      </c>
      <c r="F132" s="3242">
        <v>0.13</v>
      </c>
      <c r="G132" s="3243">
        <v>0.13</v>
      </c>
    </row>
    <row r="133" spans="1:7">
      <c r="A133" s="3252" t="s">
        <v>29</v>
      </c>
      <c r="B133" s="3241" t="s">
        <v>172</v>
      </c>
      <c r="C133" s="3242">
        <v>0.111</v>
      </c>
      <c r="D133" s="3242">
        <v>0.111</v>
      </c>
      <c r="E133" s="3242">
        <v>0.10199999999999999</v>
      </c>
      <c r="F133" s="3242">
        <v>0.13</v>
      </c>
      <c r="G133" s="3243">
        <v>0.121</v>
      </c>
    </row>
    <row r="134" spans="1:7">
      <c r="A134" s="3252" t="s">
        <v>29</v>
      </c>
      <c r="B134" s="3241" t="s">
        <v>179</v>
      </c>
      <c r="C134" s="3242">
        <v>0.121</v>
      </c>
      <c r="D134" s="3242">
        <v>0.121</v>
      </c>
      <c r="E134" s="3242">
        <v>0.1</v>
      </c>
      <c r="F134" s="3242">
        <v>0.13</v>
      </c>
      <c r="G134" s="3243">
        <v>0.123</v>
      </c>
    </row>
    <row r="135" spans="1:7">
      <c r="A135" s="3252" t="s">
        <v>29</v>
      </c>
      <c r="B135" s="3241" t="s">
        <v>189</v>
      </c>
      <c r="C135" s="3242">
        <v>0.105</v>
      </c>
      <c r="D135" s="3242">
        <v>0.106</v>
      </c>
      <c r="E135" s="3242">
        <v>0.1</v>
      </c>
      <c r="F135" s="3242">
        <v>0.13</v>
      </c>
      <c r="G135" s="3243">
        <v>0.115</v>
      </c>
    </row>
    <row r="136" spans="1:7">
      <c r="A136" s="3252" t="s">
        <v>29</v>
      </c>
      <c r="B136" s="3241" t="s">
        <v>198</v>
      </c>
      <c r="C136" s="3242">
        <v>0.127</v>
      </c>
      <c r="D136" s="3242">
        <v>0.127</v>
      </c>
      <c r="E136" s="3242">
        <v>0.121</v>
      </c>
      <c r="F136" s="3242">
        <v>0.123</v>
      </c>
      <c r="G136" s="3243">
        <v>0.129</v>
      </c>
    </row>
    <row r="137" spans="1:7">
      <c r="A137" s="3252" t="s">
        <v>29</v>
      </c>
      <c r="B137" s="3241" t="s">
        <v>205</v>
      </c>
      <c r="C137" s="3242">
        <v>0.13</v>
      </c>
      <c r="D137" s="3242">
        <v>0.13</v>
      </c>
      <c r="E137" s="3242">
        <v>0.129</v>
      </c>
      <c r="F137" s="3242">
        <v>0.13</v>
      </c>
      <c r="G137" s="3243">
        <v>0.13</v>
      </c>
    </row>
    <row r="138" spans="1:7">
      <c r="A138" s="3252" t="s">
        <v>29</v>
      </c>
      <c r="B138" s="3241" t="s">
        <v>212</v>
      </c>
      <c r="C138" s="3242">
        <v>0.13</v>
      </c>
      <c r="D138" s="3242">
        <v>0.13</v>
      </c>
      <c r="E138" s="3242">
        <v>0.125</v>
      </c>
      <c r="F138" s="3242">
        <v>0.13</v>
      </c>
      <c r="G138" s="3243">
        <v>0.13</v>
      </c>
    </row>
    <row r="139" spans="1:7">
      <c r="A139" s="3252" t="s">
        <v>29</v>
      </c>
      <c r="B139" s="3241" t="s">
        <v>218</v>
      </c>
      <c r="C139" s="3242">
        <v>0.13</v>
      </c>
      <c r="D139" s="3242">
        <v>0.13</v>
      </c>
      <c r="E139" s="3242">
        <v>0.126</v>
      </c>
      <c r="F139" s="3242">
        <v>0.13</v>
      </c>
      <c r="G139" s="3243">
        <v>0.13</v>
      </c>
    </row>
    <row r="140" spans="1:7">
      <c r="A140" s="3252" t="s">
        <v>29</v>
      </c>
      <c r="B140" s="3241" t="s">
        <v>226</v>
      </c>
      <c r="C140" s="3242">
        <v>0.1</v>
      </c>
      <c r="D140" s="3242">
        <v>0.1</v>
      </c>
      <c r="E140" s="3242">
        <v>0.1</v>
      </c>
      <c r="F140" s="3242">
        <v>0.123</v>
      </c>
      <c r="G140" s="3243">
        <v>0.107</v>
      </c>
    </row>
    <row r="141" spans="1:7">
      <c r="A141" s="3252" t="s">
        <v>29</v>
      </c>
      <c r="B141" s="3241" t="s">
        <v>234</v>
      </c>
      <c r="C141" s="3242">
        <v>0.127</v>
      </c>
      <c r="D141" s="3242">
        <v>0.127</v>
      </c>
      <c r="E141" s="3242">
        <v>0.122</v>
      </c>
      <c r="F141" s="3242">
        <v>0.1</v>
      </c>
      <c r="G141" s="3243">
        <v>0.129</v>
      </c>
    </row>
    <row r="142" spans="1:7">
      <c r="A142" s="3252" t="s">
        <v>29</v>
      </c>
      <c r="B142" s="3241" t="s">
        <v>239</v>
      </c>
      <c r="C142" s="3242">
        <v>0.121</v>
      </c>
      <c r="D142" s="3242">
        <v>0.122</v>
      </c>
      <c r="E142" s="3242">
        <v>0.1</v>
      </c>
      <c r="F142" s="3242">
        <v>0.123</v>
      </c>
      <c r="G142" s="3243">
        <v>0.123</v>
      </c>
    </row>
    <row r="143" spans="1:7">
      <c r="A143" s="3252" t="s">
        <v>29</v>
      </c>
      <c r="B143" s="3241" t="s">
        <v>248</v>
      </c>
      <c r="C143" s="3242">
        <v>0.1</v>
      </c>
      <c r="D143" s="3242">
        <v>0.1</v>
      </c>
      <c r="E143" s="3242">
        <v>0.1</v>
      </c>
      <c r="F143" s="3242">
        <v>0.13</v>
      </c>
      <c r="G143" s="3243">
        <v>0.1</v>
      </c>
    </row>
    <row r="144" spans="1:7">
      <c r="A144" s="3252" t="s">
        <v>29</v>
      </c>
      <c r="B144" s="3241" t="s">
        <v>255</v>
      </c>
      <c r="C144" s="3242">
        <v>0.106</v>
      </c>
      <c r="D144" s="3242">
        <v>0.105</v>
      </c>
      <c r="E144" s="3242">
        <v>0.1</v>
      </c>
      <c r="F144" s="3242">
        <v>0.13</v>
      </c>
      <c r="G144" s="3243">
        <v>0.11799999999999999</v>
      </c>
    </row>
    <row r="145" spans="1:7">
      <c r="A145" s="3252" t="s">
        <v>29</v>
      </c>
      <c r="B145" s="3241" t="s">
        <v>263</v>
      </c>
      <c r="C145" s="3242">
        <v>0.123</v>
      </c>
      <c r="D145" s="3242">
        <v>0.123</v>
      </c>
      <c r="E145" s="3242">
        <v>0.11700000000000001</v>
      </c>
      <c r="F145" s="3242">
        <v>0.13</v>
      </c>
      <c r="G145" s="3243">
        <v>0.126</v>
      </c>
    </row>
    <row r="146" spans="1:7">
      <c r="A146" s="3252" t="s">
        <v>29</v>
      </c>
      <c r="B146" s="3241" t="s">
        <v>270</v>
      </c>
      <c r="C146" s="3242">
        <v>0.127</v>
      </c>
      <c r="D146" s="3242">
        <v>0.127</v>
      </c>
      <c r="E146" s="3242">
        <v>0.12</v>
      </c>
      <c r="F146" s="3253"/>
      <c r="G146" s="3243">
        <v>0.129</v>
      </c>
    </row>
    <row r="147" spans="1:7">
      <c r="A147" s="3252" t="s">
        <v>29</v>
      </c>
      <c r="B147" s="3241" t="s">
        <v>274</v>
      </c>
      <c r="C147" s="3242">
        <v>0.13</v>
      </c>
      <c r="D147" s="3242">
        <v>0.13</v>
      </c>
      <c r="E147" s="3242">
        <v>0.126</v>
      </c>
      <c r="F147" s="3253"/>
      <c r="G147" s="3243">
        <v>0.13</v>
      </c>
    </row>
    <row r="148" spans="1:7">
      <c r="A148" s="3252" t="s">
        <v>29</v>
      </c>
      <c r="B148" s="3241" t="s">
        <v>2913</v>
      </c>
      <c r="C148" s="3242">
        <v>0.13</v>
      </c>
      <c r="D148" s="3242">
        <v>0.13</v>
      </c>
      <c r="E148" s="3242">
        <v>0.13</v>
      </c>
      <c r="F148" s="3253"/>
      <c r="G148" s="3243">
        <v>0.13</v>
      </c>
    </row>
    <row r="149" spans="1:7">
      <c r="A149" s="3252" t="s">
        <v>29</v>
      </c>
      <c r="B149" s="3241" t="s">
        <v>2917</v>
      </c>
      <c r="C149" s="3242">
        <v>0.13</v>
      </c>
      <c r="D149" s="3242">
        <v>0.13</v>
      </c>
      <c r="E149" s="3242">
        <v>0.13</v>
      </c>
      <c r="F149" s="3242">
        <v>0.13</v>
      </c>
      <c r="G149" s="3243">
        <v>0.13</v>
      </c>
    </row>
    <row r="150" spans="1:7">
      <c r="A150" s="3252" t="s">
        <v>29</v>
      </c>
      <c r="B150" s="3241" t="s">
        <v>292</v>
      </c>
      <c r="C150" s="3242">
        <v>0.13</v>
      </c>
      <c r="D150" s="3242">
        <v>0.13</v>
      </c>
      <c r="E150" s="3242">
        <v>0.127</v>
      </c>
      <c r="F150" s="3242">
        <v>0.13</v>
      </c>
      <c r="G150" s="3243">
        <v>0.13</v>
      </c>
    </row>
    <row r="151" spans="1:7">
      <c r="A151" s="3252" t="s">
        <v>29</v>
      </c>
      <c r="B151" s="3241" t="s">
        <v>294</v>
      </c>
      <c r="C151" s="3242">
        <v>0.13</v>
      </c>
      <c r="D151" s="3242">
        <v>0.13</v>
      </c>
      <c r="E151" s="3242">
        <v>0.13</v>
      </c>
      <c r="F151" s="3242">
        <v>0.13</v>
      </c>
      <c r="G151" s="3243">
        <v>0.13</v>
      </c>
    </row>
    <row r="152" spans="1:7">
      <c r="A152" s="3252" t="s">
        <v>29</v>
      </c>
      <c r="B152" s="3241" t="s">
        <v>297</v>
      </c>
      <c r="C152" s="3242">
        <v>0.13</v>
      </c>
      <c r="D152" s="3242">
        <v>0.13</v>
      </c>
      <c r="E152" s="3242">
        <v>0.13</v>
      </c>
      <c r="F152" s="3242">
        <v>0.13</v>
      </c>
      <c r="G152" s="3243">
        <v>0.13</v>
      </c>
    </row>
    <row r="153" spans="1:7">
      <c r="A153" s="3252" t="s">
        <v>29</v>
      </c>
      <c r="B153" s="3241" t="s">
        <v>2936</v>
      </c>
      <c r="C153" s="3242">
        <v>0.13</v>
      </c>
      <c r="D153" s="3242">
        <v>0.13</v>
      </c>
      <c r="E153" s="3242">
        <v>0.13</v>
      </c>
      <c r="F153" s="3242">
        <v>0.13</v>
      </c>
      <c r="G153" s="3243">
        <v>0.13</v>
      </c>
    </row>
    <row r="154" spans="1:7">
      <c r="A154" s="3252" t="s">
        <v>29</v>
      </c>
      <c r="B154" s="3241" t="s">
        <v>2943</v>
      </c>
      <c r="C154" s="3242">
        <v>0.121</v>
      </c>
      <c r="D154" s="3242">
        <v>0.121</v>
      </c>
      <c r="E154" s="3242">
        <v>0.105</v>
      </c>
      <c r="F154" s="3242">
        <v>0.121</v>
      </c>
      <c r="G154" s="3243">
        <v>0.123</v>
      </c>
    </row>
    <row r="155" spans="1:7">
      <c r="A155" s="3252" t="s">
        <v>29</v>
      </c>
      <c r="B155" s="3241" t="s">
        <v>2949</v>
      </c>
      <c r="C155" s="3242">
        <v>0.1</v>
      </c>
      <c r="D155" s="3242">
        <v>0.1</v>
      </c>
      <c r="E155" s="3242">
        <v>0.1</v>
      </c>
      <c r="F155" s="3242">
        <v>0.1</v>
      </c>
      <c r="G155" s="3243">
        <v>0.1</v>
      </c>
    </row>
    <row r="156" spans="1:7">
      <c r="A156" s="3252" t="s">
        <v>29</v>
      </c>
      <c r="B156" s="3241" t="s">
        <v>2956</v>
      </c>
      <c r="C156" s="3242">
        <v>0.13</v>
      </c>
      <c r="D156" s="3242">
        <v>0.13</v>
      </c>
      <c r="E156" s="3242">
        <v>0.13</v>
      </c>
      <c r="F156" s="3242">
        <v>0.13</v>
      </c>
      <c r="G156" s="3243">
        <v>0.13</v>
      </c>
    </row>
    <row r="157" spans="1:7">
      <c r="A157" s="3252" t="s">
        <v>29</v>
      </c>
      <c r="B157" s="3241" t="s">
        <v>300</v>
      </c>
      <c r="C157" s="3242">
        <v>0.13</v>
      </c>
      <c r="D157" s="3242">
        <v>0.13</v>
      </c>
      <c r="E157" s="3242">
        <v>0.125</v>
      </c>
      <c r="F157" s="3242">
        <v>0.13</v>
      </c>
      <c r="G157" s="3243">
        <v>0.13</v>
      </c>
    </row>
    <row r="158" spans="1:7">
      <c r="A158" s="3252" t="s">
        <v>29</v>
      </c>
      <c r="B158" s="3241" t="s">
        <v>301</v>
      </c>
      <c r="C158" s="3242">
        <v>0.124</v>
      </c>
      <c r="D158" s="3242">
        <v>0.124</v>
      </c>
      <c r="E158" s="3242">
        <v>0.11700000000000001</v>
      </c>
      <c r="F158" s="3242">
        <v>0.121</v>
      </c>
      <c r="G158" s="3243">
        <v>0.124</v>
      </c>
    </row>
    <row r="159" spans="1:7">
      <c r="A159" s="3252" t="s">
        <v>29</v>
      </c>
      <c r="B159" s="3241" t="s">
        <v>302</v>
      </c>
      <c r="C159" s="3242">
        <v>0.127</v>
      </c>
      <c r="D159" s="3242">
        <v>0.127</v>
      </c>
      <c r="E159" s="3242">
        <v>0.122</v>
      </c>
      <c r="F159" s="3242">
        <v>0.13</v>
      </c>
      <c r="G159" s="3243">
        <v>0.129</v>
      </c>
    </row>
    <row r="160" spans="1:7">
      <c r="A160" s="3252" t="s">
        <v>29</v>
      </c>
      <c r="B160" s="3241" t="s">
        <v>2976</v>
      </c>
      <c r="C160" s="3242">
        <v>0.13</v>
      </c>
      <c r="D160" s="3242">
        <v>0.13</v>
      </c>
      <c r="E160" s="3242">
        <v>0.124</v>
      </c>
      <c r="F160" s="3242">
        <v>0.126</v>
      </c>
      <c r="G160" s="3243">
        <v>0.13</v>
      </c>
    </row>
    <row r="161" spans="1:7">
      <c r="A161" s="3252" t="s">
        <v>29</v>
      </c>
      <c r="B161" s="3241" t="s">
        <v>2981</v>
      </c>
      <c r="C161" s="3242">
        <v>0.13</v>
      </c>
      <c r="D161" s="3242">
        <v>0.13</v>
      </c>
      <c r="E161" s="3242">
        <v>0.124</v>
      </c>
      <c r="F161" s="3242">
        <v>0.127</v>
      </c>
      <c r="G161" s="3243">
        <v>0.13</v>
      </c>
    </row>
    <row r="162" spans="1:7">
      <c r="A162" s="3252" t="s">
        <v>29</v>
      </c>
      <c r="B162" s="3241" t="s">
        <v>2986</v>
      </c>
      <c r="C162" s="3242">
        <v>0.1</v>
      </c>
      <c r="D162" s="3242">
        <v>0.1</v>
      </c>
      <c r="E162" s="3242">
        <v>0.1</v>
      </c>
      <c r="F162" s="3242">
        <v>0.121</v>
      </c>
      <c r="G162" s="3243">
        <v>0.105</v>
      </c>
    </row>
    <row r="163" spans="1:7">
      <c r="A163" s="3252" t="s">
        <v>29</v>
      </c>
      <c r="B163" s="3241" t="s">
        <v>2991</v>
      </c>
      <c r="C163" s="3242">
        <v>0.1</v>
      </c>
      <c r="D163" s="3242">
        <v>0.1</v>
      </c>
      <c r="E163" s="3242">
        <v>0.1</v>
      </c>
      <c r="F163" s="3242">
        <v>0.1</v>
      </c>
      <c r="G163" s="3243">
        <v>0.1</v>
      </c>
    </row>
    <row r="164" spans="1:7">
      <c r="A164" s="3252" t="s">
        <v>29</v>
      </c>
      <c r="B164" s="3241" t="s">
        <v>2996</v>
      </c>
      <c r="C164" s="3258"/>
      <c r="D164" s="3258"/>
      <c r="E164" s="3258"/>
      <c r="F164" s="3242">
        <v>0.1</v>
      </c>
      <c r="G164" s="3254"/>
    </row>
    <row r="165" spans="1:7">
      <c r="A165" s="3252" t="s">
        <v>29</v>
      </c>
      <c r="B165" s="3241" t="s">
        <v>3167</v>
      </c>
      <c r="C165" s="3242">
        <v>0.126</v>
      </c>
      <c r="D165" s="3242">
        <v>0.126</v>
      </c>
      <c r="E165" s="3242">
        <v>0.11899999999999999</v>
      </c>
      <c r="F165" s="3242">
        <v>0.13</v>
      </c>
      <c r="G165" s="3243">
        <v>0.128</v>
      </c>
    </row>
    <row r="166" spans="1:7">
      <c r="A166" s="3252" t="s">
        <v>29</v>
      </c>
      <c r="B166" s="3241" t="s">
        <v>3006</v>
      </c>
      <c r="C166" s="3242">
        <v>0.129</v>
      </c>
      <c r="D166" s="3242">
        <v>0.129</v>
      </c>
      <c r="E166" s="3242">
        <v>0.123</v>
      </c>
      <c r="F166" s="3242">
        <v>0.128</v>
      </c>
      <c r="G166" s="3243">
        <v>0.13</v>
      </c>
    </row>
    <row r="167" spans="1:7">
      <c r="A167" s="3252" t="s">
        <v>29</v>
      </c>
      <c r="B167" s="3241" t="s">
        <v>3010</v>
      </c>
      <c r="C167" s="3242">
        <v>0.125</v>
      </c>
      <c r="D167" s="3242">
        <v>0.125</v>
      </c>
      <c r="E167" s="3242">
        <v>0.11700000000000001</v>
      </c>
      <c r="F167" s="3242">
        <v>0.13</v>
      </c>
      <c r="G167" s="3243">
        <v>0.126</v>
      </c>
    </row>
    <row r="168" spans="1:7">
      <c r="A168" s="3252" t="s">
        <v>29</v>
      </c>
      <c r="B168" s="3241" t="s">
        <v>3015</v>
      </c>
      <c r="C168" s="3242">
        <v>0.128</v>
      </c>
      <c r="D168" s="3242">
        <v>0.128</v>
      </c>
      <c r="E168" s="3242">
        <v>0.123</v>
      </c>
      <c r="F168" s="3253"/>
      <c r="G168" s="3243">
        <v>0.13</v>
      </c>
    </row>
    <row r="169" spans="1:7">
      <c r="A169" s="3252" t="s">
        <v>29</v>
      </c>
      <c r="B169" s="3241" t="s">
        <v>3168</v>
      </c>
      <c r="C169" s="3258"/>
      <c r="D169" s="3258"/>
      <c r="E169" s="3258"/>
      <c r="F169" s="3242">
        <v>0.05</v>
      </c>
      <c r="G169" s="3254"/>
    </row>
    <row r="170" spans="1:7">
      <c r="A170" s="3252" t="s">
        <v>29</v>
      </c>
      <c r="B170" s="3241" t="s">
        <v>3169</v>
      </c>
      <c r="C170" s="3258"/>
      <c r="D170" s="3258"/>
      <c r="E170" s="3258"/>
      <c r="F170" s="3242">
        <v>0.05</v>
      </c>
      <c r="G170" s="3254"/>
    </row>
    <row r="171" spans="1:7">
      <c r="A171" s="3252" t="s">
        <v>29</v>
      </c>
      <c r="B171" s="3241" t="s">
        <v>3170</v>
      </c>
      <c r="C171" s="3258"/>
      <c r="D171" s="3258"/>
      <c r="E171" s="3258"/>
      <c r="F171" s="3242">
        <v>0.05</v>
      </c>
      <c r="G171" s="3259"/>
    </row>
    <row r="172" spans="1:7">
      <c r="A172" s="3252" t="s">
        <v>29</v>
      </c>
      <c r="B172" s="3241" t="s">
        <v>3171</v>
      </c>
      <c r="C172" s="3258"/>
      <c r="D172" s="3258"/>
      <c r="E172" s="3258"/>
      <c r="F172" s="3242">
        <v>0.05</v>
      </c>
      <c r="G172" s="3259"/>
    </row>
    <row r="173" spans="1:7">
      <c r="A173" s="3252" t="s">
        <v>29</v>
      </c>
      <c r="B173" s="3241" t="s">
        <v>3172</v>
      </c>
      <c r="C173" s="3258"/>
      <c r="D173" s="3258"/>
      <c r="E173" s="3258"/>
      <c r="F173" s="3242">
        <v>0.05</v>
      </c>
      <c r="G173" s="3254"/>
    </row>
    <row r="174" spans="1:7">
      <c r="A174" s="3252" t="s">
        <v>29</v>
      </c>
      <c r="B174" s="3241" t="s">
        <v>3173</v>
      </c>
      <c r="C174" s="3258"/>
      <c r="D174" s="3258"/>
      <c r="E174" s="3258"/>
      <c r="F174" s="3242">
        <v>0.05</v>
      </c>
      <c r="G174" s="3254"/>
    </row>
    <row r="175" spans="1:7">
      <c r="A175" s="3252" t="s">
        <v>29</v>
      </c>
      <c r="B175" s="3241" t="s">
        <v>3174</v>
      </c>
      <c r="C175" s="3258"/>
      <c r="D175" s="3258"/>
      <c r="E175" s="3258"/>
      <c r="F175" s="3242">
        <v>0.05</v>
      </c>
      <c r="G175" s="3254"/>
    </row>
    <row r="176" spans="1:7">
      <c r="A176" s="3252" t="s">
        <v>29</v>
      </c>
      <c r="B176" s="3241" t="s">
        <v>3175</v>
      </c>
      <c r="C176" s="3258"/>
      <c r="D176" s="3258"/>
      <c r="E176" s="3258"/>
      <c r="F176" s="3242">
        <v>0.05</v>
      </c>
      <c r="G176" s="3254"/>
    </row>
    <row r="177" spans="1:7">
      <c r="A177" s="3252" t="s">
        <v>29</v>
      </c>
      <c r="B177" s="3241" t="s">
        <v>3176</v>
      </c>
      <c r="C177" s="3253"/>
      <c r="D177" s="3253"/>
      <c r="E177" s="3253"/>
      <c r="F177" s="3242">
        <v>0.05</v>
      </c>
      <c r="G177" s="3259"/>
    </row>
    <row r="178" spans="1:7">
      <c r="A178" s="3252" t="s">
        <v>29</v>
      </c>
      <c r="B178" s="3241" t="s">
        <v>3177</v>
      </c>
      <c r="C178" s="3253"/>
      <c r="D178" s="3253"/>
      <c r="E178" s="3253"/>
      <c r="F178" s="3242">
        <v>0.05</v>
      </c>
      <c r="G178" s="3259"/>
    </row>
    <row r="179" spans="1:7">
      <c r="A179" s="3252" t="s">
        <v>29</v>
      </c>
      <c r="B179" s="3241" t="s">
        <v>3178</v>
      </c>
      <c r="C179" s="3253"/>
      <c r="D179" s="3253"/>
      <c r="E179" s="3253"/>
      <c r="F179" s="3242">
        <v>0.05</v>
      </c>
      <c r="G179" s="3259"/>
    </row>
    <row r="180" spans="1:7">
      <c r="A180" s="3252" t="s">
        <v>29</v>
      </c>
      <c r="B180" s="3241" t="s">
        <v>3179</v>
      </c>
      <c r="C180" s="3253"/>
      <c r="D180" s="3253"/>
      <c r="E180" s="3253"/>
      <c r="F180" s="3242">
        <v>0.05</v>
      </c>
      <c r="G180" s="3259"/>
    </row>
    <row r="181" spans="1:7">
      <c r="A181" s="3252" t="s">
        <v>29</v>
      </c>
      <c r="B181" s="3241" t="s">
        <v>3180</v>
      </c>
      <c r="C181" s="3253"/>
      <c r="D181" s="3253"/>
      <c r="E181" s="3253"/>
      <c r="F181" s="3242">
        <v>0.05</v>
      </c>
      <c r="G181" s="3259"/>
    </row>
    <row r="182" spans="1:7">
      <c r="A182" s="3252" t="s">
        <v>29</v>
      </c>
      <c r="B182" s="3241" t="s">
        <v>3181</v>
      </c>
      <c r="C182" s="3253"/>
      <c r="D182" s="3253"/>
      <c r="E182" s="3253"/>
      <c r="F182" s="3242">
        <v>0.05</v>
      </c>
      <c r="G182" s="3259"/>
    </row>
    <row r="183" spans="1:7">
      <c r="A183" s="3252" t="s">
        <v>29</v>
      </c>
      <c r="B183" s="3241" t="s">
        <v>3182</v>
      </c>
      <c r="C183" s="3253"/>
      <c r="D183" s="3253"/>
      <c r="E183" s="3253"/>
      <c r="F183" s="3242">
        <v>0.05</v>
      </c>
      <c r="G183" s="3259"/>
    </row>
    <row r="184" spans="1:7">
      <c r="A184" s="3252" t="s">
        <v>29</v>
      </c>
      <c r="B184" s="3241" t="s">
        <v>3183</v>
      </c>
      <c r="C184" s="3253"/>
      <c r="D184" s="3253"/>
      <c r="E184" s="3253"/>
      <c r="F184" s="3242">
        <v>0.05</v>
      </c>
      <c r="G184" s="3259"/>
    </row>
    <row r="185" spans="1:7">
      <c r="A185" s="3252" t="s">
        <v>29</v>
      </c>
      <c r="B185" s="3241" t="s">
        <v>3184</v>
      </c>
      <c r="C185" s="3253"/>
      <c r="D185" s="3253"/>
      <c r="E185" s="3253"/>
      <c r="F185" s="3242">
        <v>0.05</v>
      </c>
      <c r="G185" s="3259"/>
    </row>
    <row r="186" spans="1:7">
      <c r="A186" s="3252" t="s">
        <v>29</v>
      </c>
      <c r="B186" s="3241" t="s">
        <v>3185</v>
      </c>
      <c r="C186" s="3253"/>
      <c r="D186" s="3253"/>
      <c r="E186" s="3253"/>
      <c r="F186" s="3242">
        <v>0.05</v>
      </c>
      <c r="G186" s="3259"/>
    </row>
    <row r="187" spans="1:7">
      <c r="A187" s="3252" t="s">
        <v>29</v>
      </c>
      <c r="B187" s="3241" t="s">
        <v>3186</v>
      </c>
      <c r="C187" s="3253"/>
      <c r="D187" s="3253"/>
      <c r="E187" s="3253"/>
      <c r="F187" s="3242">
        <v>0.05</v>
      </c>
      <c r="G187" s="3259"/>
    </row>
    <row r="188" spans="1:7">
      <c r="A188" s="3252" t="s">
        <v>29</v>
      </c>
      <c r="B188" s="3241" t="s">
        <v>3187</v>
      </c>
      <c r="C188" s="3253"/>
      <c r="D188" s="3253"/>
      <c r="E188" s="3253"/>
      <c r="F188" s="3242">
        <v>0.05</v>
      </c>
      <c r="G188" s="3259"/>
    </row>
    <row r="189" spans="1:7" ht="14.25" thickBot="1">
      <c r="A189" s="3255" t="s">
        <v>29</v>
      </c>
      <c r="B189" s="3245" t="s">
        <v>3188</v>
      </c>
      <c r="C189" s="3247"/>
      <c r="D189" s="3247"/>
      <c r="E189" s="3247"/>
      <c r="F189" s="3246">
        <v>0.05</v>
      </c>
      <c r="G189" s="3260"/>
    </row>
    <row r="190" spans="1:7">
      <c r="A190" s="3251" t="s">
        <v>304</v>
      </c>
      <c r="B190" s="3237" t="s">
        <v>2844</v>
      </c>
      <c r="C190" s="3238">
        <v>0.124</v>
      </c>
      <c r="D190" s="3238">
        <v>0.124</v>
      </c>
      <c r="E190" s="3238">
        <v>0.129</v>
      </c>
      <c r="F190" s="3238">
        <v>0.13</v>
      </c>
      <c r="G190" s="3239">
        <v>0.127</v>
      </c>
    </row>
    <row r="191" spans="1:7">
      <c r="A191" s="3252" t="s">
        <v>304</v>
      </c>
      <c r="B191" s="3241" t="s">
        <v>133</v>
      </c>
      <c r="C191" s="3242">
        <v>0.13</v>
      </c>
      <c r="D191" s="3242">
        <v>0.13</v>
      </c>
      <c r="E191" s="3242">
        <v>0.13</v>
      </c>
      <c r="F191" s="3242">
        <v>0.13</v>
      </c>
      <c r="G191" s="3243">
        <v>0.13</v>
      </c>
    </row>
    <row r="192" spans="1:7">
      <c r="A192" s="3252" t="s">
        <v>304</v>
      </c>
      <c r="B192" s="3241" t="s">
        <v>142</v>
      </c>
      <c r="C192" s="3242">
        <v>0.13</v>
      </c>
      <c r="D192" s="3242">
        <v>0.13</v>
      </c>
      <c r="E192" s="3242">
        <v>0.13</v>
      </c>
      <c r="F192" s="3242">
        <v>0.13</v>
      </c>
      <c r="G192" s="3243">
        <v>0.13</v>
      </c>
    </row>
    <row r="193" spans="1:7">
      <c r="A193" s="3252" t="s">
        <v>304</v>
      </c>
      <c r="B193" s="3241" t="s">
        <v>151</v>
      </c>
      <c r="C193" s="3242">
        <v>0.13</v>
      </c>
      <c r="D193" s="3242">
        <v>0.13</v>
      </c>
      <c r="E193" s="3242">
        <v>0.13</v>
      </c>
      <c r="F193" s="3242">
        <v>0.13</v>
      </c>
      <c r="G193" s="3243">
        <v>0.13</v>
      </c>
    </row>
    <row r="194" spans="1:7">
      <c r="A194" s="3252" t="s">
        <v>304</v>
      </c>
      <c r="B194" s="3241" t="s">
        <v>160</v>
      </c>
      <c r="C194" s="3242">
        <v>0.123</v>
      </c>
      <c r="D194" s="3242">
        <v>0.123</v>
      </c>
      <c r="E194" s="3242">
        <v>0.128</v>
      </c>
      <c r="F194" s="3242">
        <v>0.13</v>
      </c>
      <c r="G194" s="3243">
        <v>0.126</v>
      </c>
    </row>
    <row r="195" spans="1:7">
      <c r="A195" s="3252" t="s">
        <v>304</v>
      </c>
      <c r="B195" s="3241" t="s">
        <v>167</v>
      </c>
      <c r="C195" s="3242">
        <v>0.127</v>
      </c>
      <c r="D195" s="3242">
        <v>0.127</v>
      </c>
      <c r="E195" s="3242">
        <v>0.121</v>
      </c>
      <c r="F195" s="3242">
        <v>0.129</v>
      </c>
      <c r="G195" s="3243">
        <v>0.129</v>
      </c>
    </row>
    <row r="196" spans="1:7">
      <c r="A196" s="3252" t="s">
        <v>304</v>
      </c>
      <c r="B196" s="3241" t="s">
        <v>173</v>
      </c>
      <c r="C196" s="3242">
        <v>0.127</v>
      </c>
      <c r="D196" s="3242">
        <v>0.128</v>
      </c>
      <c r="E196" s="3242">
        <v>0.122</v>
      </c>
      <c r="F196" s="3242">
        <v>0.13</v>
      </c>
      <c r="G196" s="3243">
        <v>0.129</v>
      </c>
    </row>
    <row r="197" spans="1:7">
      <c r="A197" s="3252" t="s">
        <v>304</v>
      </c>
      <c r="B197" s="3241" t="s">
        <v>180</v>
      </c>
      <c r="C197" s="3242">
        <v>0.126</v>
      </c>
      <c r="D197" s="3242">
        <v>0.126</v>
      </c>
      <c r="E197" s="3242">
        <v>0.11899999999999999</v>
      </c>
      <c r="F197" s="3242">
        <v>0.13</v>
      </c>
      <c r="G197" s="3243">
        <v>0.128</v>
      </c>
    </row>
    <row r="198" spans="1:7">
      <c r="A198" s="3252" t="s">
        <v>304</v>
      </c>
      <c r="B198" s="3241" t="s">
        <v>190</v>
      </c>
      <c r="C198" s="3242">
        <v>0.13</v>
      </c>
      <c r="D198" s="3242">
        <v>0.13</v>
      </c>
      <c r="E198" s="3242">
        <v>0.126</v>
      </c>
      <c r="F198" s="3258"/>
      <c r="G198" s="3243">
        <v>0.13</v>
      </c>
    </row>
    <row r="199" spans="1:7">
      <c r="A199" s="3252" t="s">
        <v>304</v>
      </c>
      <c r="B199" s="3241" t="s">
        <v>2880</v>
      </c>
      <c r="C199" s="3242">
        <v>0.13</v>
      </c>
      <c r="D199" s="3242">
        <v>0.13</v>
      </c>
      <c r="E199" s="3242">
        <v>0.13</v>
      </c>
      <c r="F199" s="3242">
        <v>0.13</v>
      </c>
      <c r="G199" s="3243">
        <v>0.13</v>
      </c>
    </row>
    <row r="200" spans="1:7">
      <c r="A200" s="3252" t="s">
        <v>304</v>
      </c>
      <c r="B200" s="3241" t="s">
        <v>2883</v>
      </c>
      <c r="C200" s="3258"/>
      <c r="D200" s="3258"/>
      <c r="E200" s="3258"/>
      <c r="F200" s="3242">
        <v>0.13</v>
      </c>
      <c r="G200" s="3254"/>
    </row>
    <row r="201" spans="1:7">
      <c r="A201" s="3252" t="s">
        <v>304</v>
      </c>
      <c r="B201" s="3241" t="s">
        <v>2888</v>
      </c>
      <c r="C201" s="3242">
        <v>0.13</v>
      </c>
      <c r="D201" s="3242">
        <v>0.13</v>
      </c>
      <c r="E201" s="3242">
        <v>0.13</v>
      </c>
      <c r="F201" s="3242">
        <v>0.129</v>
      </c>
      <c r="G201" s="3243">
        <v>0.13</v>
      </c>
    </row>
    <row r="202" spans="1:7">
      <c r="A202" s="3252" t="s">
        <v>304</v>
      </c>
      <c r="B202" s="3241" t="s">
        <v>240</v>
      </c>
      <c r="C202" s="3242">
        <v>0.13</v>
      </c>
      <c r="D202" s="3242">
        <v>0.13</v>
      </c>
      <c r="E202" s="3242">
        <v>0.13</v>
      </c>
      <c r="F202" s="3242">
        <v>0.13</v>
      </c>
      <c r="G202" s="3243">
        <v>0.13</v>
      </c>
    </row>
    <row r="203" spans="1:7">
      <c r="A203" s="3252" t="s">
        <v>304</v>
      </c>
      <c r="B203" s="3241" t="s">
        <v>2891</v>
      </c>
      <c r="C203" s="3242">
        <v>0.129</v>
      </c>
      <c r="D203" s="3242">
        <v>0.129</v>
      </c>
      <c r="E203" s="3242">
        <v>0.13</v>
      </c>
      <c r="F203" s="3242">
        <v>0.13</v>
      </c>
      <c r="G203" s="3243">
        <v>0.13</v>
      </c>
    </row>
    <row r="204" spans="1:7">
      <c r="A204" s="3252" t="s">
        <v>304</v>
      </c>
      <c r="B204" s="3241" t="s">
        <v>2894</v>
      </c>
      <c r="C204" s="3242">
        <v>0.129</v>
      </c>
      <c r="D204" s="3242">
        <v>0.129</v>
      </c>
      <c r="E204" s="3242">
        <v>0.123</v>
      </c>
      <c r="F204" s="3242">
        <v>0.13</v>
      </c>
      <c r="G204" s="3243">
        <v>0.13</v>
      </c>
    </row>
    <row r="205" spans="1:7">
      <c r="A205" s="3252" t="s">
        <v>304</v>
      </c>
      <c r="B205" s="3241" t="s">
        <v>2896</v>
      </c>
      <c r="C205" s="3242">
        <v>0.13</v>
      </c>
      <c r="D205" s="3242">
        <v>0.13</v>
      </c>
      <c r="E205" s="3242">
        <v>0.13</v>
      </c>
      <c r="F205" s="3242">
        <v>0.13</v>
      </c>
      <c r="G205" s="3243">
        <v>0.13</v>
      </c>
    </row>
    <row r="206" spans="1:7">
      <c r="A206" s="3252" t="s">
        <v>304</v>
      </c>
      <c r="B206" s="3241" t="s">
        <v>2899</v>
      </c>
      <c r="C206" s="3242">
        <v>0.13</v>
      </c>
      <c r="D206" s="3242">
        <v>0.13</v>
      </c>
      <c r="E206" s="3242">
        <v>0.13</v>
      </c>
      <c r="F206" s="3242">
        <v>0.128</v>
      </c>
      <c r="G206" s="3243">
        <v>0.13</v>
      </c>
    </row>
    <row r="207" spans="1:7">
      <c r="A207" s="3252" t="s">
        <v>304</v>
      </c>
      <c r="B207" s="3241" t="s">
        <v>2901</v>
      </c>
      <c r="C207" s="3242">
        <v>0.13</v>
      </c>
      <c r="D207" s="3242">
        <v>0.13</v>
      </c>
      <c r="E207" s="3242">
        <v>0.13</v>
      </c>
      <c r="F207" s="3242">
        <v>0.13</v>
      </c>
      <c r="G207" s="3243">
        <v>0.13</v>
      </c>
    </row>
    <row r="208" spans="1:7">
      <c r="A208" s="3252" t="s">
        <v>304</v>
      </c>
      <c r="B208" s="3241" t="s">
        <v>2904</v>
      </c>
      <c r="C208" s="3242">
        <v>0.13</v>
      </c>
      <c r="D208" s="3242">
        <v>0.13</v>
      </c>
      <c r="E208" s="3242">
        <v>0.13</v>
      </c>
      <c r="F208" s="3242">
        <v>0.13</v>
      </c>
      <c r="G208" s="3243">
        <v>0.13</v>
      </c>
    </row>
    <row r="209" spans="1:7">
      <c r="A209" s="3252" t="s">
        <v>304</v>
      </c>
      <c r="B209" s="3241" t="s">
        <v>264</v>
      </c>
      <c r="C209" s="3242">
        <v>0.13</v>
      </c>
      <c r="D209" s="3242">
        <v>0.13</v>
      </c>
      <c r="E209" s="3242">
        <v>0.13</v>
      </c>
      <c r="F209" s="3242">
        <v>0.13</v>
      </c>
      <c r="G209" s="3243">
        <v>0.13</v>
      </c>
    </row>
    <row r="210" spans="1:7">
      <c r="A210" s="3252" t="s">
        <v>304</v>
      </c>
      <c r="B210" s="3241" t="s">
        <v>2911</v>
      </c>
      <c r="C210" s="3242">
        <v>0.121</v>
      </c>
      <c r="D210" s="3242">
        <v>0.121</v>
      </c>
      <c r="E210" s="3242">
        <v>0.125</v>
      </c>
      <c r="F210" s="3242">
        <v>0.13</v>
      </c>
      <c r="G210" s="3243">
        <v>0.123</v>
      </c>
    </row>
    <row r="211" spans="1:7">
      <c r="A211" s="3252" t="s">
        <v>304</v>
      </c>
      <c r="B211" s="3241" t="s">
        <v>2914</v>
      </c>
      <c r="C211" s="3242">
        <v>0.123</v>
      </c>
      <c r="D211" s="3242">
        <v>0.123</v>
      </c>
      <c r="E211" s="3242">
        <v>0.127</v>
      </c>
      <c r="F211" s="3242">
        <v>0.115</v>
      </c>
      <c r="G211" s="3243">
        <v>0.126</v>
      </c>
    </row>
    <row r="212" spans="1:7">
      <c r="A212" s="3252" t="s">
        <v>304</v>
      </c>
      <c r="B212" s="3241" t="s">
        <v>285</v>
      </c>
      <c r="C212" s="3242">
        <v>0.126</v>
      </c>
      <c r="D212" s="3242">
        <v>0.126</v>
      </c>
      <c r="E212" s="3242">
        <v>0.13</v>
      </c>
      <c r="F212" s="3242">
        <v>0.13</v>
      </c>
      <c r="G212" s="3243">
        <v>0.129</v>
      </c>
    </row>
    <row r="213" spans="1:7">
      <c r="A213" s="3252" t="s">
        <v>304</v>
      </c>
      <c r="B213" s="3241" t="s">
        <v>288</v>
      </c>
      <c r="C213" s="3242">
        <v>0.129</v>
      </c>
      <c r="D213" s="3242">
        <v>0.13</v>
      </c>
      <c r="E213" s="3242">
        <v>0.127</v>
      </c>
      <c r="F213" s="3242">
        <v>0.13</v>
      </c>
      <c r="G213" s="3243">
        <v>0.13</v>
      </c>
    </row>
    <row r="214" spans="1:7">
      <c r="A214" s="3252" t="s">
        <v>304</v>
      </c>
      <c r="B214" s="3241" t="s">
        <v>2926</v>
      </c>
      <c r="C214" s="3242">
        <v>0.128</v>
      </c>
      <c r="D214" s="3242">
        <v>0.128</v>
      </c>
      <c r="E214" s="3242">
        <v>0.13</v>
      </c>
      <c r="F214" s="3242">
        <v>0.13</v>
      </c>
      <c r="G214" s="3243">
        <v>0.13</v>
      </c>
    </row>
    <row r="215" spans="1:7">
      <c r="A215" s="3252" t="s">
        <v>304</v>
      </c>
      <c r="B215" s="3241" t="s">
        <v>2930</v>
      </c>
      <c r="C215" s="3242">
        <v>0.13</v>
      </c>
      <c r="D215" s="3242">
        <v>0.13</v>
      </c>
      <c r="E215" s="3242">
        <v>0.13</v>
      </c>
      <c r="F215" s="3242">
        <v>0.129</v>
      </c>
      <c r="G215" s="3243">
        <v>0.13</v>
      </c>
    </row>
    <row r="216" spans="1:7">
      <c r="A216" s="3252" t="s">
        <v>304</v>
      </c>
      <c r="B216" s="3241" t="s">
        <v>2937</v>
      </c>
      <c r="C216" s="3242">
        <v>0.13</v>
      </c>
      <c r="D216" s="3242">
        <v>0.13</v>
      </c>
      <c r="E216" s="3242">
        <v>0.13</v>
      </c>
      <c r="F216" s="3242">
        <v>0.13</v>
      </c>
      <c r="G216" s="3243">
        <v>0.13</v>
      </c>
    </row>
    <row r="217" spans="1:7">
      <c r="A217" s="3252" t="s">
        <v>304</v>
      </c>
      <c r="B217" s="3241" t="s">
        <v>2944</v>
      </c>
      <c r="C217" s="3242">
        <v>0.129</v>
      </c>
      <c r="D217" s="3242">
        <v>0.129</v>
      </c>
      <c r="E217" s="3242">
        <v>0.13</v>
      </c>
      <c r="F217" s="3242">
        <v>0.13</v>
      </c>
      <c r="G217" s="3243">
        <v>0.13</v>
      </c>
    </row>
    <row r="218" spans="1:7">
      <c r="A218" s="3252" t="s">
        <v>304</v>
      </c>
      <c r="B218" s="3241" t="s">
        <v>2950</v>
      </c>
      <c r="C218" s="3253"/>
      <c r="D218" s="3253"/>
      <c r="E218" s="3253"/>
      <c r="F218" s="3242">
        <v>0.05</v>
      </c>
      <c r="G218" s="3259"/>
    </row>
    <row r="219" spans="1:7">
      <c r="A219" s="3252" t="s">
        <v>304</v>
      </c>
      <c r="B219" s="3241" t="s">
        <v>2957</v>
      </c>
      <c r="C219" s="3253"/>
      <c r="D219" s="3253"/>
      <c r="E219" s="3253"/>
      <c r="F219" s="3242">
        <v>0.05</v>
      </c>
      <c r="G219" s="3259"/>
    </row>
    <row r="220" spans="1:7">
      <c r="A220" s="3252" t="s">
        <v>304</v>
      </c>
      <c r="B220" s="3241" t="s">
        <v>2963</v>
      </c>
      <c r="C220" s="3253"/>
      <c r="D220" s="3253"/>
      <c r="E220" s="3253"/>
      <c r="F220" s="3242">
        <v>0.05</v>
      </c>
      <c r="G220" s="3259"/>
    </row>
    <row r="221" spans="1:7">
      <c r="A221" s="3252" t="s">
        <v>304</v>
      </c>
      <c r="B221" s="3241" t="s">
        <v>2968</v>
      </c>
      <c r="C221" s="3253"/>
      <c r="D221" s="3253"/>
      <c r="E221" s="3253"/>
      <c r="F221" s="3242">
        <v>0.05</v>
      </c>
      <c r="G221" s="3259"/>
    </row>
    <row r="222" spans="1:7">
      <c r="A222" s="3252" t="s">
        <v>304</v>
      </c>
      <c r="B222" s="3241" t="s">
        <v>2972</v>
      </c>
      <c r="C222" s="3253"/>
      <c r="D222" s="3253"/>
      <c r="E222" s="3253"/>
      <c r="F222" s="3242">
        <v>0.05</v>
      </c>
      <c r="G222" s="3259"/>
    </row>
    <row r="223" spans="1:7">
      <c r="A223" s="3252" t="s">
        <v>304</v>
      </c>
      <c r="B223" s="3241" t="s">
        <v>2977</v>
      </c>
      <c r="C223" s="3253"/>
      <c r="D223" s="3253"/>
      <c r="E223" s="3253"/>
      <c r="F223" s="3242">
        <v>0.05</v>
      </c>
      <c r="G223" s="3259"/>
    </row>
    <row r="224" spans="1:7">
      <c r="A224" s="3252" t="s">
        <v>304</v>
      </c>
      <c r="B224" s="3241" t="s">
        <v>2982</v>
      </c>
      <c r="C224" s="3253"/>
      <c r="D224" s="3253"/>
      <c r="E224" s="3253"/>
      <c r="F224" s="3242">
        <v>0.05</v>
      </c>
      <c r="G224" s="3259"/>
    </row>
    <row r="225" spans="1:7">
      <c r="A225" s="3252" t="s">
        <v>304</v>
      </c>
      <c r="B225" s="3241" t="s">
        <v>2987</v>
      </c>
      <c r="C225" s="3253"/>
      <c r="D225" s="3253"/>
      <c r="E225" s="3253"/>
      <c r="F225" s="3242">
        <v>0.05</v>
      </c>
      <c r="G225" s="3259"/>
    </row>
    <row r="226" spans="1:7">
      <c r="A226" s="3252" t="s">
        <v>304</v>
      </c>
      <c r="B226" s="3241" t="s">
        <v>3189</v>
      </c>
      <c r="C226" s="3253"/>
      <c r="D226" s="3253"/>
      <c r="E226" s="3253"/>
      <c r="F226" s="3242">
        <v>0.05</v>
      </c>
      <c r="G226" s="3259"/>
    </row>
    <row r="227" spans="1:7">
      <c r="A227" s="3252" t="s">
        <v>304</v>
      </c>
      <c r="B227" s="3241" t="s">
        <v>3190</v>
      </c>
      <c r="C227" s="3253"/>
      <c r="D227" s="3253"/>
      <c r="E227" s="3253"/>
      <c r="F227" s="3242">
        <v>0.05</v>
      </c>
      <c r="G227" s="3259"/>
    </row>
    <row r="228" spans="1:7">
      <c r="A228" s="3252" t="s">
        <v>304</v>
      </c>
      <c r="B228" s="3241" t="s">
        <v>3191</v>
      </c>
      <c r="C228" s="3253"/>
      <c r="D228" s="3253"/>
      <c r="E228" s="3253"/>
      <c r="F228" s="3242">
        <v>0.05</v>
      </c>
      <c r="G228" s="3259"/>
    </row>
    <row r="229" spans="1:7">
      <c r="A229" s="3252" t="s">
        <v>304</v>
      </c>
      <c r="B229" s="3241" t="s">
        <v>3192</v>
      </c>
      <c r="C229" s="3253"/>
      <c r="D229" s="3253"/>
      <c r="E229" s="3253"/>
      <c r="F229" s="3242">
        <v>0.05</v>
      </c>
      <c r="G229" s="3259"/>
    </row>
    <row r="230" spans="1:7">
      <c r="A230" s="3252" t="s">
        <v>304</v>
      </c>
      <c r="B230" s="3241" t="s">
        <v>3193</v>
      </c>
      <c r="C230" s="3253"/>
      <c r="D230" s="3253"/>
      <c r="E230" s="3253"/>
      <c r="F230" s="3242">
        <v>0.05</v>
      </c>
      <c r="G230" s="3259"/>
    </row>
    <row r="231" spans="1:7">
      <c r="A231" s="3252" t="s">
        <v>304</v>
      </c>
      <c r="B231" s="3241" t="s">
        <v>3194</v>
      </c>
      <c r="C231" s="3253"/>
      <c r="D231" s="3253"/>
      <c r="E231" s="3253"/>
      <c r="F231" s="3242">
        <v>0.05</v>
      </c>
      <c r="G231" s="3259"/>
    </row>
    <row r="232" spans="1:7">
      <c r="A232" s="3252" t="s">
        <v>304</v>
      </c>
      <c r="B232" s="3241" t="s">
        <v>3195</v>
      </c>
      <c r="C232" s="3253"/>
      <c r="D232" s="3253"/>
      <c r="E232" s="3253"/>
      <c r="F232" s="3242">
        <v>0.05</v>
      </c>
      <c r="G232" s="3259"/>
    </row>
    <row r="233" spans="1:7" ht="14.25" thickBot="1">
      <c r="A233" s="3255" t="s">
        <v>304</v>
      </c>
      <c r="B233" s="3245" t="s">
        <v>3196</v>
      </c>
      <c r="C233" s="3247"/>
      <c r="D233" s="3247"/>
      <c r="E233" s="3247"/>
      <c r="F233" s="3246">
        <v>0.05</v>
      </c>
      <c r="G233" s="3260"/>
    </row>
    <row r="234" spans="1:7">
      <c r="A234" s="3251" t="s">
        <v>305</v>
      </c>
      <c r="B234" s="3237" t="s">
        <v>2845</v>
      </c>
      <c r="C234" s="3238">
        <v>0.13</v>
      </c>
      <c r="D234" s="3238">
        <v>0.128</v>
      </c>
      <c r="E234" s="3238">
        <v>0.14199999999999999</v>
      </c>
      <c r="F234" s="3238">
        <v>0.14699999999999999</v>
      </c>
      <c r="G234" s="3239">
        <v>0.14000000000000001</v>
      </c>
    </row>
    <row r="235" spans="1:7">
      <c r="A235" s="3252" t="s">
        <v>305</v>
      </c>
      <c r="B235" s="3241" t="s">
        <v>134</v>
      </c>
      <c r="C235" s="3242">
        <v>0.13600000000000001</v>
      </c>
      <c r="D235" s="3242">
        <v>0.13800000000000001</v>
      </c>
      <c r="E235" s="3242">
        <v>0.14499999999999999</v>
      </c>
      <c r="F235" s="3242">
        <v>0.14299999999999999</v>
      </c>
      <c r="G235" s="3243">
        <v>0.14099999999999999</v>
      </c>
    </row>
    <row r="236" spans="1:7">
      <c r="A236" s="3252" t="s">
        <v>305</v>
      </c>
      <c r="B236" s="3241" t="s">
        <v>143</v>
      </c>
      <c r="C236" s="3242">
        <v>0.15</v>
      </c>
      <c r="D236" s="3242">
        <v>0.15</v>
      </c>
      <c r="E236" s="3242">
        <v>0.15</v>
      </c>
      <c r="F236" s="3242">
        <v>0.15</v>
      </c>
      <c r="G236" s="3243">
        <v>0.15</v>
      </c>
    </row>
    <row r="237" spans="1:7">
      <c r="A237" s="3252" t="s">
        <v>305</v>
      </c>
      <c r="B237" s="3241" t="s">
        <v>152</v>
      </c>
      <c r="C237" s="3242">
        <v>0.15</v>
      </c>
      <c r="D237" s="3242">
        <v>0.15</v>
      </c>
      <c r="E237" s="3242">
        <v>0.15</v>
      </c>
      <c r="F237" s="3242">
        <v>0.15</v>
      </c>
      <c r="G237" s="3243">
        <v>0.15</v>
      </c>
    </row>
    <row r="238" spans="1:7">
      <c r="A238" s="3252" t="s">
        <v>305</v>
      </c>
      <c r="B238" s="3241" t="s">
        <v>2865</v>
      </c>
      <c r="C238" s="3242">
        <v>0.14899999999999999</v>
      </c>
      <c r="D238" s="3242">
        <v>0.14899999999999999</v>
      </c>
      <c r="E238" s="3242">
        <v>0.15</v>
      </c>
      <c r="F238" s="3242">
        <v>0.15</v>
      </c>
      <c r="G238" s="3243">
        <v>0.15</v>
      </c>
    </row>
    <row r="239" spans="1:7">
      <c r="A239" s="3252" t="s">
        <v>305</v>
      </c>
      <c r="B239" s="3241" t="s">
        <v>2869</v>
      </c>
      <c r="C239" s="3242">
        <v>0.15</v>
      </c>
      <c r="D239" s="3242">
        <v>0.15</v>
      </c>
      <c r="E239" s="3242">
        <v>0.15</v>
      </c>
      <c r="F239" s="3242">
        <v>0.15</v>
      </c>
      <c r="G239" s="3243">
        <v>0.15</v>
      </c>
    </row>
    <row r="240" spans="1:7">
      <c r="A240" s="3252" t="s">
        <v>305</v>
      </c>
      <c r="B240" s="3241" t="s">
        <v>2874</v>
      </c>
      <c r="C240" s="3242">
        <v>0.15</v>
      </c>
      <c r="D240" s="3242">
        <v>0.15</v>
      </c>
      <c r="E240" s="3242">
        <v>0.15</v>
      </c>
      <c r="F240" s="3242">
        <v>0.15</v>
      </c>
      <c r="G240" s="3243">
        <v>0.15</v>
      </c>
    </row>
    <row r="241" spans="1:7">
      <c r="A241" s="3252" t="s">
        <v>305</v>
      </c>
      <c r="B241" s="3241" t="s">
        <v>2878</v>
      </c>
      <c r="C241" s="3242">
        <v>0.14099999999999999</v>
      </c>
      <c r="D241" s="3242">
        <v>0.14199999999999999</v>
      </c>
      <c r="E241" s="3242">
        <v>0.14899999999999999</v>
      </c>
      <c r="F241" s="3242">
        <v>0.15</v>
      </c>
      <c r="G241" s="3243">
        <v>0.14399999999999999</v>
      </c>
    </row>
    <row r="242" spans="1:7">
      <c r="A242" s="3252" t="s">
        <v>305</v>
      </c>
      <c r="B242" s="3241" t="s">
        <v>181</v>
      </c>
      <c r="C242" s="3242">
        <v>0.14099999999999999</v>
      </c>
      <c r="D242" s="3242">
        <v>0.14199999999999999</v>
      </c>
      <c r="E242" s="3242">
        <v>0.14799999999999999</v>
      </c>
      <c r="F242" s="3242">
        <v>0.127</v>
      </c>
      <c r="G242" s="3243">
        <v>0.14399999999999999</v>
      </c>
    </row>
    <row r="243" spans="1:7">
      <c r="A243" s="3252" t="s">
        <v>305</v>
      </c>
      <c r="B243" s="3241" t="s">
        <v>191</v>
      </c>
      <c r="C243" s="3242">
        <v>0.14699999999999999</v>
      </c>
      <c r="D243" s="3242">
        <v>0.14699999999999999</v>
      </c>
      <c r="E243" s="3242">
        <v>0.15</v>
      </c>
      <c r="F243" s="3242">
        <v>0.15</v>
      </c>
      <c r="G243" s="3243">
        <v>0.14899999999999999</v>
      </c>
    </row>
    <row r="244" spans="1:7">
      <c r="A244" s="3252" t="s">
        <v>305</v>
      </c>
      <c r="B244" s="3241" t="s">
        <v>2884</v>
      </c>
      <c r="C244" s="3242">
        <v>0.15</v>
      </c>
      <c r="D244" s="3242">
        <v>0.15</v>
      </c>
      <c r="E244" s="3242">
        <v>0.15</v>
      </c>
      <c r="F244" s="3242">
        <v>0.15</v>
      </c>
      <c r="G244" s="3243">
        <v>0.15</v>
      </c>
    </row>
    <row r="245" spans="1:7">
      <c r="A245" s="3252" t="s">
        <v>305</v>
      </c>
      <c r="B245" s="3241" t="s">
        <v>206</v>
      </c>
      <c r="C245" s="3242">
        <v>0.14199999999999999</v>
      </c>
      <c r="D245" s="3242">
        <v>0.14199999999999999</v>
      </c>
      <c r="E245" s="3242">
        <v>0.15</v>
      </c>
      <c r="F245" s="3242">
        <v>0.15</v>
      </c>
      <c r="G245" s="3243">
        <v>0.14499999999999999</v>
      </c>
    </row>
    <row r="246" spans="1:7">
      <c r="A246" s="3252" t="s">
        <v>305</v>
      </c>
      <c r="B246" s="3241" t="s">
        <v>213</v>
      </c>
      <c r="C246" s="3242">
        <v>0.14199999999999999</v>
      </c>
      <c r="D246" s="3242">
        <v>0.14299999999999999</v>
      </c>
      <c r="E246" s="3242">
        <v>0.15</v>
      </c>
      <c r="F246" s="3242">
        <v>0.14199999999999999</v>
      </c>
      <c r="G246" s="3243">
        <v>0.14399999999999999</v>
      </c>
    </row>
    <row r="247" spans="1:7">
      <c r="A247" s="3252" t="s">
        <v>305</v>
      </c>
      <c r="B247" s="3241" t="s">
        <v>2892</v>
      </c>
      <c r="C247" s="3242">
        <v>0.14899999999999999</v>
      </c>
      <c r="D247" s="3242">
        <v>0.14899999999999999</v>
      </c>
      <c r="E247" s="3242">
        <v>0.15</v>
      </c>
      <c r="F247" s="3242">
        <v>0.15</v>
      </c>
      <c r="G247" s="3243">
        <v>0.15</v>
      </c>
    </row>
    <row r="248" spans="1:7">
      <c r="A248" s="3252" t="s">
        <v>305</v>
      </c>
      <c r="B248" s="3241" t="s">
        <v>227</v>
      </c>
      <c r="C248" s="3242">
        <v>0.14399999999999999</v>
      </c>
      <c r="D248" s="3242">
        <v>0.14399999999999999</v>
      </c>
      <c r="E248" s="3242">
        <v>0.14899999999999999</v>
      </c>
      <c r="F248" s="3242">
        <v>0.14799999999999999</v>
      </c>
      <c r="G248" s="3243">
        <v>0.14599999999999999</v>
      </c>
    </row>
    <row r="249" spans="1:7">
      <c r="A249" s="3252" t="s">
        <v>305</v>
      </c>
      <c r="B249" s="3241" t="s">
        <v>2897</v>
      </c>
      <c r="C249" s="3242">
        <v>0.14000000000000001</v>
      </c>
      <c r="D249" s="3242">
        <v>0.14000000000000001</v>
      </c>
      <c r="E249" s="3242">
        <v>0.14699999999999999</v>
      </c>
      <c r="F249" s="3242">
        <v>0.14899999999999999</v>
      </c>
      <c r="G249" s="3243">
        <v>0.14199999999999999</v>
      </c>
    </row>
    <row r="250" spans="1:7">
      <c r="A250" s="3252" t="s">
        <v>305</v>
      </c>
      <c r="B250" s="3241" t="s">
        <v>241</v>
      </c>
      <c r="C250" s="3242">
        <v>0.14399999999999999</v>
      </c>
      <c r="D250" s="3242">
        <v>0.14299999999999999</v>
      </c>
      <c r="E250" s="3242">
        <v>0.14899999999999999</v>
      </c>
      <c r="F250" s="3242">
        <v>0.15</v>
      </c>
      <c r="G250" s="3243">
        <v>0.14599999999999999</v>
      </c>
    </row>
    <row r="251" spans="1:7">
      <c r="A251" s="3252" t="s">
        <v>305</v>
      </c>
      <c r="B251" s="3241" t="s">
        <v>249</v>
      </c>
      <c r="C251" s="3258"/>
      <c r="D251" s="3253"/>
      <c r="E251" s="3253"/>
      <c r="F251" s="3242">
        <v>0.1</v>
      </c>
      <c r="G251" s="3259"/>
    </row>
    <row r="252" spans="1:7">
      <c r="A252" s="3252" t="s">
        <v>305</v>
      </c>
      <c r="B252" s="3241" t="s">
        <v>2905</v>
      </c>
      <c r="C252" s="3242">
        <v>0.14399999999999999</v>
      </c>
      <c r="D252" s="3242">
        <v>0.14399999999999999</v>
      </c>
      <c r="E252" s="3242">
        <v>0.15</v>
      </c>
      <c r="F252" s="3242">
        <v>0.14899999999999999</v>
      </c>
      <c r="G252" s="3243">
        <v>0.14599999999999999</v>
      </c>
    </row>
    <row r="253" spans="1:7">
      <c r="A253" s="3252" t="s">
        <v>305</v>
      </c>
      <c r="B253" s="3241" t="s">
        <v>283</v>
      </c>
      <c r="C253" s="3242">
        <v>0.14199999999999999</v>
      </c>
      <c r="D253" s="3242">
        <v>0.14199999999999999</v>
      </c>
      <c r="E253" s="3242">
        <v>0.14599999999999999</v>
      </c>
      <c r="F253" s="3242">
        <v>0.14799999999999999</v>
      </c>
      <c r="G253" s="3243">
        <v>0.14499999999999999</v>
      </c>
    </row>
    <row r="254" spans="1:7">
      <c r="A254" s="3252" t="s">
        <v>305</v>
      </c>
      <c r="B254" s="3241" t="s">
        <v>286</v>
      </c>
      <c r="C254" s="3242">
        <v>0.15</v>
      </c>
      <c r="D254" s="3242">
        <v>0.15</v>
      </c>
      <c r="E254" s="3242">
        <v>0.15</v>
      </c>
      <c r="F254" s="3242">
        <v>0.15</v>
      </c>
      <c r="G254" s="3243">
        <v>0.15</v>
      </c>
    </row>
    <row r="255" spans="1:7">
      <c r="A255" s="3252" t="s">
        <v>305</v>
      </c>
      <c r="B255" s="3241" t="s">
        <v>289</v>
      </c>
      <c r="C255" s="3242">
        <v>0.14299999999999999</v>
      </c>
      <c r="D255" s="3242">
        <v>0.14299999999999999</v>
      </c>
      <c r="E255" s="3242">
        <v>0.15</v>
      </c>
      <c r="F255" s="3242">
        <v>0.15</v>
      </c>
      <c r="G255" s="3243">
        <v>0.14499999999999999</v>
      </c>
    </row>
    <row r="256" spans="1:7">
      <c r="A256" s="3252" t="s">
        <v>305</v>
      </c>
      <c r="B256" s="3241" t="s">
        <v>2918</v>
      </c>
      <c r="C256" s="3242">
        <v>0.15</v>
      </c>
      <c r="D256" s="3242">
        <v>0.15</v>
      </c>
      <c r="E256" s="3242">
        <v>0.15</v>
      </c>
      <c r="F256" s="3242">
        <v>0.14599999999999999</v>
      </c>
      <c r="G256" s="3243">
        <v>0.15</v>
      </c>
    </row>
    <row r="257" spans="1:7">
      <c r="A257" s="3252" t="s">
        <v>305</v>
      </c>
      <c r="B257" s="3241" t="s">
        <v>275</v>
      </c>
      <c r="C257" s="3242">
        <v>0.14199999999999999</v>
      </c>
      <c r="D257" s="3242">
        <v>0.14299999999999999</v>
      </c>
      <c r="E257" s="3242">
        <v>0.14799999999999999</v>
      </c>
      <c r="F257" s="3242">
        <v>0.15</v>
      </c>
      <c r="G257" s="3243">
        <v>0.14499999999999999</v>
      </c>
    </row>
    <row r="258" spans="1:7">
      <c r="A258" s="3252" t="s">
        <v>305</v>
      </c>
      <c r="B258" s="3241" t="s">
        <v>2927</v>
      </c>
      <c r="C258" s="3242">
        <v>0.14299999999999999</v>
      </c>
      <c r="D258" s="3242">
        <v>0.14299999999999999</v>
      </c>
      <c r="E258" s="3242">
        <v>0.15</v>
      </c>
      <c r="F258" s="3242">
        <v>0.14799999999999999</v>
      </c>
      <c r="G258" s="3243">
        <v>0.14599999999999999</v>
      </c>
    </row>
    <row r="259" spans="1:7">
      <c r="A259" s="3252" t="s">
        <v>305</v>
      </c>
      <c r="B259" s="3241" t="s">
        <v>2931</v>
      </c>
      <c r="C259" s="3242">
        <v>0.14399999999999999</v>
      </c>
      <c r="D259" s="3242">
        <v>0.14399999999999999</v>
      </c>
      <c r="E259" s="3242">
        <v>0.14899999999999999</v>
      </c>
      <c r="F259" s="3242">
        <v>0.14699999999999999</v>
      </c>
      <c r="G259" s="3243">
        <v>0.14599999999999999</v>
      </c>
    </row>
    <row r="260" spans="1:7">
      <c r="A260" s="3252" t="s">
        <v>305</v>
      </c>
      <c r="B260" s="3241" t="s">
        <v>2938</v>
      </c>
      <c r="C260" s="3242">
        <v>0.109</v>
      </c>
      <c r="D260" s="3242">
        <v>0.111</v>
      </c>
      <c r="E260" s="3242">
        <v>0.13100000000000001</v>
      </c>
      <c r="F260" s="3242">
        <v>0.126</v>
      </c>
      <c r="G260" s="3243">
        <v>0.11899999999999999</v>
      </c>
    </row>
    <row r="261" spans="1:7">
      <c r="A261" s="3252" t="s">
        <v>305</v>
      </c>
      <c r="B261" s="3241" t="s">
        <v>2945</v>
      </c>
      <c r="C261" s="3242">
        <v>0.1</v>
      </c>
      <c r="D261" s="3242">
        <v>0.1</v>
      </c>
      <c r="E261" s="3242">
        <v>0.11799999999999999</v>
      </c>
      <c r="F261" s="3242">
        <v>0.108</v>
      </c>
      <c r="G261" s="3243">
        <v>0.107</v>
      </c>
    </row>
    <row r="262" spans="1:7">
      <c r="A262" s="3252" t="s">
        <v>305</v>
      </c>
      <c r="B262" s="3241" t="s">
        <v>2951</v>
      </c>
      <c r="C262" s="3242">
        <v>0.1</v>
      </c>
      <c r="D262" s="3242">
        <v>0.1</v>
      </c>
      <c r="E262" s="3242">
        <v>0.1</v>
      </c>
      <c r="F262" s="3242">
        <v>0.14099999999999999</v>
      </c>
      <c r="G262" s="3243">
        <v>0.1</v>
      </c>
    </row>
    <row r="263" spans="1:7">
      <c r="A263" s="3252" t="s">
        <v>305</v>
      </c>
      <c r="B263" s="3241" t="s">
        <v>2958</v>
      </c>
      <c r="C263" s="3242">
        <v>0.14799999999999999</v>
      </c>
      <c r="D263" s="3242">
        <v>0.14799999999999999</v>
      </c>
      <c r="E263" s="3242">
        <v>0.15</v>
      </c>
      <c r="F263" s="3242">
        <v>0.14699999999999999</v>
      </c>
      <c r="G263" s="3243">
        <v>0.15</v>
      </c>
    </row>
    <row r="264" spans="1:7">
      <c r="A264" s="3252" t="s">
        <v>305</v>
      </c>
      <c r="B264" s="3241" t="s">
        <v>299</v>
      </c>
      <c r="C264" s="3242">
        <v>0.14299999999999999</v>
      </c>
      <c r="D264" s="3242">
        <v>0.14299999999999999</v>
      </c>
      <c r="E264" s="3242">
        <v>0.15</v>
      </c>
      <c r="F264" s="3242">
        <v>0.14899999999999999</v>
      </c>
      <c r="G264" s="3243">
        <v>0.14599999999999999</v>
      </c>
    </row>
    <row r="265" spans="1:7">
      <c r="A265" s="3252" t="s">
        <v>305</v>
      </c>
      <c r="B265" s="3241" t="s">
        <v>2969</v>
      </c>
      <c r="C265" s="3253"/>
      <c r="D265" s="3253"/>
      <c r="E265" s="3253"/>
      <c r="F265" s="3242">
        <v>0.05</v>
      </c>
      <c r="G265" s="3259"/>
    </row>
    <row r="266" spans="1:7">
      <c r="A266" s="3252" t="s">
        <v>305</v>
      </c>
      <c r="B266" s="3241" t="s">
        <v>2973</v>
      </c>
      <c r="C266" s="3253"/>
      <c r="D266" s="3253"/>
      <c r="E266" s="3253"/>
      <c r="F266" s="3242">
        <v>0.05</v>
      </c>
      <c r="G266" s="3259"/>
    </row>
    <row r="267" spans="1:7">
      <c r="A267" s="3252" t="s">
        <v>305</v>
      </c>
      <c r="B267" s="3241" t="s">
        <v>2978</v>
      </c>
      <c r="C267" s="3253"/>
      <c r="D267" s="3253"/>
      <c r="E267" s="3253"/>
      <c r="F267" s="3242">
        <v>0.05</v>
      </c>
      <c r="G267" s="3259"/>
    </row>
    <row r="268" spans="1:7">
      <c r="A268" s="3252" t="s">
        <v>305</v>
      </c>
      <c r="B268" s="3241" t="s">
        <v>2983</v>
      </c>
      <c r="C268" s="3253"/>
      <c r="D268" s="3253"/>
      <c r="E268" s="3253"/>
      <c r="F268" s="3242">
        <v>0.05</v>
      </c>
      <c r="G268" s="3259"/>
    </row>
    <row r="269" spans="1:7">
      <c r="A269" s="3252" t="s">
        <v>305</v>
      </c>
      <c r="B269" s="3241" t="s">
        <v>2988</v>
      </c>
      <c r="C269" s="3253"/>
      <c r="D269" s="3253"/>
      <c r="E269" s="3253"/>
      <c r="F269" s="3242">
        <v>0.05</v>
      </c>
      <c r="G269" s="3259"/>
    </row>
    <row r="270" spans="1:7">
      <c r="A270" s="3252" t="s">
        <v>305</v>
      </c>
      <c r="B270" s="3241" t="s">
        <v>2993</v>
      </c>
      <c r="C270" s="3253"/>
      <c r="D270" s="3253"/>
      <c r="E270" s="3253"/>
      <c r="F270" s="3242">
        <v>0.05</v>
      </c>
      <c r="G270" s="3259"/>
    </row>
    <row r="271" spans="1:7">
      <c r="A271" s="3252" t="s">
        <v>305</v>
      </c>
      <c r="B271" s="3241" t="s">
        <v>3197</v>
      </c>
      <c r="C271" s="3253"/>
      <c r="D271" s="3253"/>
      <c r="E271" s="3253"/>
      <c r="F271" s="3242">
        <v>0.05</v>
      </c>
      <c r="G271" s="3259"/>
    </row>
    <row r="272" spans="1:7">
      <c r="A272" s="3252" t="s">
        <v>305</v>
      </c>
      <c r="B272" s="3241" t="s">
        <v>3198</v>
      </c>
      <c r="C272" s="3253"/>
      <c r="D272" s="3253"/>
      <c r="E272" s="3253"/>
      <c r="F272" s="3242">
        <v>0.05</v>
      </c>
      <c r="G272" s="3259"/>
    </row>
    <row r="273" spans="1:7">
      <c r="A273" s="3252" t="s">
        <v>305</v>
      </c>
      <c r="B273" s="3241" t="s">
        <v>3199</v>
      </c>
      <c r="C273" s="3253"/>
      <c r="D273" s="3253"/>
      <c r="E273" s="3253"/>
      <c r="F273" s="3242">
        <v>0.05</v>
      </c>
      <c r="G273" s="3259"/>
    </row>
    <row r="274" spans="1:7">
      <c r="A274" s="3252" t="s">
        <v>305</v>
      </c>
      <c r="B274" s="3241" t="s">
        <v>3200</v>
      </c>
      <c r="C274" s="3253"/>
      <c r="D274" s="3253"/>
      <c r="E274" s="3253"/>
      <c r="F274" s="3242">
        <v>0.05</v>
      </c>
      <c r="G274" s="3259"/>
    </row>
    <row r="275" spans="1:7">
      <c r="A275" s="3252" t="s">
        <v>305</v>
      </c>
      <c r="B275" s="3241" t="s">
        <v>3201</v>
      </c>
      <c r="C275" s="3253"/>
      <c r="D275" s="3253"/>
      <c r="E275" s="3253"/>
      <c r="F275" s="3242">
        <v>0.05</v>
      </c>
      <c r="G275" s="3259"/>
    </row>
    <row r="276" spans="1:7" ht="14.25" thickBot="1">
      <c r="A276" s="3255" t="s">
        <v>305</v>
      </c>
      <c r="B276" s="3245" t="s">
        <v>3202</v>
      </c>
      <c r="C276" s="3247"/>
      <c r="D276" s="3247"/>
      <c r="E276" s="3247"/>
      <c r="F276" s="3246">
        <v>0.05</v>
      </c>
      <c r="G276" s="3260"/>
    </row>
    <row r="277" spans="1:7">
      <c r="A277" s="3251" t="s">
        <v>306</v>
      </c>
      <c r="B277" s="3237" t="s">
        <v>2846</v>
      </c>
      <c r="C277" s="3238">
        <v>0.15</v>
      </c>
      <c r="D277" s="3238">
        <v>0.15</v>
      </c>
      <c r="E277" s="3238">
        <v>0.15</v>
      </c>
      <c r="F277" s="3238">
        <v>0.15</v>
      </c>
      <c r="G277" s="3239">
        <v>0.15</v>
      </c>
    </row>
    <row r="278" spans="1:7">
      <c r="A278" s="3252" t="s">
        <v>306</v>
      </c>
      <c r="B278" s="3241" t="s">
        <v>135</v>
      </c>
      <c r="C278" s="3242">
        <v>0.15</v>
      </c>
      <c r="D278" s="3242">
        <v>0.15</v>
      </c>
      <c r="E278" s="3242">
        <v>0.15</v>
      </c>
      <c r="F278" s="3242">
        <v>0.15</v>
      </c>
      <c r="G278" s="3243">
        <v>0.15</v>
      </c>
    </row>
    <row r="279" spans="1:7">
      <c r="A279" s="3252" t="s">
        <v>306</v>
      </c>
      <c r="B279" s="3241" t="s">
        <v>2858</v>
      </c>
      <c r="C279" s="3242">
        <v>0.15</v>
      </c>
      <c r="D279" s="3242">
        <v>0.15</v>
      </c>
      <c r="E279" s="3242">
        <v>0.15</v>
      </c>
      <c r="F279" s="3242">
        <v>0.15</v>
      </c>
      <c r="G279" s="3243">
        <v>0.15</v>
      </c>
    </row>
    <row r="280" spans="1:7">
      <c r="A280" s="3252" t="s">
        <v>306</v>
      </c>
      <c r="B280" s="3241" t="s">
        <v>2862</v>
      </c>
      <c r="C280" s="3242">
        <v>0.15</v>
      </c>
      <c r="D280" s="3242">
        <v>0.15</v>
      </c>
      <c r="E280" s="3242">
        <v>0.15</v>
      </c>
      <c r="F280" s="3242">
        <v>0.15</v>
      </c>
      <c r="G280" s="3243">
        <v>0.15</v>
      </c>
    </row>
    <row r="281" spans="1:7">
      <c r="A281" s="3252" t="s">
        <v>306</v>
      </c>
      <c r="B281" s="3241" t="s">
        <v>2866</v>
      </c>
      <c r="C281" s="3242">
        <v>0.15</v>
      </c>
      <c r="D281" s="3242">
        <v>0.15</v>
      </c>
      <c r="E281" s="3242">
        <v>0.15</v>
      </c>
      <c r="F281" s="3242">
        <v>0.15</v>
      </c>
      <c r="G281" s="3243">
        <v>0.15</v>
      </c>
    </row>
    <row r="282" spans="1:7">
      <c r="A282" s="3252" t="s">
        <v>306</v>
      </c>
      <c r="B282" s="3241" t="s">
        <v>2870</v>
      </c>
      <c r="C282" s="3242">
        <v>0.15</v>
      </c>
      <c r="D282" s="3242">
        <v>0.15</v>
      </c>
      <c r="E282" s="3242">
        <v>0.15</v>
      </c>
      <c r="F282" s="3242">
        <v>0.14499999999999999</v>
      </c>
      <c r="G282" s="3243">
        <v>0.15</v>
      </c>
    </row>
    <row r="283" spans="1:7">
      <c r="A283" s="3252" t="s">
        <v>306</v>
      </c>
      <c r="B283" s="3241" t="s">
        <v>174</v>
      </c>
      <c r="C283" s="3242">
        <v>0.15</v>
      </c>
      <c r="D283" s="3242">
        <v>0.15</v>
      </c>
      <c r="E283" s="3242">
        <v>0.15</v>
      </c>
      <c r="F283" s="3242">
        <v>0.14199999999999999</v>
      </c>
      <c r="G283" s="3243">
        <v>0.15</v>
      </c>
    </row>
    <row r="284" spans="1:7">
      <c r="A284" s="3252" t="s">
        <v>306</v>
      </c>
      <c r="B284" s="3241" t="s">
        <v>182</v>
      </c>
      <c r="C284" s="3242">
        <v>0.15</v>
      </c>
      <c r="D284" s="3242">
        <v>0.15</v>
      </c>
      <c r="E284" s="3242">
        <v>0.15</v>
      </c>
      <c r="F284" s="3242">
        <v>0.15</v>
      </c>
      <c r="G284" s="3243">
        <v>0.15</v>
      </c>
    </row>
    <row r="285" spans="1:7">
      <c r="A285" s="3252" t="s">
        <v>306</v>
      </c>
      <c r="B285" s="3241" t="s">
        <v>192</v>
      </c>
      <c r="C285" s="3242">
        <v>0.15</v>
      </c>
      <c r="D285" s="3242">
        <v>0.15</v>
      </c>
      <c r="E285" s="3242">
        <v>0.15</v>
      </c>
      <c r="F285" s="3242">
        <v>0.15</v>
      </c>
      <c r="G285" s="3243">
        <v>0.15</v>
      </c>
    </row>
    <row r="286" spans="1:7">
      <c r="A286" s="3252" t="s">
        <v>306</v>
      </c>
      <c r="B286" s="3241" t="s">
        <v>199</v>
      </c>
      <c r="C286" s="3242">
        <v>0.14499999999999999</v>
      </c>
      <c r="D286" s="3242">
        <v>0.14499999999999999</v>
      </c>
      <c r="E286" s="3242">
        <v>0.15</v>
      </c>
      <c r="F286" s="3242">
        <v>0.14099999999999999</v>
      </c>
      <c r="G286" s="3243">
        <v>0.14499999999999999</v>
      </c>
    </row>
    <row r="287" spans="1:7">
      <c r="A287" s="3252" t="s">
        <v>306</v>
      </c>
      <c r="B287" s="3241" t="s">
        <v>2885</v>
      </c>
      <c r="C287" s="3242">
        <v>0.11</v>
      </c>
      <c r="D287" s="3242">
        <v>0.111</v>
      </c>
      <c r="E287" s="3242">
        <v>0.14099999999999999</v>
      </c>
      <c r="F287" s="3242">
        <v>0.11</v>
      </c>
      <c r="G287" s="3243">
        <v>0.12</v>
      </c>
    </row>
    <row r="288" spans="1:7">
      <c r="A288" s="3252" t="s">
        <v>306</v>
      </c>
      <c r="B288" s="3241" t="s">
        <v>219</v>
      </c>
      <c r="C288" s="3242">
        <v>0.14199999999999999</v>
      </c>
      <c r="D288" s="3242">
        <v>0.14299999999999999</v>
      </c>
      <c r="E288" s="3242">
        <v>0.15</v>
      </c>
      <c r="F288" s="3242">
        <v>0.14199999999999999</v>
      </c>
      <c r="G288" s="3243">
        <v>0.14399999999999999</v>
      </c>
    </row>
    <row r="289" spans="1:7">
      <c r="A289" s="3252" t="s">
        <v>306</v>
      </c>
      <c r="B289" s="3241" t="s">
        <v>2890</v>
      </c>
      <c r="C289" s="3242">
        <v>0.14299999999999999</v>
      </c>
      <c r="D289" s="3242">
        <v>0.14299999999999999</v>
      </c>
      <c r="E289" s="3242">
        <v>0.14799999999999999</v>
      </c>
      <c r="F289" s="3242">
        <v>0.14399999999999999</v>
      </c>
      <c r="G289" s="3243">
        <v>0.14399999999999999</v>
      </c>
    </row>
    <row r="290" spans="1:7">
      <c r="A290" s="3252" t="s">
        <v>306</v>
      </c>
      <c r="B290" s="3241" t="s">
        <v>242</v>
      </c>
      <c r="C290" s="3242">
        <v>0.14799999999999999</v>
      </c>
      <c r="D290" s="3242">
        <v>0.14899999999999999</v>
      </c>
      <c r="E290" s="3242">
        <v>0.15</v>
      </c>
      <c r="F290" s="3242">
        <v>0.127</v>
      </c>
      <c r="G290" s="3243">
        <v>0.15</v>
      </c>
    </row>
    <row r="291" spans="1:7">
      <c r="A291" s="3252" t="s">
        <v>306</v>
      </c>
      <c r="B291" s="3241" t="s">
        <v>250</v>
      </c>
      <c r="C291" s="3242">
        <v>0.15</v>
      </c>
      <c r="D291" s="3242">
        <v>0.15</v>
      </c>
      <c r="E291" s="3242">
        <v>0.15</v>
      </c>
      <c r="F291" s="3242">
        <v>0.14899999999999999</v>
      </c>
      <c r="G291" s="3243">
        <v>0.15</v>
      </c>
    </row>
    <row r="292" spans="1:7">
      <c r="A292" s="3252" t="s">
        <v>306</v>
      </c>
      <c r="B292" s="3241" t="s">
        <v>256</v>
      </c>
      <c r="C292" s="3242">
        <v>0.15</v>
      </c>
      <c r="D292" s="3242">
        <v>0.15</v>
      </c>
      <c r="E292" s="3242">
        <v>0.15</v>
      </c>
      <c r="F292" s="3242">
        <v>0.14399999999999999</v>
      </c>
      <c r="G292" s="3243">
        <v>0.15</v>
      </c>
    </row>
    <row r="293" spans="1:7">
      <c r="A293" s="3252" t="s">
        <v>306</v>
      </c>
      <c r="B293" s="3241" t="s">
        <v>2900</v>
      </c>
      <c r="C293" s="3242">
        <v>0.15</v>
      </c>
      <c r="D293" s="3242">
        <v>0.15</v>
      </c>
      <c r="E293" s="3242">
        <v>0.15</v>
      </c>
      <c r="F293" s="3242">
        <v>0.14499999999999999</v>
      </c>
      <c r="G293" s="3243">
        <v>0.15</v>
      </c>
    </row>
    <row r="294" spans="1:7">
      <c r="A294" s="3252" t="s">
        <v>306</v>
      </c>
      <c r="B294" s="3241" t="s">
        <v>2902</v>
      </c>
      <c r="C294" s="3242">
        <v>0.15</v>
      </c>
      <c r="D294" s="3242">
        <v>0.15</v>
      </c>
      <c r="E294" s="3242">
        <v>0.15</v>
      </c>
      <c r="F294" s="3242">
        <v>0.14899999999999999</v>
      </c>
      <c r="G294" s="3243">
        <v>0.15</v>
      </c>
    </row>
    <row r="295" spans="1:7">
      <c r="A295" s="3252" t="s">
        <v>306</v>
      </c>
      <c r="B295" s="3241" t="s">
        <v>290</v>
      </c>
      <c r="C295" s="3242">
        <v>0.15</v>
      </c>
      <c r="D295" s="3242">
        <v>0.15</v>
      </c>
      <c r="E295" s="3242">
        <v>0.15</v>
      </c>
      <c r="F295" s="3242">
        <v>0.14799999999999999</v>
      </c>
      <c r="G295" s="3243">
        <v>0.15</v>
      </c>
    </row>
    <row r="296" spans="1:7">
      <c r="A296" s="3252" t="s">
        <v>306</v>
      </c>
      <c r="B296" s="3241" t="s">
        <v>293</v>
      </c>
      <c r="C296" s="3242">
        <v>0.15</v>
      </c>
      <c r="D296" s="3242">
        <v>0.15</v>
      </c>
      <c r="E296" s="3242">
        <v>0.15</v>
      </c>
      <c r="F296" s="3242">
        <v>0.14399999999999999</v>
      </c>
      <c r="G296" s="3243">
        <v>0.15</v>
      </c>
    </row>
    <row r="297" spans="1:7">
      <c r="A297" s="3252" t="s">
        <v>306</v>
      </c>
      <c r="B297" s="3241" t="s">
        <v>295</v>
      </c>
      <c r="C297" s="3242">
        <v>0.15</v>
      </c>
      <c r="D297" s="3242">
        <v>0.15</v>
      </c>
      <c r="E297" s="3242">
        <v>0.15</v>
      </c>
      <c r="F297" s="3242">
        <v>0.14499999999999999</v>
      </c>
      <c r="G297" s="3243">
        <v>0.15</v>
      </c>
    </row>
    <row r="298" spans="1:7">
      <c r="A298" s="3252" t="s">
        <v>306</v>
      </c>
      <c r="B298" s="3241" t="s">
        <v>298</v>
      </c>
      <c r="C298" s="3242">
        <v>0.15</v>
      </c>
      <c r="D298" s="3242">
        <v>0.15</v>
      </c>
      <c r="E298" s="3242">
        <v>0.15</v>
      </c>
      <c r="F298" s="3242">
        <v>0.15</v>
      </c>
      <c r="G298" s="3243">
        <v>0.15</v>
      </c>
    </row>
    <row r="299" spans="1:7">
      <c r="A299" s="3252" t="s">
        <v>306</v>
      </c>
      <c r="B299" s="3261" t="s">
        <v>2919</v>
      </c>
      <c r="C299" s="3242">
        <v>0.15</v>
      </c>
      <c r="D299" s="3242">
        <v>0.15</v>
      </c>
      <c r="E299" s="3242">
        <v>0.15</v>
      </c>
      <c r="F299" s="3242">
        <v>0.14499999999999999</v>
      </c>
      <c r="G299" s="3243">
        <v>0.15</v>
      </c>
    </row>
    <row r="300" spans="1:7">
      <c r="A300" s="3252" t="s">
        <v>306</v>
      </c>
      <c r="B300" s="3261" t="s">
        <v>271</v>
      </c>
      <c r="C300" s="3242">
        <v>0.15</v>
      </c>
      <c r="D300" s="3242">
        <v>0.15</v>
      </c>
      <c r="E300" s="3242">
        <v>0.15</v>
      </c>
      <c r="F300" s="3242">
        <v>0.14599999999999999</v>
      </c>
      <c r="G300" s="3243">
        <v>0.15</v>
      </c>
    </row>
    <row r="301" spans="1:7">
      <c r="A301" s="3252" t="s">
        <v>306</v>
      </c>
      <c r="B301" s="3261" t="s">
        <v>276</v>
      </c>
      <c r="C301" s="3242">
        <v>0.126</v>
      </c>
      <c r="D301" s="3242">
        <v>0.124</v>
      </c>
      <c r="E301" s="3242">
        <v>0.14099999999999999</v>
      </c>
      <c r="F301" s="3242">
        <v>0.14399999999999999</v>
      </c>
      <c r="G301" s="3243">
        <v>0.13</v>
      </c>
    </row>
    <row r="302" spans="1:7">
      <c r="A302" s="3252" t="s">
        <v>306</v>
      </c>
      <c r="B302" s="3241" t="s">
        <v>2932</v>
      </c>
      <c r="C302" s="3242">
        <v>0.15</v>
      </c>
      <c r="D302" s="3242">
        <v>0.15</v>
      </c>
      <c r="E302" s="3242">
        <v>0.15</v>
      </c>
      <c r="F302" s="3242">
        <v>0.14699999999999999</v>
      </c>
      <c r="G302" s="3243">
        <v>0.15</v>
      </c>
    </row>
    <row r="303" spans="1:7">
      <c r="A303" s="3252" t="s">
        <v>306</v>
      </c>
      <c r="B303" s="3241" t="s">
        <v>2939</v>
      </c>
      <c r="C303" s="3242">
        <v>0.15</v>
      </c>
      <c r="D303" s="3242">
        <v>0.15</v>
      </c>
      <c r="E303" s="3242">
        <v>0.15</v>
      </c>
      <c r="F303" s="3242">
        <v>0.14199999999999999</v>
      </c>
      <c r="G303" s="3243">
        <v>0.15</v>
      </c>
    </row>
    <row r="304" spans="1:7">
      <c r="A304" s="3252" t="s">
        <v>306</v>
      </c>
      <c r="B304" s="3241" t="s">
        <v>2946</v>
      </c>
      <c r="C304" s="3242">
        <v>0.15</v>
      </c>
      <c r="D304" s="3242">
        <v>0.15</v>
      </c>
      <c r="E304" s="3242">
        <v>0.15</v>
      </c>
      <c r="F304" s="3242">
        <v>0.14499999999999999</v>
      </c>
      <c r="G304" s="3243">
        <v>0.15</v>
      </c>
    </row>
    <row r="305" spans="1:7">
      <c r="A305" s="3252" t="s">
        <v>306</v>
      </c>
      <c r="B305" s="3241" t="s">
        <v>2952</v>
      </c>
      <c r="C305" s="3242">
        <v>0.15</v>
      </c>
      <c r="D305" s="3242">
        <v>0.15</v>
      </c>
      <c r="E305" s="3242">
        <v>0.15</v>
      </c>
      <c r="F305" s="3242">
        <v>0.111</v>
      </c>
      <c r="G305" s="3243">
        <v>0.15</v>
      </c>
    </row>
    <row r="306" spans="1:7">
      <c r="A306" s="3252" t="s">
        <v>306</v>
      </c>
      <c r="B306" s="3241" t="s">
        <v>2959</v>
      </c>
      <c r="C306" s="3242">
        <v>0.15</v>
      </c>
      <c r="D306" s="3242">
        <v>0.15</v>
      </c>
      <c r="E306" s="3242">
        <v>0.15</v>
      </c>
      <c r="F306" s="3242">
        <v>0.126</v>
      </c>
      <c r="G306" s="3243">
        <v>0.15</v>
      </c>
    </row>
    <row r="307" spans="1:7">
      <c r="A307" s="3252" t="s">
        <v>306</v>
      </c>
      <c r="B307" s="3241" t="s">
        <v>2964</v>
      </c>
      <c r="C307" s="3242">
        <v>0.15</v>
      </c>
      <c r="D307" s="3242">
        <v>0.15</v>
      </c>
      <c r="E307" s="3242">
        <v>0.15</v>
      </c>
      <c r="F307" s="3242">
        <v>0.12</v>
      </c>
      <c r="G307" s="3243">
        <v>0.15</v>
      </c>
    </row>
    <row r="308" spans="1:7">
      <c r="A308" s="3252" t="s">
        <v>306</v>
      </c>
      <c r="B308" s="3241" t="s">
        <v>2970</v>
      </c>
      <c r="C308" s="3242">
        <v>0.15</v>
      </c>
      <c r="D308" s="3242">
        <v>0.15</v>
      </c>
      <c r="E308" s="3242">
        <v>0.15</v>
      </c>
      <c r="F308" s="3242">
        <v>0.13</v>
      </c>
      <c r="G308" s="3243">
        <v>0.15</v>
      </c>
    </row>
    <row r="309" spans="1:7">
      <c r="A309" s="3252" t="s">
        <v>306</v>
      </c>
      <c r="B309" s="3241" t="s">
        <v>2974</v>
      </c>
      <c r="C309" s="3242">
        <v>0.15</v>
      </c>
      <c r="D309" s="3242">
        <v>0.15</v>
      </c>
      <c r="E309" s="3242">
        <v>0.15</v>
      </c>
      <c r="F309" s="3242">
        <v>0.14099999999999999</v>
      </c>
      <c r="G309" s="3243">
        <v>0.15</v>
      </c>
    </row>
    <row r="310" spans="1:7">
      <c r="A310" s="3252" t="s">
        <v>306</v>
      </c>
      <c r="B310" s="3241" t="s">
        <v>2979</v>
      </c>
      <c r="C310" s="3242">
        <v>0.15</v>
      </c>
      <c r="D310" s="3242">
        <v>0.15</v>
      </c>
      <c r="E310" s="3242">
        <v>0.15</v>
      </c>
      <c r="F310" s="3242">
        <v>0.15</v>
      </c>
      <c r="G310" s="3243">
        <v>0.15</v>
      </c>
    </row>
    <row r="311" spans="1:7">
      <c r="A311" s="3252" t="s">
        <v>306</v>
      </c>
      <c r="B311" s="3241" t="s">
        <v>2984</v>
      </c>
      <c r="C311" s="3242">
        <v>0.13200000000000001</v>
      </c>
      <c r="D311" s="3242">
        <v>0.13300000000000001</v>
      </c>
      <c r="E311" s="3242">
        <v>0.14499999999999999</v>
      </c>
      <c r="F311" s="3242">
        <v>0.14199999999999999</v>
      </c>
      <c r="G311" s="3243">
        <v>0.14000000000000001</v>
      </c>
    </row>
    <row r="312" spans="1:7">
      <c r="A312" s="3252" t="s">
        <v>306</v>
      </c>
      <c r="B312" s="3241" t="s">
        <v>2989</v>
      </c>
      <c r="C312" s="3242">
        <v>0.13800000000000001</v>
      </c>
      <c r="D312" s="3242">
        <v>0.14000000000000001</v>
      </c>
      <c r="E312" s="3242">
        <v>0.14599999999999999</v>
      </c>
      <c r="F312" s="3242">
        <v>0.14899999999999999</v>
      </c>
      <c r="G312" s="3243">
        <v>0.14199999999999999</v>
      </c>
    </row>
    <row r="313" spans="1:7">
      <c r="A313" s="3252" t="s">
        <v>306</v>
      </c>
      <c r="B313" s="3241" t="s">
        <v>2994</v>
      </c>
      <c r="C313" s="3242">
        <v>0.125</v>
      </c>
      <c r="D313" s="3242">
        <v>0.127</v>
      </c>
      <c r="E313" s="3242">
        <v>0.14399999999999999</v>
      </c>
      <c r="F313" s="3242">
        <v>0.115</v>
      </c>
      <c r="G313" s="3243">
        <v>0.13600000000000001</v>
      </c>
    </row>
    <row r="314" spans="1:7">
      <c r="A314" s="3252" t="s">
        <v>306</v>
      </c>
      <c r="B314" s="3241" t="s">
        <v>3203</v>
      </c>
      <c r="C314" s="3258"/>
      <c r="D314" s="3258"/>
      <c r="E314" s="3258"/>
      <c r="F314" s="3242">
        <v>0.05</v>
      </c>
      <c r="G314" s="3259"/>
    </row>
    <row r="315" spans="1:7">
      <c r="A315" s="3252" t="s">
        <v>306</v>
      </c>
      <c r="B315" s="3241" t="s">
        <v>3204</v>
      </c>
      <c r="C315" s="3258"/>
      <c r="D315" s="3258"/>
      <c r="E315" s="3258"/>
      <c r="F315" s="3242">
        <v>0.05</v>
      </c>
      <c r="G315" s="3259"/>
    </row>
    <row r="316" spans="1:7">
      <c r="A316" s="3252" t="s">
        <v>306</v>
      </c>
      <c r="B316" s="3241" t="s">
        <v>3205</v>
      </c>
      <c r="C316" s="3253"/>
      <c r="D316" s="3253"/>
      <c r="E316" s="3253"/>
      <c r="F316" s="3242">
        <v>0.05</v>
      </c>
      <c r="G316" s="3259"/>
    </row>
    <row r="317" spans="1:7">
      <c r="A317" s="3252" t="s">
        <v>306</v>
      </c>
      <c r="B317" s="3241" t="s">
        <v>3206</v>
      </c>
      <c r="C317" s="3253"/>
      <c r="D317" s="3253"/>
      <c r="E317" s="3253"/>
      <c r="F317" s="3242">
        <v>0.05</v>
      </c>
      <c r="G317" s="3259"/>
    </row>
    <row r="318" spans="1:7">
      <c r="A318" s="3252" t="s">
        <v>306</v>
      </c>
      <c r="B318" s="3241" t="s">
        <v>3207</v>
      </c>
      <c r="C318" s="3253"/>
      <c r="D318" s="3253"/>
      <c r="E318" s="3253"/>
      <c r="F318" s="3242">
        <v>0.05</v>
      </c>
      <c r="G318" s="3259"/>
    </row>
    <row r="319" spans="1:7">
      <c r="A319" s="3252" t="s">
        <v>306</v>
      </c>
      <c r="B319" s="3241" t="s">
        <v>3208</v>
      </c>
      <c r="C319" s="3253"/>
      <c r="D319" s="3253"/>
      <c r="E319" s="3253"/>
      <c r="F319" s="3242">
        <v>0.05</v>
      </c>
      <c r="G319" s="3259"/>
    </row>
    <row r="320" spans="1:7">
      <c r="A320" s="3252" t="s">
        <v>306</v>
      </c>
      <c r="B320" s="3241" t="s">
        <v>3209</v>
      </c>
      <c r="C320" s="3253"/>
      <c r="D320" s="3253"/>
      <c r="E320" s="3253"/>
      <c r="F320" s="3242">
        <v>0.05</v>
      </c>
      <c r="G320" s="3259"/>
    </row>
    <row r="321" spans="1:7">
      <c r="A321" s="3252" t="s">
        <v>306</v>
      </c>
      <c r="B321" s="3241" t="s">
        <v>3210</v>
      </c>
      <c r="C321" s="3253"/>
      <c r="D321" s="3253"/>
      <c r="E321" s="3253"/>
      <c r="F321" s="3242">
        <v>0.05</v>
      </c>
      <c r="G321" s="3259"/>
    </row>
    <row r="322" spans="1:7">
      <c r="A322" s="3252" t="s">
        <v>306</v>
      </c>
      <c r="B322" s="3241" t="s">
        <v>3211</v>
      </c>
      <c r="C322" s="3253"/>
      <c r="D322" s="3253"/>
      <c r="E322" s="3253"/>
      <c r="F322" s="3242">
        <v>0.05</v>
      </c>
      <c r="G322" s="3259"/>
    </row>
    <row r="323" spans="1:7">
      <c r="A323" s="3252" t="s">
        <v>306</v>
      </c>
      <c r="B323" s="3241" t="s">
        <v>3212</v>
      </c>
      <c r="C323" s="3253"/>
      <c r="D323" s="3253"/>
      <c r="E323" s="3253"/>
      <c r="F323" s="3242">
        <v>0.05</v>
      </c>
      <c r="G323" s="3259"/>
    </row>
    <row r="324" spans="1:7">
      <c r="A324" s="3252" t="s">
        <v>306</v>
      </c>
      <c r="B324" s="3241" t="s">
        <v>3213</v>
      </c>
      <c r="C324" s="3253"/>
      <c r="D324" s="3253"/>
      <c r="E324" s="3253"/>
      <c r="F324" s="3242">
        <v>0.05</v>
      </c>
      <c r="G324" s="3259"/>
    </row>
    <row r="325" spans="1:7">
      <c r="A325" s="3252" t="s">
        <v>306</v>
      </c>
      <c r="B325" s="3241" t="s">
        <v>3214</v>
      </c>
      <c r="C325" s="3253"/>
      <c r="D325" s="3253"/>
      <c r="E325" s="3253"/>
      <c r="F325" s="3242">
        <v>0.05</v>
      </c>
      <c r="G325" s="3259"/>
    </row>
    <row r="326" spans="1:7" ht="14.25" thickBot="1">
      <c r="A326" s="3255" t="s">
        <v>306</v>
      </c>
      <c r="B326" s="3245" t="s">
        <v>3215</v>
      </c>
      <c r="C326" s="3247"/>
      <c r="D326" s="3247"/>
      <c r="E326" s="3247"/>
      <c r="F326" s="3246">
        <v>0.05</v>
      </c>
      <c r="G326" s="3260"/>
    </row>
    <row r="327" spans="1:7">
      <c r="A327" s="3251" t="s">
        <v>307</v>
      </c>
      <c r="B327" s="3237" t="s">
        <v>2847</v>
      </c>
      <c r="C327" s="3238">
        <v>0.15</v>
      </c>
      <c r="D327" s="3238">
        <v>0.15</v>
      </c>
      <c r="E327" s="3238">
        <v>0.15</v>
      </c>
      <c r="F327" s="3238">
        <v>0.15</v>
      </c>
      <c r="G327" s="3239">
        <v>0.15</v>
      </c>
    </row>
    <row r="328" spans="1:7">
      <c r="A328" s="3252" t="s">
        <v>307</v>
      </c>
      <c r="B328" s="3241" t="s">
        <v>136</v>
      </c>
      <c r="C328" s="3242">
        <v>0.15</v>
      </c>
      <c r="D328" s="3242">
        <v>0.15</v>
      </c>
      <c r="E328" s="3242">
        <v>0.15</v>
      </c>
      <c r="F328" s="3242">
        <v>0.126</v>
      </c>
      <c r="G328" s="3243">
        <v>0.15</v>
      </c>
    </row>
    <row r="329" spans="1:7">
      <c r="A329" s="3252" t="s">
        <v>307</v>
      </c>
      <c r="B329" s="3241" t="s">
        <v>2859</v>
      </c>
      <c r="C329" s="3242">
        <v>0.15</v>
      </c>
      <c r="D329" s="3242">
        <v>0.15</v>
      </c>
      <c r="E329" s="3242">
        <v>0.15</v>
      </c>
      <c r="F329" s="3242">
        <v>0.15</v>
      </c>
      <c r="G329" s="3243">
        <v>0.15</v>
      </c>
    </row>
    <row r="330" spans="1:7">
      <c r="A330" s="3252" t="s">
        <v>307</v>
      </c>
      <c r="B330" s="3241" t="s">
        <v>2863</v>
      </c>
      <c r="C330" s="3242">
        <v>0.15</v>
      </c>
      <c r="D330" s="3242">
        <v>0.15</v>
      </c>
      <c r="E330" s="3242">
        <v>0.15</v>
      </c>
      <c r="F330" s="3242">
        <v>0.15</v>
      </c>
      <c r="G330" s="3243">
        <v>0.15</v>
      </c>
    </row>
    <row r="331" spans="1:7">
      <c r="A331" s="3252" t="s">
        <v>307</v>
      </c>
      <c r="B331" s="3241" t="s">
        <v>161</v>
      </c>
      <c r="C331" s="3242">
        <v>0.15</v>
      </c>
      <c r="D331" s="3242">
        <v>0.15</v>
      </c>
      <c r="E331" s="3242">
        <v>0.15</v>
      </c>
      <c r="F331" s="3242">
        <v>0.15</v>
      </c>
      <c r="G331" s="3243">
        <v>0.15</v>
      </c>
    </row>
    <row r="332" spans="1:7">
      <c r="A332" s="3252" t="s">
        <v>307</v>
      </c>
      <c r="B332" s="3241" t="s">
        <v>2871</v>
      </c>
      <c r="C332" s="3242">
        <v>0.15</v>
      </c>
      <c r="D332" s="3242">
        <v>0.15</v>
      </c>
      <c r="E332" s="3242">
        <v>0.15</v>
      </c>
      <c r="F332" s="3242">
        <v>0.15</v>
      </c>
      <c r="G332" s="3243">
        <v>0.15</v>
      </c>
    </row>
    <row r="333" spans="1:7">
      <c r="A333" s="3252" t="s">
        <v>307</v>
      </c>
      <c r="B333" s="3241" t="s">
        <v>2875</v>
      </c>
      <c r="C333" s="3242">
        <v>0.14899999999999999</v>
      </c>
      <c r="D333" s="3242">
        <v>0.14899999999999999</v>
      </c>
      <c r="E333" s="3242">
        <v>0.15</v>
      </c>
      <c r="F333" s="3242">
        <v>0.11600000000000001</v>
      </c>
      <c r="G333" s="3243">
        <v>0.15</v>
      </c>
    </row>
    <row r="334" spans="1:7">
      <c r="A334" s="3252" t="s">
        <v>307</v>
      </c>
      <c r="B334" s="3241" t="s">
        <v>183</v>
      </c>
      <c r="C334" s="3242">
        <v>0.15</v>
      </c>
      <c r="D334" s="3242">
        <v>0.15</v>
      </c>
      <c r="E334" s="3242">
        <v>0.15</v>
      </c>
      <c r="F334" s="3242">
        <v>0.13</v>
      </c>
      <c r="G334" s="3243">
        <v>0.15</v>
      </c>
    </row>
    <row r="335" spans="1:7">
      <c r="A335" s="3252" t="s">
        <v>307</v>
      </c>
      <c r="B335" s="3241" t="s">
        <v>193</v>
      </c>
      <c r="C335" s="3242">
        <v>0.15</v>
      </c>
      <c r="D335" s="3242">
        <v>0.15</v>
      </c>
      <c r="E335" s="3242">
        <v>0.15</v>
      </c>
      <c r="F335" s="3242">
        <v>0.14399999999999999</v>
      </c>
      <c r="G335" s="3243">
        <v>0.15</v>
      </c>
    </row>
    <row r="336" spans="1:7">
      <c r="A336" s="3252" t="s">
        <v>307</v>
      </c>
      <c r="B336" s="3241" t="s">
        <v>2881</v>
      </c>
      <c r="C336" s="3242">
        <v>0.15</v>
      </c>
      <c r="D336" s="3242">
        <v>0.15</v>
      </c>
      <c r="E336" s="3242">
        <v>0.15</v>
      </c>
      <c r="F336" s="3242">
        <v>0.14199999999999999</v>
      </c>
      <c r="G336" s="3243">
        <v>0.15</v>
      </c>
    </row>
    <row r="337" spans="1:7">
      <c r="A337" s="3252" t="s">
        <v>307</v>
      </c>
      <c r="B337" s="3241" t="s">
        <v>2886</v>
      </c>
      <c r="C337" s="3242">
        <v>0.15</v>
      </c>
      <c r="D337" s="3242">
        <v>0.15</v>
      </c>
      <c r="E337" s="3242">
        <v>0.15</v>
      </c>
      <c r="F337" s="3242">
        <v>0.14499999999999999</v>
      </c>
      <c r="G337" s="3243">
        <v>0.15</v>
      </c>
    </row>
    <row r="338" spans="1:7">
      <c r="A338" s="3252" t="s">
        <v>307</v>
      </c>
      <c r="B338" s="3241" t="s">
        <v>220</v>
      </c>
      <c r="C338" s="3242">
        <v>0.15</v>
      </c>
      <c r="D338" s="3242">
        <v>0.15</v>
      </c>
      <c r="E338" s="3242">
        <v>0.15</v>
      </c>
      <c r="F338" s="3242">
        <v>0.15</v>
      </c>
      <c r="G338" s="3243">
        <v>0.15</v>
      </c>
    </row>
    <row r="339" spans="1:7">
      <c r="A339" s="3252" t="s">
        <v>307</v>
      </c>
      <c r="B339" s="3241" t="s">
        <v>228</v>
      </c>
      <c r="C339" s="3242">
        <v>0.15</v>
      </c>
      <c r="D339" s="3242">
        <v>0.15</v>
      </c>
      <c r="E339" s="3242">
        <v>0.15</v>
      </c>
      <c r="F339" s="3242">
        <v>0.14699999999999999</v>
      </c>
      <c r="G339" s="3243">
        <v>0.15</v>
      </c>
    </row>
    <row r="340" spans="1:7">
      <c r="A340" s="3252" t="s">
        <v>307</v>
      </c>
      <c r="B340" s="3241" t="s">
        <v>2893</v>
      </c>
      <c r="C340" s="3242">
        <v>0.14599999999999999</v>
      </c>
      <c r="D340" s="3242">
        <v>0.14599999999999999</v>
      </c>
      <c r="E340" s="3242">
        <v>0.15</v>
      </c>
      <c r="F340" s="3242">
        <v>0.14099999999999999</v>
      </c>
      <c r="G340" s="3243">
        <v>0.14699999999999999</v>
      </c>
    </row>
    <row r="341" spans="1:7">
      <c r="A341" s="3252" t="s">
        <v>307</v>
      </c>
      <c r="B341" s="3241" t="s">
        <v>207</v>
      </c>
      <c r="C341" s="3242">
        <v>0.126</v>
      </c>
      <c r="D341" s="3242">
        <v>0.124</v>
      </c>
      <c r="E341" s="3242">
        <v>0.14099999999999999</v>
      </c>
      <c r="F341" s="3242">
        <v>0.14399999999999999</v>
      </c>
      <c r="G341" s="3243">
        <v>0.13</v>
      </c>
    </row>
    <row r="342" spans="1:7">
      <c r="A342" s="3252" t="s">
        <v>307</v>
      </c>
      <c r="B342" s="3241" t="s">
        <v>2898</v>
      </c>
      <c r="C342" s="3242">
        <v>0.15</v>
      </c>
      <c r="D342" s="3242">
        <v>0.15</v>
      </c>
      <c r="E342" s="3242">
        <v>0.15</v>
      </c>
      <c r="F342" s="3242">
        <v>0.14399999999999999</v>
      </c>
      <c r="G342" s="3243">
        <v>0.15</v>
      </c>
    </row>
    <row r="343" spans="1:7">
      <c r="A343" s="3252" t="s">
        <v>307</v>
      </c>
      <c r="B343" s="3241" t="s">
        <v>257</v>
      </c>
      <c r="C343" s="3242">
        <v>0.15</v>
      </c>
      <c r="D343" s="3242">
        <v>0.15</v>
      </c>
      <c r="E343" s="3242">
        <v>0.15</v>
      </c>
      <c r="F343" s="3242">
        <v>0.128</v>
      </c>
      <c r="G343" s="3243">
        <v>0.15</v>
      </c>
    </row>
    <row r="344" spans="1:7">
      <c r="A344" s="3252" t="s">
        <v>307</v>
      </c>
      <c r="B344" s="3241" t="s">
        <v>265</v>
      </c>
      <c r="C344" s="3242">
        <v>0.15</v>
      </c>
      <c r="D344" s="3242">
        <v>0.15</v>
      </c>
      <c r="E344" s="3242">
        <v>0.15</v>
      </c>
      <c r="F344" s="3242">
        <v>0.14799999999999999</v>
      </c>
      <c r="G344" s="3243">
        <v>0.15</v>
      </c>
    </row>
    <row r="345" spans="1:7">
      <c r="A345" s="3252" t="s">
        <v>307</v>
      </c>
      <c r="B345" s="3241" t="s">
        <v>2906</v>
      </c>
      <c r="C345" s="3242">
        <v>0.15</v>
      </c>
      <c r="D345" s="3242">
        <v>0.15</v>
      </c>
      <c r="E345" s="3242">
        <v>0.15</v>
      </c>
      <c r="F345" s="3242">
        <v>0.13800000000000001</v>
      </c>
      <c r="G345" s="3243">
        <v>0.15</v>
      </c>
    </row>
    <row r="346" spans="1:7">
      <c r="A346" s="3252" t="s">
        <v>307</v>
      </c>
      <c r="B346" s="3241" t="s">
        <v>2908</v>
      </c>
      <c r="C346" s="3242">
        <v>0.15</v>
      </c>
      <c r="D346" s="3242">
        <v>0.15</v>
      </c>
      <c r="E346" s="3242">
        <v>0.15</v>
      </c>
      <c r="F346" s="3242">
        <v>0.14399999999999999</v>
      </c>
      <c r="G346" s="3243">
        <v>0.15</v>
      </c>
    </row>
    <row r="347" spans="1:7">
      <c r="A347" s="3252" t="s">
        <v>307</v>
      </c>
      <c r="B347" s="3241" t="s">
        <v>243</v>
      </c>
      <c r="C347" s="3242">
        <v>0.15</v>
      </c>
      <c r="D347" s="3242">
        <v>0.15</v>
      </c>
      <c r="E347" s="3242">
        <v>0.15</v>
      </c>
      <c r="F347" s="3242">
        <v>0.14599999999999999</v>
      </c>
      <c r="G347" s="3243">
        <v>0.15</v>
      </c>
    </row>
    <row r="348" spans="1:7">
      <c r="A348" s="3252" t="s">
        <v>307</v>
      </c>
      <c r="B348" s="3241" t="s">
        <v>2915</v>
      </c>
      <c r="C348" s="3242">
        <v>0.15</v>
      </c>
      <c r="D348" s="3242">
        <v>0.15</v>
      </c>
      <c r="E348" s="3242">
        <v>0.15</v>
      </c>
      <c r="F348" s="3242">
        <v>0.14399999999999999</v>
      </c>
      <c r="G348" s="3243">
        <v>0.15</v>
      </c>
    </row>
    <row r="349" spans="1:7">
      <c r="A349" s="3252" t="s">
        <v>307</v>
      </c>
      <c r="B349" s="3241" t="s">
        <v>2920</v>
      </c>
      <c r="C349" s="3242">
        <v>0.15</v>
      </c>
      <c r="D349" s="3242">
        <v>0.15</v>
      </c>
      <c r="E349" s="3242">
        <v>0.15</v>
      </c>
      <c r="F349" s="3242">
        <v>0.15</v>
      </c>
      <c r="G349" s="3243">
        <v>0.15</v>
      </c>
    </row>
    <row r="350" spans="1:7">
      <c r="A350" s="3252" t="s">
        <v>307</v>
      </c>
      <c r="B350" s="3241" t="s">
        <v>2923</v>
      </c>
      <c r="C350" s="3242">
        <v>0.15</v>
      </c>
      <c r="D350" s="3242">
        <v>0.15</v>
      </c>
      <c r="E350" s="3242">
        <v>0.15</v>
      </c>
      <c r="F350" s="3242">
        <v>0.14699999999999999</v>
      </c>
      <c r="G350" s="3243">
        <v>0.15</v>
      </c>
    </row>
    <row r="351" spans="1:7">
      <c r="A351" s="3252" t="s">
        <v>307</v>
      </c>
      <c r="B351" s="3241" t="s">
        <v>2928</v>
      </c>
      <c r="C351" s="3242">
        <v>0.15</v>
      </c>
      <c r="D351" s="3242">
        <v>0.15</v>
      </c>
      <c r="E351" s="3242">
        <v>0.15</v>
      </c>
      <c r="F351" s="3242">
        <v>0.13</v>
      </c>
      <c r="G351" s="3243">
        <v>0.15</v>
      </c>
    </row>
    <row r="352" spans="1:7">
      <c r="A352" s="3252" t="s">
        <v>307</v>
      </c>
      <c r="B352" s="3241" t="s">
        <v>2933</v>
      </c>
      <c r="C352" s="3242">
        <v>0.15</v>
      </c>
      <c r="D352" s="3242">
        <v>0.15</v>
      </c>
      <c r="E352" s="3242">
        <v>0.15</v>
      </c>
      <c r="F352" s="3242">
        <v>0.14599999999999999</v>
      </c>
      <c r="G352" s="3243">
        <v>0.15</v>
      </c>
    </row>
    <row r="353" spans="1:7">
      <c r="A353" s="3252" t="s">
        <v>307</v>
      </c>
      <c r="B353" s="3241" t="s">
        <v>2940</v>
      </c>
      <c r="C353" s="3242">
        <v>0.15</v>
      </c>
      <c r="D353" s="3242">
        <v>0.15</v>
      </c>
      <c r="E353" s="3242">
        <v>0.15</v>
      </c>
      <c r="F353" s="3242">
        <v>0.14499999999999999</v>
      </c>
      <c r="G353" s="3243">
        <v>0.15</v>
      </c>
    </row>
    <row r="354" spans="1:7">
      <c r="A354" s="3252" t="s">
        <v>307</v>
      </c>
      <c r="B354" s="3241" t="s">
        <v>280</v>
      </c>
      <c r="C354" s="3242">
        <v>0.15</v>
      </c>
      <c r="D354" s="3242">
        <v>0.15</v>
      </c>
      <c r="E354" s="3242">
        <v>0.15</v>
      </c>
      <c r="F354" s="3242">
        <v>0.14099999999999999</v>
      </c>
      <c r="G354" s="3243">
        <v>0.15</v>
      </c>
    </row>
    <row r="355" spans="1:7">
      <c r="A355" s="3252" t="s">
        <v>307</v>
      </c>
      <c r="B355" s="3241" t="s">
        <v>2953</v>
      </c>
      <c r="C355" s="3242">
        <v>0.15</v>
      </c>
      <c r="D355" s="3242">
        <v>0.15</v>
      </c>
      <c r="E355" s="3242">
        <v>0.15</v>
      </c>
      <c r="F355" s="3242">
        <v>0.15</v>
      </c>
      <c r="G355" s="3243">
        <v>0.15</v>
      </c>
    </row>
    <row r="356" spans="1:7">
      <c r="A356" s="3252" t="s">
        <v>307</v>
      </c>
      <c r="B356" s="3241" t="s">
        <v>2960</v>
      </c>
      <c r="C356" s="3242">
        <v>0.15</v>
      </c>
      <c r="D356" s="3242">
        <v>0.15</v>
      </c>
      <c r="E356" s="3242">
        <v>0.15</v>
      </c>
      <c r="F356" s="3242">
        <v>0.15</v>
      </c>
      <c r="G356" s="3243">
        <v>0.15</v>
      </c>
    </row>
    <row r="357" spans="1:7" ht="14.25" thickBot="1">
      <c r="A357" s="3255" t="s">
        <v>307</v>
      </c>
      <c r="B357" s="3245" t="s">
        <v>2965</v>
      </c>
      <c r="C357" s="3246">
        <v>0.126</v>
      </c>
      <c r="D357" s="3246">
        <v>0.127</v>
      </c>
      <c r="E357" s="3246">
        <v>0.14299999999999999</v>
      </c>
      <c r="F357" s="3246">
        <v>0.125</v>
      </c>
      <c r="G357" s="3248">
        <v>0.129</v>
      </c>
    </row>
    <row r="358" spans="1:7">
      <c r="A358" s="3251" t="s">
        <v>2834</v>
      </c>
      <c r="B358" s="3237" t="s">
        <v>2848</v>
      </c>
      <c r="C358" s="3238">
        <v>0.15</v>
      </c>
      <c r="D358" s="3238">
        <v>0.15</v>
      </c>
      <c r="E358" s="3238">
        <v>0.15</v>
      </c>
      <c r="F358" s="3238">
        <v>0.15</v>
      </c>
      <c r="G358" s="3239">
        <v>0.15</v>
      </c>
    </row>
    <row r="359" spans="1:7">
      <c r="A359" s="3252" t="s">
        <v>2834</v>
      </c>
      <c r="B359" s="3241" t="s">
        <v>2854</v>
      </c>
      <c r="C359" s="3242">
        <v>0.1</v>
      </c>
      <c r="D359" s="3242">
        <v>0.1</v>
      </c>
      <c r="E359" s="3242">
        <v>0.1</v>
      </c>
      <c r="F359" s="3242">
        <v>0.1</v>
      </c>
      <c r="G359" s="3243">
        <v>0.1</v>
      </c>
    </row>
    <row r="360" spans="1:7">
      <c r="A360" s="3252" t="s">
        <v>2834</v>
      </c>
      <c r="B360" s="3241" t="s">
        <v>2860</v>
      </c>
      <c r="C360" s="3242">
        <v>0.15</v>
      </c>
      <c r="D360" s="3242">
        <v>0.15</v>
      </c>
      <c r="E360" s="3242">
        <v>0.15</v>
      </c>
      <c r="F360" s="3242">
        <v>0.14899999999999999</v>
      </c>
      <c r="G360" s="3243">
        <v>0.15</v>
      </c>
    </row>
    <row r="361" spans="1:7">
      <c r="A361" s="3252" t="s">
        <v>2834</v>
      </c>
      <c r="B361" s="3241" t="s">
        <v>153</v>
      </c>
      <c r="C361" s="3242">
        <v>0.15</v>
      </c>
      <c r="D361" s="3242">
        <v>0.15</v>
      </c>
      <c r="E361" s="3242">
        <v>0.15</v>
      </c>
      <c r="F361" s="3242">
        <v>0.115</v>
      </c>
      <c r="G361" s="3243">
        <v>0.15</v>
      </c>
    </row>
    <row r="362" spans="1:7">
      <c r="A362" s="3252" t="s">
        <v>2834</v>
      </c>
      <c r="B362" s="3241" t="s">
        <v>2867</v>
      </c>
      <c r="C362" s="3242">
        <v>0.15</v>
      </c>
      <c r="D362" s="3242">
        <v>0.15</v>
      </c>
      <c r="E362" s="3242">
        <v>0.15</v>
      </c>
      <c r="F362" s="3242">
        <v>0.106</v>
      </c>
      <c r="G362" s="3243">
        <v>0.15</v>
      </c>
    </row>
    <row r="363" spans="1:7">
      <c r="A363" s="3252" t="s">
        <v>2834</v>
      </c>
      <c r="B363" s="3241" t="s">
        <v>2872</v>
      </c>
      <c r="C363" s="3242">
        <v>0.15</v>
      </c>
      <c r="D363" s="3242">
        <v>0.15</v>
      </c>
      <c r="E363" s="3242">
        <v>0.15</v>
      </c>
      <c r="F363" s="3242">
        <v>0.14699999999999999</v>
      </c>
      <c r="G363" s="3243">
        <v>0.15</v>
      </c>
    </row>
    <row r="364" spans="1:7">
      <c r="A364" s="3252" t="s">
        <v>2834</v>
      </c>
      <c r="B364" s="3241" t="s">
        <v>2876</v>
      </c>
      <c r="C364" s="3242">
        <v>0.15</v>
      </c>
      <c r="D364" s="3242">
        <v>0.15</v>
      </c>
      <c r="E364" s="3242">
        <v>0.15</v>
      </c>
      <c r="F364" s="3242">
        <v>0.14799999999999999</v>
      </c>
      <c r="G364" s="3243">
        <v>0.15</v>
      </c>
    </row>
    <row r="365" spans="1:7">
      <c r="A365" s="3252" t="s">
        <v>2834</v>
      </c>
      <c r="B365" s="3241" t="s">
        <v>200</v>
      </c>
      <c r="C365" s="3242">
        <v>0.15</v>
      </c>
      <c r="D365" s="3242">
        <v>0.15</v>
      </c>
      <c r="E365" s="3242">
        <v>0.15</v>
      </c>
      <c r="F365" s="3242">
        <v>0.15</v>
      </c>
      <c r="G365" s="3243">
        <v>0.15</v>
      </c>
    </row>
    <row r="366" spans="1:7">
      <c r="A366" s="3252" t="s">
        <v>2834</v>
      </c>
      <c r="B366" s="3241" t="s">
        <v>2879</v>
      </c>
      <c r="C366" s="3242">
        <v>0.15</v>
      </c>
      <c r="D366" s="3242">
        <v>0.15</v>
      </c>
      <c r="E366" s="3242">
        <v>0.15</v>
      </c>
      <c r="F366" s="3242">
        <v>0.15</v>
      </c>
      <c r="G366" s="3243">
        <v>0.15</v>
      </c>
    </row>
    <row r="367" spans="1:7">
      <c r="A367" s="3252" t="s">
        <v>2834</v>
      </c>
      <c r="B367" s="3241" t="s">
        <v>2882</v>
      </c>
      <c r="C367" s="3242">
        <v>0.15</v>
      </c>
      <c r="D367" s="3242">
        <v>0.15</v>
      </c>
      <c r="E367" s="3242">
        <v>0.15</v>
      </c>
      <c r="F367" s="3242">
        <v>0.14699999999999999</v>
      </c>
      <c r="G367" s="3243">
        <v>0.15</v>
      </c>
    </row>
    <row r="368" spans="1:7">
      <c r="A368" s="3252" t="s">
        <v>2834</v>
      </c>
      <c r="B368" s="3241" t="s">
        <v>2887</v>
      </c>
      <c r="C368" s="3242">
        <v>0.15</v>
      </c>
      <c r="D368" s="3242">
        <v>0.15</v>
      </c>
      <c r="E368" s="3242">
        <v>0.15</v>
      </c>
      <c r="F368" s="3242">
        <v>0.13600000000000001</v>
      </c>
      <c r="G368" s="3243">
        <v>0.15</v>
      </c>
    </row>
    <row r="369" spans="1:7">
      <c r="A369" s="3252" t="s">
        <v>2834</v>
      </c>
      <c r="B369" s="3241" t="s">
        <v>214</v>
      </c>
      <c r="C369" s="3242">
        <v>0.15</v>
      </c>
      <c r="D369" s="3242">
        <v>0.15</v>
      </c>
      <c r="E369" s="3242">
        <v>0.15</v>
      </c>
      <c r="F369" s="3242">
        <v>0.14399999999999999</v>
      </c>
      <c r="G369" s="3243">
        <v>0.15</v>
      </c>
    </row>
    <row r="370" spans="1:7">
      <c r="A370" s="3252" t="s">
        <v>2834</v>
      </c>
      <c r="B370" s="3241" t="s">
        <v>221</v>
      </c>
      <c r="C370" s="3242">
        <v>0.15</v>
      </c>
      <c r="D370" s="3242">
        <v>0.15</v>
      </c>
      <c r="E370" s="3242">
        <v>0.15</v>
      </c>
      <c r="F370" s="3242">
        <v>0.14599999999999999</v>
      </c>
      <c r="G370" s="3243">
        <v>0.15</v>
      </c>
    </row>
    <row r="371" spans="1:7">
      <c r="A371" s="3252" t="s">
        <v>2834</v>
      </c>
      <c r="B371" s="3241" t="s">
        <v>229</v>
      </c>
      <c r="C371" s="3242">
        <v>0.15</v>
      </c>
      <c r="D371" s="3242">
        <v>0.15</v>
      </c>
      <c r="E371" s="3242">
        <v>0.15</v>
      </c>
      <c r="F371" s="3242">
        <v>0.12</v>
      </c>
      <c r="G371" s="3243">
        <v>0.15</v>
      </c>
    </row>
    <row r="372" spans="1:7">
      <c r="A372" s="3252" t="s">
        <v>2834</v>
      </c>
      <c r="B372" s="3241" t="s">
        <v>2895</v>
      </c>
      <c r="C372" s="3242">
        <v>0.15</v>
      </c>
      <c r="D372" s="3242">
        <v>0.15</v>
      </c>
      <c r="E372" s="3242">
        <v>0.15</v>
      </c>
      <c r="F372" s="3242">
        <v>0.14299999999999999</v>
      </c>
      <c r="G372" s="3243">
        <v>0.15</v>
      </c>
    </row>
    <row r="373" spans="1:7">
      <c r="A373" s="3252" t="s">
        <v>2834</v>
      </c>
      <c r="B373" s="3241" t="s">
        <v>258</v>
      </c>
      <c r="C373" s="3242">
        <v>0.15</v>
      </c>
      <c r="D373" s="3242">
        <v>0.15</v>
      </c>
      <c r="E373" s="3242">
        <v>0.15</v>
      </c>
      <c r="F373" s="3242">
        <v>0.14599999999999999</v>
      </c>
      <c r="G373" s="3243">
        <v>0.15</v>
      </c>
    </row>
    <row r="374" spans="1:7">
      <c r="A374" s="3252" t="s">
        <v>2834</v>
      </c>
      <c r="B374" s="3241" t="s">
        <v>266</v>
      </c>
      <c r="C374" s="3242">
        <v>0.15</v>
      </c>
      <c r="D374" s="3242">
        <v>0.15</v>
      </c>
      <c r="E374" s="3242">
        <v>0.15</v>
      </c>
      <c r="F374" s="3242">
        <v>0.14399999999999999</v>
      </c>
      <c r="G374" s="3243">
        <v>0.15</v>
      </c>
    </row>
    <row r="375" spans="1:7">
      <c r="A375" s="3252" t="s">
        <v>2834</v>
      </c>
      <c r="B375" s="3241" t="s">
        <v>2903</v>
      </c>
      <c r="C375" s="3242">
        <v>0.15</v>
      </c>
      <c r="D375" s="3242">
        <v>0.15</v>
      </c>
      <c r="E375" s="3242">
        <v>0.15</v>
      </c>
      <c r="F375" s="3242">
        <v>0.13</v>
      </c>
      <c r="G375" s="3243">
        <v>0.15</v>
      </c>
    </row>
    <row r="376" spans="1:7">
      <c r="A376" s="3252" t="s">
        <v>2834</v>
      </c>
      <c r="B376" s="3241" t="s">
        <v>277</v>
      </c>
      <c r="C376" s="3242">
        <v>0.15</v>
      </c>
      <c r="D376" s="3242">
        <v>0.15</v>
      </c>
      <c r="E376" s="3242">
        <v>0.15</v>
      </c>
      <c r="F376" s="3242">
        <v>0.14199999999999999</v>
      </c>
      <c r="G376" s="3243">
        <v>0.15</v>
      </c>
    </row>
    <row r="377" spans="1:7" ht="14.25" thickBot="1">
      <c r="A377" s="3255" t="s">
        <v>2834</v>
      </c>
      <c r="B377" s="3245" t="s">
        <v>2909</v>
      </c>
      <c r="C377" s="3246">
        <v>0.15</v>
      </c>
      <c r="D377" s="3246">
        <v>0.15</v>
      </c>
      <c r="E377" s="3246">
        <v>0.15</v>
      </c>
      <c r="F377" s="3246">
        <v>0.14000000000000001</v>
      </c>
      <c r="G377" s="3248">
        <v>0.15</v>
      </c>
    </row>
    <row r="378" spans="1:7">
      <c r="A378" s="3251" t="s">
        <v>2835</v>
      </c>
      <c r="B378" s="3237" t="s">
        <v>2849</v>
      </c>
      <c r="C378" s="3238">
        <v>0.15</v>
      </c>
      <c r="D378" s="3238">
        <v>0.15</v>
      </c>
      <c r="E378" s="3238">
        <v>0.15</v>
      </c>
      <c r="F378" s="3238">
        <v>0.107</v>
      </c>
      <c r="G378" s="3239">
        <v>0.15</v>
      </c>
    </row>
    <row r="379" spans="1:7">
      <c r="A379" s="3252" t="s">
        <v>2835</v>
      </c>
      <c r="B379" s="3241" t="s">
        <v>2855</v>
      </c>
      <c r="C379" s="3242">
        <v>0.15</v>
      </c>
      <c r="D379" s="3242">
        <v>0.15</v>
      </c>
      <c r="E379" s="3242">
        <v>0.15</v>
      </c>
      <c r="F379" s="3242">
        <v>0.115</v>
      </c>
      <c r="G379" s="3243">
        <v>0.14899999999999999</v>
      </c>
    </row>
    <row r="380" spans="1:7">
      <c r="A380" s="3252" t="s">
        <v>2835</v>
      </c>
      <c r="B380" s="3241" t="s">
        <v>2861</v>
      </c>
      <c r="C380" s="3242">
        <v>0.15</v>
      </c>
      <c r="D380" s="3242">
        <v>0.15</v>
      </c>
      <c r="E380" s="3242">
        <v>0.15</v>
      </c>
      <c r="F380" s="3242">
        <v>0.1</v>
      </c>
      <c r="G380" s="3243">
        <v>0.14799999999999999</v>
      </c>
    </row>
    <row r="381" spans="1:7">
      <c r="A381" s="3252" t="s">
        <v>2835</v>
      </c>
      <c r="B381" s="3241" t="s">
        <v>2864</v>
      </c>
      <c r="C381" s="3242">
        <v>0.15</v>
      </c>
      <c r="D381" s="3242">
        <v>0.15</v>
      </c>
      <c r="E381" s="3242">
        <v>0.15</v>
      </c>
      <c r="F381" s="3242">
        <v>0.126</v>
      </c>
      <c r="G381" s="3243">
        <v>0.15</v>
      </c>
    </row>
    <row r="382" spans="1:7">
      <c r="A382" s="3252" t="s">
        <v>2835</v>
      </c>
      <c r="B382" s="3241" t="s">
        <v>2868</v>
      </c>
      <c r="C382" s="3242">
        <v>0.15</v>
      </c>
      <c r="D382" s="3242">
        <v>0.15</v>
      </c>
      <c r="E382" s="3242">
        <v>0.15</v>
      </c>
      <c r="F382" s="3242">
        <v>0.15</v>
      </c>
      <c r="G382" s="3243">
        <v>0.15</v>
      </c>
    </row>
    <row r="383" spans="1:7">
      <c r="A383" s="3252" t="s">
        <v>2835</v>
      </c>
      <c r="B383" s="3241" t="s">
        <v>2873</v>
      </c>
      <c r="C383" s="3242">
        <v>0.15</v>
      </c>
      <c r="D383" s="3242">
        <v>0.15</v>
      </c>
      <c r="E383" s="3242">
        <v>0.15</v>
      </c>
      <c r="F383" s="3242">
        <v>0.14699999999999999</v>
      </c>
      <c r="G383" s="3243">
        <v>0.15</v>
      </c>
    </row>
    <row r="384" spans="1:7" ht="14.25" thickBot="1">
      <c r="A384" s="3262" t="s">
        <v>2835</v>
      </c>
      <c r="B384" s="3263" t="s">
        <v>2877</v>
      </c>
      <c r="C384" s="3264">
        <v>0.15</v>
      </c>
      <c r="D384" s="3264">
        <v>0.15</v>
      </c>
      <c r="E384" s="3264">
        <v>0.15</v>
      </c>
      <c r="F384" s="3264">
        <v>0.15</v>
      </c>
      <c r="G384" s="3265">
        <v>0.15</v>
      </c>
    </row>
  </sheetData>
  <sheetProtection password="CEE9" sheet="1" objects="1" scenarios="1"/>
  <mergeCells count="1">
    <mergeCell ref="A1:B1"/>
  </mergeCells>
  <phoneticPr fontId="9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67"/>
  </cols>
  <sheetData>
    <row r="1" spans="1:6">
      <c r="A1" s="4001" t="s">
        <v>3216</v>
      </c>
      <c r="B1" s="4001"/>
      <c r="C1" s="4001"/>
      <c r="D1" s="4001"/>
      <c r="E1" s="4001"/>
      <c r="F1" s="4002"/>
    </row>
    <row r="2" spans="1:6">
      <c r="A2" s="3268" t="s">
        <v>3217</v>
      </c>
      <c r="B2" s="3269"/>
      <c r="C2" s="3269"/>
      <c r="D2" s="3269"/>
      <c r="E2" s="3269"/>
      <c r="F2" s="3269"/>
    </row>
    <row r="3" spans="1:6">
      <c r="A3" s="3268" t="s">
        <v>3218</v>
      </c>
      <c r="B3" s="3269"/>
      <c r="C3" s="3269"/>
      <c r="D3" s="3269"/>
      <c r="E3" s="3269"/>
      <c r="F3" s="3270" t="s">
        <v>3219</v>
      </c>
    </row>
    <row r="4" spans="1:6">
      <c r="A4" s="3271" t="s">
        <v>672</v>
      </c>
      <c r="B4" s="3271" t="s">
        <v>673</v>
      </c>
      <c r="C4" s="3271" t="s">
        <v>21</v>
      </c>
      <c r="D4" s="3271" t="s">
        <v>674</v>
      </c>
      <c r="E4" s="3271" t="s">
        <v>3</v>
      </c>
      <c r="F4" s="3271" t="s">
        <v>3220</v>
      </c>
    </row>
    <row r="5" spans="1:6">
      <c r="A5" s="3272" t="s">
        <v>675</v>
      </c>
      <c r="B5" s="3271"/>
      <c r="C5" s="3271"/>
      <c r="D5" s="3271"/>
      <c r="E5" s="3271"/>
      <c r="F5" s="3273"/>
    </row>
    <row r="6" spans="1:6">
      <c r="A6" s="3272" t="s">
        <v>144</v>
      </c>
      <c r="B6" s="3274">
        <v>35380</v>
      </c>
      <c r="C6" s="3274">
        <v>35180</v>
      </c>
      <c r="D6" s="3274">
        <v>35030</v>
      </c>
      <c r="E6" s="3274">
        <v>13780</v>
      </c>
      <c r="F6" s="3274">
        <v>25980</v>
      </c>
    </row>
    <row r="7" spans="1:6">
      <c r="A7" s="3272" t="s">
        <v>184</v>
      </c>
      <c r="B7" s="3274">
        <v>29960</v>
      </c>
      <c r="C7" s="3274">
        <v>29800</v>
      </c>
      <c r="D7" s="3274">
        <v>29690</v>
      </c>
      <c r="E7" s="3274">
        <v>10100</v>
      </c>
      <c r="F7" s="3274">
        <v>21690</v>
      </c>
    </row>
    <row r="8" spans="1:6">
      <c r="A8" s="3272" t="s">
        <v>296</v>
      </c>
      <c r="B8" s="3274">
        <v>24480</v>
      </c>
      <c r="C8" s="3274">
        <v>24380</v>
      </c>
      <c r="D8" s="3274">
        <v>25590</v>
      </c>
      <c r="E8" s="3274">
        <v>7010</v>
      </c>
      <c r="F8" s="3274">
        <v>17060</v>
      </c>
    </row>
    <row r="9" spans="1:6">
      <c r="A9" s="3272" t="s">
        <v>110</v>
      </c>
      <c r="B9" s="3274">
        <v>19370</v>
      </c>
      <c r="C9" s="3274">
        <v>19290</v>
      </c>
      <c r="D9" s="3274">
        <v>21280</v>
      </c>
      <c r="E9" s="3274">
        <v>4910</v>
      </c>
      <c r="F9" s="3274">
        <v>13090</v>
      </c>
    </row>
    <row r="10" spans="1:6">
      <c r="A10" s="3272" t="s">
        <v>303</v>
      </c>
      <c r="B10" s="3274">
        <v>15050</v>
      </c>
      <c r="C10" s="3274">
        <v>14980</v>
      </c>
      <c r="D10" s="3274">
        <v>17300</v>
      </c>
      <c r="E10" s="3274">
        <v>3450</v>
      </c>
      <c r="F10" s="3274">
        <v>9900</v>
      </c>
    </row>
    <row r="11" spans="1:6">
      <c r="A11" s="3272" t="s">
        <v>29</v>
      </c>
      <c r="B11" s="3274">
        <v>11550</v>
      </c>
      <c r="C11" s="3274">
        <v>11490</v>
      </c>
      <c r="D11" s="3274">
        <v>13850</v>
      </c>
      <c r="E11" s="3274">
        <v>2400</v>
      </c>
      <c r="F11" s="3274">
        <v>7390</v>
      </c>
    </row>
    <row r="12" spans="1:6">
      <c r="A12" s="3272" t="s">
        <v>304</v>
      </c>
      <c r="B12" s="3274">
        <v>8630</v>
      </c>
      <c r="C12" s="3274">
        <v>8580</v>
      </c>
      <c r="D12" s="3274">
        <v>10740</v>
      </c>
      <c r="E12" s="3274">
        <v>1720</v>
      </c>
      <c r="F12" s="3274">
        <v>5420</v>
      </c>
    </row>
    <row r="13" spans="1:6">
      <c r="A13" s="3272" t="s">
        <v>305</v>
      </c>
      <c r="B13" s="3274">
        <v>6620</v>
      </c>
      <c r="C13" s="3274">
        <v>6580</v>
      </c>
      <c r="D13" s="3274">
        <v>7830</v>
      </c>
      <c r="E13" s="3274">
        <v>1260</v>
      </c>
      <c r="F13" s="3274">
        <v>4040</v>
      </c>
    </row>
    <row r="14" spans="1:6">
      <c r="A14" s="3272" t="s">
        <v>306</v>
      </c>
      <c r="B14" s="3274">
        <v>4900</v>
      </c>
      <c r="C14" s="3274">
        <v>4860</v>
      </c>
      <c r="D14" s="3274">
        <v>5540</v>
      </c>
      <c r="E14" s="3274">
        <v>950</v>
      </c>
      <c r="F14" s="3274">
        <v>2930</v>
      </c>
    </row>
    <row r="15" spans="1:6">
      <c r="A15" s="3272" t="s">
        <v>307</v>
      </c>
      <c r="B15" s="3274">
        <v>3380</v>
      </c>
      <c r="C15" s="3274">
        <v>3340</v>
      </c>
      <c r="D15" s="3274">
        <v>3630</v>
      </c>
      <c r="E15" s="3274">
        <v>730</v>
      </c>
      <c r="F15" s="3274">
        <v>1990</v>
      </c>
    </row>
    <row r="16" spans="1:6">
      <c r="A16" s="3272" t="s">
        <v>369</v>
      </c>
      <c r="B16" s="3274">
        <v>2230</v>
      </c>
      <c r="C16" s="3274">
        <v>2200</v>
      </c>
      <c r="D16" s="3274">
        <v>2180</v>
      </c>
      <c r="E16" s="3274">
        <v>570</v>
      </c>
      <c r="F16" s="3274">
        <v>1330</v>
      </c>
    </row>
    <row r="17" spans="1:6">
      <c r="A17" s="3272" t="s">
        <v>370</v>
      </c>
      <c r="B17" s="3274">
        <v>1390</v>
      </c>
      <c r="C17" s="3274">
        <v>1360</v>
      </c>
      <c r="D17" s="3274">
        <v>1340</v>
      </c>
      <c r="E17" s="3274">
        <v>450</v>
      </c>
      <c r="F17" s="327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198">
        <f>基准地价修正!G23</f>
        <v>45287</v>
      </c>
      <c r="B1" s="3187" t="s">
        <v>3356</v>
      </c>
      <c r="C1" s="3188"/>
      <c r="D1" s="3188"/>
      <c r="E1" s="3188"/>
      <c r="F1" s="3188"/>
      <c r="G1" s="3188"/>
      <c r="H1" s="3188"/>
      <c r="I1" s="3188"/>
      <c r="J1" s="3142"/>
      <c r="K1" s="3188" t="s">
        <v>454</v>
      </c>
      <c r="L1" s="3188"/>
      <c r="M1" s="3188"/>
      <c r="N1" s="3188"/>
      <c r="O1" s="3188"/>
      <c r="P1" s="3188"/>
      <c r="Q1" s="3142"/>
      <c r="R1" s="4003" t="s">
        <v>456</v>
      </c>
      <c r="S1" s="4004"/>
      <c r="T1" s="4004"/>
      <c r="U1" s="4004"/>
      <c r="V1" s="4004"/>
      <c r="W1" s="4004"/>
      <c r="X1" s="3142"/>
      <c r="Y1" s="4003" t="s">
        <v>457</v>
      </c>
      <c r="Z1" s="4004"/>
      <c r="AA1" s="4004"/>
      <c r="AB1" s="4004"/>
      <c r="AC1" s="4004"/>
      <c r="AD1" s="4004"/>
    </row>
    <row r="2" spans="1:30" s="3120" customFormat="1" ht="14.25" thickBot="1">
      <c r="B2" s="3121"/>
      <c r="C2" s="3122"/>
      <c r="D2" s="3123" t="s">
        <v>2794</v>
      </c>
      <c r="E2" s="3124" t="s">
        <v>2795</v>
      </c>
      <c r="F2" s="3124" t="s">
        <v>2796</v>
      </c>
      <c r="G2" s="3124" t="s">
        <v>2797</v>
      </c>
      <c r="H2" s="3124" t="s">
        <v>2798</v>
      </c>
      <c r="I2" s="3124" t="s">
        <v>2615</v>
      </c>
      <c r="J2" s="3125"/>
      <c r="K2" s="3123" t="s">
        <v>2794</v>
      </c>
      <c r="L2" s="3124" t="s">
        <v>2795</v>
      </c>
      <c r="M2" s="3124" t="s">
        <v>2796</v>
      </c>
      <c r="N2" s="3124" t="s">
        <v>2797</v>
      </c>
      <c r="O2" s="3124" t="s">
        <v>2799</v>
      </c>
      <c r="P2" s="3124" t="s">
        <v>2615</v>
      </c>
      <c r="Q2" s="3125"/>
      <c r="R2" s="3123" t="s">
        <v>2794</v>
      </c>
      <c r="S2" s="3124" t="s">
        <v>2795</v>
      </c>
      <c r="T2" s="3124" t="s">
        <v>2796</v>
      </c>
      <c r="U2" s="3124" t="s">
        <v>2800</v>
      </c>
      <c r="V2" s="3124" t="s">
        <v>2801</v>
      </c>
      <c r="W2" s="3124" t="s">
        <v>2615</v>
      </c>
      <c r="X2" s="3125"/>
      <c r="Y2" s="3123" t="s">
        <v>2794</v>
      </c>
      <c r="Z2" s="3124" t="s">
        <v>2795</v>
      </c>
      <c r="AA2" s="3124" t="s">
        <v>2796</v>
      </c>
      <c r="AB2" s="3124" t="s">
        <v>2802</v>
      </c>
      <c r="AC2" s="3124" t="s">
        <v>2801</v>
      </c>
      <c r="AD2" s="3124" t="s">
        <v>2615</v>
      </c>
    </row>
    <row r="3" spans="1:30" s="3138" customFormat="1" ht="12.75">
      <c r="A3" s="3126" t="s">
        <v>2803</v>
      </c>
      <c r="B3" s="3127"/>
      <c r="C3" s="3128"/>
      <c r="D3" s="3128">
        <f>ROUND(AVERAGEIF(D4:D18,"&lt;&gt;0"),2)</f>
        <v>0.78</v>
      </c>
      <c r="E3" s="3128">
        <f t="shared" ref="E3:H3" si="0">ROUND(AVERAGEIF(E4:E18,"&lt;&gt;0"),2)</f>
        <v>0.41</v>
      </c>
      <c r="F3" s="3128">
        <f t="shared" si="0"/>
        <v>0.23</v>
      </c>
      <c r="G3" s="3128">
        <f t="shared" si="0"/>
        <v>0.84</v>
      </c>
      <c r="H3" s="3128">
        <f t="shared" si="0"/>
        <v>0.63</v>
      </c>
      <c r="I3" s="3128">
        <f>F3</f>
        <v>0.23</v>
      </c>
      <c r="J3" s="3129"/>
      <c r="K3" s="3130">
        <f>ROUND(AVERAGEIF(K4:K18,"&lt;&gt;0"),4)</f>
        <v>7.7999999999999996E-3</v>
      </c>
      <c r="L3" s="3131">
        <f t="shared" ref="L3:O3" si="1">ROUND(AVERAGEIF(L4:L18,"&lt;&gt;0"),4)</f>
        <v>4.1000000000000003E-3</v>
      </c>
      <c r="M3" s="3131">
        <f t="shared" si="1"/>
        <v>2.3E-3</v>
      </c>
      <c r="N3" s="3131">
        <f t="shared" si="1"/>
        <v>8.3999999999999995E-3</v>
      </c>
      <c r="O3" s="3131">
        <f t="shared" si="1"/>
        <v>6.3E-3</v>
      </c>
      <c r="P3" s="3131">
        <f>M3</f>
        <v>2.3E-3</v>
      </c>
      <c r="Q3" s="3129"/>
      <c r="R3" s="3132">
        <f>ROUND(SUMPRODUCT(PRODUCT(1+K4:K18)),4)</f>
        <v>1.0888</v>
      </c>
      <c r="S3" s="3133">
        <f t="shared" ref="S3:V3" si="2">ROUND(SUMPRODUCT(PRODUCT(1+L4:L18)),4)</f>
        <v>1.0463</v>
      </c>
      <c r="T3" s="3133">
        <f t="shared" si="2"/>
        <v>1.0257000000000001</v>
      </c>
      <c r="U3" s="3133">
        <f t="shared" si="2"/>
        <v>1.0961000000000001</v>
      </c>
      <c r="V3" s="3133">
        <f t="shared" si="2"/>
        <v>1.0713999999999999</v>
      </c>
      <c r="W3" s="3132">
        <f>T3</f>
        <v>1.0257000000000001</v>
      </c>
      <c r="X3" s="3129"/>
      <c r="Y3" s="3134">
        <f>ROUND(AVERAGEIF(Y5:Y18,"&lt;&gt;0"),4)</f>
        <v>8.6999999999999994E-3</v>
      </c>
      <c r="Z3" s="3135">
        <f t="shared" ref="Z3:AC3" si="3">ROUND(AVERAGEIF(Z5:Z18,"&lt;&gt;0"),4)</f>
        <v>3.5000000000000001E-3</v>
      </c>
      <c r="AA3" s="3136">
        <f t="shared" si="3"/>
        <v>8.9999999999999998E-4</v>
      </c>
      <c r="AB3" s="3134">
        <f t="shared" si="3"/>
        <v>9.4999999999999998E-3</v>
      </c>
      <c r="AC3" s="3137">
        <f t="shared" si="3"/>
        <v>6.1000000000000004E-3</v>
      </c>
      <c r="AD3" s="3134">
        <f>AA3</f>
        <v>8.9999999999999998E-4</v>
      </c>
    </row>
    <row r="4" spans="1:30" s="3139" customFormat="1" ht="12.75">
      <c r="B4" s="3140"/>
      <c r="C4" s="3141"/>
      <c r="D4" s="3141"/>
      <c r="E4" s="3141"/>
      <c r="F4" s="3141"/>
      <c r="G4" s="3141"/>
      <c r="H4" s="3141"/>
      <c r="I4" s="3141"/>
      <c r="J4" s="3142"/>
      <c r="K4" s="3143"/>
      <c r="L4" s="3144"/>
      <c r="M4" s="3144"/>
      <c r="N4" s="3144"/>
      <c r="O4" s="3144"/>
      <c r="P4" s="3144"/>
      <c r="Q4" s="3142"/>
      <c r="R4" s="3145"/>
      <c r="S4" s="3146"/>
      <c r="T4" s="3147"/>
      <c r="U4" s="3145"/>
      <c r="V4" s="3148"/>
      <c r="W4" s="3145"/>
      <c r="X4" s="3142"/>
      <c r="Y4" s="3149"/>
      <c r="Z4" s="3150"/>
      <c r="AA4" s="3151"/>
      <c r="AB4" s="3149"/>
      <c r="AC4" s="3152"/>
      <c r="AD4" s="3149"/>
    </row>
    <row r="5" spans="1:30" s="3162" customFormat="1" ht="12.75">
      <c r="A5" s="2205" t="s">
        <v>3360</v>
      </c>
      <c r="B5" s="3154">
        <v>2023</v>
      </c>
      <c r="C5" s="3155">
        <v>4</v>
      </c>
      <c r="D5" s="3156">
        <v>0</v>
      </c>
      <c r="E5" s="3156">
        <v>0</v>
      </c>
      <c r="F5" s="3156">
        <v>0</v>
      </c>
      <c r="G5" s="3156">
        <v>0</v>
      </c>
      <c r="H5" s="3156">
        <v>0</v>
      </c>
      <c r="I5" s="3157">
        <f t="shared" ref="I5:I18" si="4">F5</f>
        <v>0</v>
      </c>
      <c r="J5" s="3158"/>
      <c r="K5" s="3159">
        <f t="shared" ref="K5:O18" si="5">D5/100</f>
        <v>0</v>
      </c>
      <c r="L5" s="3149">
        <f t="shared" si="5"/>
        <v>0</v>
      </c>
      <c r="M5" s="3149">
        <f t="shared" si="5"/>
        <v>0</v>
      </c>
      <c r="N5" s="3149">
        <f t="shared" si="5"/>
        <v>0</v>
      </c>
      <c r="O5" s="3149">
        <f t="shared" si="5"/>
        <v>0</v>
      </c>
      <c r="P5" s="3149">
        <f>M5</f>
        <v>0</v>
      </c>
      <c r="Q5" s="3158"/>
      <c r="R5" s="3160">
        <f>ROUND(IF(项目基本情况!$B$8="出让",SUMPRODUCT(PRODUCT(1+K5:$K$18)),SUMPRODUCT(PRODUCT(1+K5:$K$17))),4)</f>
        <v>1.0783</v>
      </c>
      <c r="S5" s="3160">
        <f>ROUND(IF(项目基本情况!$B$8="出让",SUMPRODUCT(PRODUCT(1+L5:$L$18)),SUMPRODUCT(PRODUCT(1+L5:$L$17))),4)</f>
        <v>1.0447</v>
      </c>
      <c r="T5" s="3160">
        <f>ROUND(IF(项目基本情况!$B$8="出让",SUMPRODUCT(PRODUCT(1+M5:$M$18)),SUMPRODUCT(PRODUCT(1+M5:$M$17))),4)</f>
        <v>1.0282</v>
      </c>
      <c r="U5" s="3160">
        <f>ROUND(IF(项目基本情况!$B$8="出让",SUMPRODUCT(PRODUCT(1+N5:$N$18)),SUMPRODUCT(PRODUCT(1+N5:$N$17))),4)</f>
        <v>1.0841000000000001</v>
      </c>
      <c r="V5" s="3160">
        <f>ROUND(IF(项目基本情况!$B$8="出让",SUMPRODUCT(PRODUCT(1+O5:$O$18)),SUMPRODUCT(PRODUCT(1+O5:$O$17))),4)</f>
        <v>1.0674999999999999</v>
      </c>
      <c r="W5" s="3160">
        <f>T5</f>
        <v>1.0282</v>
      </c>
      <c r="X5" s="3158"/>
      <c r="Y5" s="3161">
        <f>IF(D5=0,0,ROUND(AVERAGE(D5:D18)/100,4))</f>
        <v>0</v>
      </c>
      <c r="Z5" s="3161">
        <f t="shared" ref="Z5:AC5" si="6">IF(E5=0,0,ROUND(AVERAGE(E5:E18)/100,4))</f>
        <v>0</v>
      </c>
      <c r="AA5" s="3161">
        <f t="shared" si="6"/>
        <v>0</v>
      </c>
      <c r="AB5" s="3161">
        <f t="shared" si="6"/>
        <v>0</v>
      </c>
      <c r="AC5" s="3161">
        <f t="shared" si="6"/>
        <v>0</v>
      </c>
      <c r="AD5" s="3161">
        <f t="shared" ref="AD5:AD17" si="7">AA5</f>
        <v>0</v>
      </c>
    </row>
    <row r="6" spans="1:30" s="3162" customFormat="1" ht="12.75">
      <c r="A6" s="2205" t="s">
        <v>3361</v>
      </c>
      <c r="B6" s="3154">
        <v>2023</v>
      </c>
      <c r="C6" s="3155">
        <v>3</v>
      </c>
      <c r="D6" s="3156">
        <v>0</v>
      </c>
      <c r="E6" s="3156">
        <v>0</v>
      </c>
      <c r="F6" s="3156">
        <v>0</v>
      </c>
      <c r="G6" s="3156">
        <v>0</v>
      </c>
      <c r="H6" s="3173">
        <v>0</v>
      </c>
      <c r="I6" s="3157">
        <v>0</v>
      </c>
      <c r="J6" s="3158"/>
      <c r="K6" s="3159">
        <f t="shared" ref="K6" si="8">D6/100</f>
        <v>0</v>
      </c>
      <c r="L6" s="3149">
        <f t="shared" ref="L6" si="9">E6/100</f>
        <v>0</v>
      </c>
      <c r="M6" s="3149">
        <f t="shared" ref="M6" si="10">F6/100</f>
        <v>0</v>
      </c>
      <c r="N6" s="3149">
        <f t="shared" ref="N6" si="11">G6/100</f>
        <v>0</v>
      </c>
      <c r="O6" s="3149">
        <f t="shared" ref="O6" si="12">H6/100</f>
        <v>0</v>
      </c>
      <c r="P6" s="3149">
        <f t="shared" ref="P6" si="13">M6</f>
        <v>0</v>
      </c>
      <c r="Q6" s="3158"/>
      <c r="R6" s="3160">
        <f>ROUND(IF(项目基本情况!$B$8="出让",SUMPRODUCT(PRODUCT(1+K6:$K$18)),SUMPRODUCT(PRODUCT(1+K6:$K$17))),4)</f>
        <v>1.0783</v>
      </c>
      <c r="S6" s="3160">
        <f>ROUND(IF(项目基本情况!$B$8="出让",SUMPRODUCT(PRODUCT(1+L6:$L$18)),SUMPRODUCT(PRODUCT(1+L6:$L$17))),4)</f>
        <v>1.0447</v>
      </c>
      <c r="T6" s="3160">
        <f>ROUND(IF(项目基本情况!$B$8="出让",SUMPRODUCT(PRODUCT(1+M6:$M$18)),SUMPRODUCT(PRODUCT(1+M6:$M$17))),4)</f>
        <v>1.0282</v>
      </c>
      <c r="U6" s="3160">
        <f>ROUND(IF(项目基本情况!$B$8="出让",SUMPRODUCT(PRODUCT(1+N6:$N$18)),SUMPRODUCT(PRODUCT(1+N6:$N$17))),4)</f>
        <v>1.0841000000000001</v>
      </c>
      <c r="V6" s="3160">
        <f>ROUND(IF(项目基本情况!$B$8="出让",SUMPRODUCT(PRODUCT(1+O6:$O$18)),SUMPRODUCT(PRODUCT(1+O6:$O$17))),4)</f>
        <v>1.0674999999999999</v>
      </c>
      <c r="W6" s="3160">
        <f t="shared" ref="W6" si="14">T6</f>
        <v>1.0282</v>
      </c>
      <c r="X6" s="3158"/>
      <c r="Y6" s="3161"/>
      <c r="Z6" s="3161"/>
      <c r="AA6" s="3161"/>
      <c r="AB6" s="3161"/>
      <c r="AC6" s="3161"/>
      <c r="AD6" s="3161"/>
    </row>
    <row r="7" spans="1:30" s="3162" customFormat="1" ht="12.75">
      <c r="A7" s="2205" t="s">
        <v>3362</v>
      </c>
      <c r="B7" s="3154">
        <v>2023</v>
      </c>
      <c r="C7" s="3155">
        <v>3</v>
      </c>
      <c r="D7" s="3156">
        <v>0</v>
      </c>
      <c r="E7" s="3156">
        <v>0</v>
      </c>
      <c r="F7" s="3156">
        <v>0</v>
      </c>
      <c r="G7" s="3156">
        <v>0</v>
      </c>
      <c r="H7" s="3173">
        <v>0</v>
      </c>
      <c r="I7" s="3157">
        <v>0</v>
      </c>
      <c r="J7" s="3158"/>
      <c r="K7" s="3159">
        <f t="shared" si="5"/>
        <v>0</v>
      </c>
      <c r="L7" s="3149">
        <f t="shared" si="5"/>
        <v>0</v>
      </c>
      <c r="M7" s="3149">
        <f t="shared" si="5"/>
        <v>0</v>
      </c>
      <c r="N7" s="3149">
        <f t="shared" si="5"/>
        <v>0</v>
      </c>
      <c r="O7" s="3149">
        <f t="shared" si="5"/>
        <v>0</v>
      </c>
      <c r="P7" s="3149">
        <f t="shared" ref="P7" si="15">M7</f>
        <v>0</v>
      </c>
      <c r="Q7" s="3158"/>
      <c r="R7" s="3160">
        <f>ROUND(IF(项目基本情况!$B$8="出让",SUMPRODUCT(PRODUCT(1+K7:$K$18)),SUMPRODUCT(PRODUCT(1+K7:$K$17))),4)</f>
        <v>1.0783</v>
      </c>
      <c r="S7" s="3160">
        <f>ROUND(IF(项目基本情况!$B$8="出让",SUMPRODUCT(PRODUCT(1+L7:$L$18)),SUMPRODUCT(PRODUCT(1+L7:$L$17))),4)</f>
        <v>1.0447</v>
      </c>
      <c r="T7" s="3160">
        <f>ROUND(IF(项目基本情况!$B$8="出让",SUMPRODUCT(PRODUCT(1+M7:$M$18)),SUMPRODUCT(PRODUCT(1+M7:$M$17))),4)</f>
        <v>1.0282</v>
      </c>
      <c r="U7" s="3160">
        <f>ROUND(IF(项目基本情况!$B$8="出让",SUMPRODUCT(PRODUCT(1+N7:$N$18)),SUMPRODUCT(PRODUCT(1+N7:$N$17))),4)</f>
        <v>1.0841000000000001</v>
      </c>
      <c r="V7" s="3160">
        <f>ROUND(IF(项目基本情况!$B$8="出让",SUMPRODUCT(PRODUCT(1+O7:$O$18)),SUMPRODUCT(PRODUCT(1+O7:$O$17))),4)</f>
        <v>1.0674999999999999</v>
      </c>
      <c r="W7" s="3160">
        <f t="shared" ref="W7" si="16">T7</f>
        <v>1.0282</v>
      </c>
      <c r="X7" s="3158"/>
      <c r="Y7" s="3161"/>
      <c r="Z7" s="3161"/>
      <c r="AA7" s="3161"/>
      <c r="AB7" s="3161"/>
      <c r="AC7" s="3161"/>
      <c r="AD7" s="3161"/>
    </row>
    <row r="8" spans="1:30" s="3172" customFormat="1" ht="12.75">
      <c r="A8" s="3163" t="s">
        <v>3354</v>
      </c>
      <c r="B8" s="3164">
        <v>2023</v>
      </c>
      <c r="C8" s="3165">
        <v>3</v>
      </c>
      <c r="D8" s="3166">
        <v>0.25</v>
      </c>
      <c r="E8" s="3166">
        <v>0.5</v>
      </c>
      <c r="F8" s="3166">
        <v>0.31</v>
      </c>
      <c r="G8" s="3166">
        <v>0.21</v>
      </c>
      <c r="H8" s="3167">
        <v>0.43</v>
      </c>
      <c r="I8" s="3168">
        <f t="shared" si="4"/>
        <v>0.31</v>
      </c>
      <c r="J8" s="3169"/>
      <c r="K8" s="3170">
        <f t="shared" ref="K8:K10" si="17">D8/100</f>
        <v>2.5000000000000001E-3</v>
      </c>
      <c r="L8" s="3171">
        <f t="shared" ref="L8:L10" si="18">E8/100</f>
        <v>5.0000000000000001E-3</v>
      </c>
      <c r="M8" s="3171">
        <f t="shared" ref="M8:M10" si="19">F8/100</f>
        <v>3.0999999999999999E-3</v>
      </c>
      <c r="N8" s="3171">
        <f t="shared" ref="N8:N10" si="20">G8/100</f>
        <v>2.0999999999999999E-3</v>
      </c>
      <c r="O8" s="3171">
        <f t="shared" ref="O8:O10" si="21">H8/100</f>
        <v>4.3E-3</v>
      </c>
      <c r="P8" s="3171">
        <f t="shared" ref="P8:P10" si="22">M8</f>
        <v>3.0999999999999999E-3</v>
      </c>
      <c r="Q8" s="3169"/>
      <c r="R8" s="3169">
        <f>ROUND(IF(项目基本情况!$B$8="出让",SUMPRODUCT(PRODUCT(1+K8:$K$18)),SUMPRODUCT(PRODUCT(1+K8:$K$17))),4)</f>
        <v>1.0783</v>
      </c>
      <c r="S8" s="3169">
        <f>ROUND(IF(项目基本情况!$B$8="出让",SUMPRODUCT(PRODUCT(1+L8:$L$18)),SUMPRODUCT(PRODUCT(1+L8:$L$17))),4)</f>
        <v>1.0447</v>
      </c>
      <c r="T8" s="3169">
        <f>ROUND(IF(项目基本情况!$B$8="出让",SUMPRODUCT(PRODUCT(1+M8:$M$18)),SUMPRODUCT(PRODUCT(1+M8:$M$17))),4)</f>
        <v>1.0282</v>
      </c>
      <c r="U8" s="3169">
        <f>ROUND(IF(项目基本情况!$B$8="出让",SUMPRODUCT(PRODUCT(1+N8:$N$18)),SUMPRODUCT(PRODUCT(1+N8:$N$17))),4)</f>
        <v>1.0841000000000001</v>
      </c>
      <c r="V8" s="3169">
        <f>ROUND(IF(项目基本情况!$B$8="出让",SUMPRODUCT(PRODUCT(1+O8:$O$18)),SUMPRODUCT(PRODUCT(1+O8:$O$17))),4)</f>
        <v>1.0674999999999999</v>
      </c>
      <c r="W8" s="3169">
        <f t="shared" ref="W8:W9" si="23">T8</f>
        <v>1.0282</v>
      </c>
      <c r="X8" s="3169"/>
      <c r="Y8" s="3171"/>
      <c r="Z8" s="3171"/>
      <c r="AA8" s="3171"/>
      <c r="AB8" s="3171"/>
      <c r="AC8" s="3171"/>
      <c r="AD8" s="3171"/>
    </row>
    <row r="9" spans="1:30" s="3162" customFormat="1" ht="12.75">
      <c r="A9" s="3153" t="s">
        <v>3355</v>
      </c>
      <c r="B9" s="3154">
        <v>2023</v>
      </c>
      <c r="C9" s="3155">
        <v>2</v>
      </c>
      <c r="D9" s="3156">
        <v>0.91</v>
      </c>
      <c r="E9" s="3156">
        <v>0.66</v>
      </c>
      <c r="F9" s="3156">
        <v>0.47</v>
      </c>
      <c r="G9" s="3156">
        <v>0.96</v>
      </c>
      <c r="H9" s="3173">
        <v>0.71</v>
      </c>
      <c r="I9" s="3157">
        <f t="shared" si="4"/>
        <v>0.47</v>
      </c>
      <c r="J9" s="3158"/>
      <c r="K9" s="3159">
        <f t="shared" si="17"/>
        <v>9.1000000000000004E-3</v>
      </c>
      <c r="L9" s="3149">
        <f t="shared" si="18"/>
        <v>6.6E-3</v>
      </c>
      <c r="M9" s="3149">
        <f t="shared" si="19"/>
        <v>4.6999999999999993E-3</v>
      </c>
      <c r="N9" s="3149">
        <f t="shared" si="20"/>
        <v>9.5999999999999992E-3</v>
      </c>
      <c r="O9" s="3149">
        <f t="shared" si="21"/>
        <v>7.0999999999999995E-3</v>
      </c>
      <c r="P9" s="3149">
        <f t="shared" si="22"/>
        <v>4.6999999999999993E-3</v>
      </c>
      <c r="Q9" s="3158"/>
      <c r="R9" s="3160">
        <f>ROUND(IF(项目基本情况!$B$8="出让",SUMPRODUCT(PRODUCT(1+K9:$K$18)),SUMPRODUCT(PRODUCT(1+K9:$K$17))),4)</f>
        <v>1.0755999999999999</v>
      </c>
      <c r="S9" s="3160">
        <f>ROUND(IF(项目基本情况!$B$8="出让",SUMPRODUCT(PRODUCT(1+L9:$L$18)),SUMPRODUCT(PRODUCT(1+L9:$L$17))),4)</f>
        <v>1.0395000000000001</v>
      </c>
      <c r="T9" s="3160">
        <f>ROUND(IF(项目基本情况!$B$8="出让",SUMPRODUCT(PRODUCT(1+M9:$M$18)),SUMPRODUCT(PRODUCT(1+M9:$M$17))),4)</f>
        <v>1.0250999999999999</v>
      </c>
      <c r="U9" s="3160">
        <f>ROUND(IF(项目基本情况!$B$8="出让",SUMPRODUCT(PRODUCT(1+N9:$N$18)),SUMPRODUCT(PRODUCT(1+N9:$N$17))),4)</f>
        <v>1.0818000000000001</v>
      </c>
      <c r="V9" s="3160">
        <f>ROUND(IF(项目基本情况!$B$8="出让",SUMPRODUCT(PRODUCT(1+O9:$O$18)),SUMPRODUCT(PRODUCT(1+O9:$O$17))),4)</f>
        <v>1.0629999999999999</v>
      </c>
      <c r="W9" s="3160">
        <f t="shared" si="23"/>
        <v>1.0250999999999999</v>
      </c>
      <c r="X9" s="3158"/>
      <c r="Y9" s="3161"/>
      <c r="Z9" s="3161"/>
      <c r="AA9" s="3161"/>
      <c r="AB9" s="3161"/>
      <c r="AC9" s="3161"/>
      <c r="AD9" s="3161"/>
    </row>
    <row r="10" spans="1:30" s="3162" customFormat="1" ht="12.75">
      <c r="A10" s="3153" t="s">
        <v>3353</v>
      </c>
      <c r="B10" s="3154">
        <v>2023</v>
      </c>
      <c r="C10" s="3155">
        <v>1</v>
      </c>
      <c r="D10" s="3156">
        <v>0.89</v>
      </c>
      <c r="E10" s="3156">
        <v>0.74</v>
      </c>
      <c r="F10" s="3156">
        <v>0.56999999999999995</v>
      </c>
      <c r="G10" s="3156">
        <v>0.92</v>
      </c>
      <c r="H10" s="3173">
        <v>0.5</v>
      </c>
      <c r="I10" s="3157">
        <f t="shared" si="4"/>
        <v>0.56999999999999995</v>
      </c>
      <c r="J10" s="3158"/>
      <c r="K10" s="3159">
        <f t="shared" si="17"/>
        <v>8.8999999999999999E-3</v>
      </c>
      <c r="L10" s="3149">
        <f t="shared" si="18"/>
        <v>7.4000000000000003E-3</v>
      </c>
      <c r="M10" s="3149">
        <f t="shared" si="19"/>
        <v>5.6999999999999993E-3</v>
      </c>
      <c r="N10" s="3149">
        <f t="shared" si="20"/>
        <v>9.1999999999999998E-3</v>
      </c>
      <c r="O10" s="3149">
        <f t="shared" si="21"/>
        <v>5.0000000000000001E-3</v>
      </c>
      <c r="P10" s="3149">
        <f t="shared" si="22"/>
        <v>5.6999999999999993E-3</v>
      </c>
      <c r="Q10" s="3158"/>
      <c r="R10" s="3160">
        <f>ROUND(IF(项目基本情况!$B$8="出让",SUMPRODUCT(PRODUCT(1+K10:$K$18)),SUMPRODUCT(PRODUCT(1+K10:$K$17))),4)</f>
        <v>1.0659000000000001</v>
      </c>
      <c r="S10" s="3160">
        <f>ROUND(IF(项目基本情况!$B$8="出让",SUMPRODUCT(PRODUCT(1+L10:$L$18)),SUMPRODUCT(PRODUCT(1+L10:$L$17))),4)</f>
        <v>1.0326</v>
      </c>
      <c r="T10" s="3160">
        <f>ROUND(IF(项目基本情况!$B$8="出让",SUMPRODUCT(PRODUCT(1+M10:$M$18)),SUMPRODUCT(PRODUCT(1+M10:$M$17))),4)</f>
        <v>1.0203</v>
      </c>
      <c r="U10" s="3160">
        <f>ROUND(IF(项目基本情况!$B$8="出让",SUMPRODUCT(PRODUCT(1+N10:$N$18)),SUMPRODUCT(PRODUCT(1+N10:$N$17))),4)</f>
        <v>1.0714999999999999</v>
      </c>
      <c r="V10" s="3160">
        <f>ROUND(IF(项目基本情况!$B$8="出让",SUMPRODUCT(PRODUCT(1+O10:$O$18)),SUMPRODUCT(PRODUCT(1+O10:$O$17))),4)</f>
        <v>1.0555000000000001</v>
      </c>
      <c r="W10" s="3160">
        <f t="shared" ref="W10:W17" si="24">T10</f>
        <v>1.0203</v>
      </c>
      <c r="X10" s="3158"/>
      <c r="Y10" s="3161"/>
      <c r="Z10" s="3161"/>
      <c r="AA10" s="3161"/>
      <c r="AB10" s="3161"/>
      <c r="AC10" s="3161"/>
      <c r="AD10" s="3161"/>
    </row>
    <row r="11" spans="1:30" s="3162" customFormat="1" ht="12.75">
      <c r="A11" s="3153" t="s">
        <v>3352</v>
      </c>
      <c r="B11" s="3154">
        <v>2022</v>
      </c>
      <c r="C11" s="3155">
        <v>4</v>
      </c>
      <c r="D11" s="3156">
        <v>0.62</v>
      </c>
      <c r="E11" s="3156">
        <v>0.2</v>
      </c>
      <c r="F11" s="3156">
        <v>0.11</v>
      </c>
      <c r="G11" s="3156">
        <v>0.69</v>
      </c>
      <c r="H11" s="3173">
        <v>0.53</v>
      </c>
      <c r="I11" s="3157">
        <f t="shared" si="4"/>
        <v>0.11</v>
      </c>
      <c r="J11" s="3158"/>
      <c r="K11" s="3159">
        <f t="shared" si="5"/>
        <v>6.1999999999999998E-3</v>
      </c>
      <c r="L11" s="3149">
        <f t="shared" si="5"/>
        <v>2E-3</v>
      </c>
      <c r="M11" s="3149">
        <f t="shared" si="5"/>
        <v>1.1000000000000001E-3</v>
      </c>
      <c r="N11" s="3149">
        <f t="shared" si="5"/>
        <v>6.8999999999999999E-3</v>
      </c>
      <c r="O11" s="3149">
        <f t="shared" si="5"/>
        <v>5.3E-3</v>
      </c>
      <c r="P11" s="3149">
        <f t="shared" ref="P11:P18" si="25">M11</f>
        <v>1.1000000000000001E-3</v>
      </c>
      <c r="Q11" s="3158"/>
      <c r="R11" s="3160">
        <f>ROUND(IF(项目基本情况!$B$8="出让",SUMPRODUCT(PRODUCT(1+K11:$K$18)),SUMPRODUCT(PRODUCT(1+K11:$K$17))),4)</f>
        <v>1.0565</v>
      </c>
      <c r="S11" s="3160">
        <f>ROUND(IF(项目基本情况!$B$8="出让",SUMPRODUCT(PRODUCT(1+L11:$L$18)),SUMPRODUCT(PRODUCT(1+L11:$L$17))),4)</f>
        <v>1.0250999999999999</v>
      </c>
      <c r="T11" s="3160">
        <f>ROUND(IF(项目基本情况!$B$8="出让",SUMPRODUCT(PRODUCT(1+M11:$M$18)),SUMPRODUCT(PRODUCT(1+M11:$M$17))),4)</f>
        <v>1.0145</v>
      </c>
      <c r="U11" s="3160">
        <f>ROUND(IF(项目基本情况!$B$8="出让",SUMPRODUCT(PRODUCT(1+N11:$N$18)),SUMPRODUCT(PRODUCT(1+N11:$N$17))),4)</f>
        <v>1.0618000000000001</v>
      </c>
      <c r="V11" s="3160">
        <f>ROUND(IF(项目基本情况!$B$8="出让",SUMPRODUCT(PRODUCT(1+O11:$O$18)),SUMPRODUCT(PRODUCT(1+O11:$O$17))),4)</f>
        <v>1.0502</v>
      </c>
      <c r="W11" s="3160">
        <f t="shared" si="24"/>
        <v>1.0145</v>
      </c>
      <c r="X11" s="3158"/>
      <c r="Y11" s="3161">
        <f>IF(D11=0,0,ROUND(AVERAGE(D11:D19)/100,4))</f>
        <v>8.0999999999999996E-3</v>
      </c>
      <c r="Z11" s="3161">
        <f t="shared" ref="Z11:AC11" si="26">IF(E11=0,0,ROUND(AVERAGE(E11:E18)/100,4))</f>
        <v>3.3E-3</v>
      </c>
      <c r="AA11" s="3161">
        <f t="shared" si="26"/>
        <v>1.5E-3</v>
      </c>
      <c r="AB11" s="3161">
        <f t="shared" si="26"/>
        <v>8.8999999999999999E-3</v>
      </c>
      <c r="AC11" s="3161">
        <f t="shared" si="26"/>
        <v>6.6E-3</v>
      </c>
      <c r="AD11" s="3161">
        <f t="shared" si="7"/>
        <v>1.5E-3</v>
      </c>
    </row>
    <row r="12" spans="1:30" s="3162" customFormat="1" ht="12.75">
      <c r="A12" s="3153" t="s">
        <v>3348</v>
      </c>
      <c r="B12" s="3154">
        <v>2022</v>
      </c>
      <c r="C12" s="3155">
        <v>3</v>
      </c>
      <c r="D12" s="3156">
        <v>0.66</v>
      </c>
      <c r="E12" s="3156">
        <v>0.32</v>
      </c>
      <c r="F12" s="3156">
        <v>0.23</v>
      </c>
      <c r="G12" s="3156">
        <v>0.72</v>
      </c>
      <c r="H12" s="3173">
        <v>0.63</v>
      </c>
      <c r="I12" s="3157">
        <f t="shared" si="4"/>
        <v>0.23</v>
      </c>
      <c r="J12" s="3158"/>
      <c r="K12" s="3159">
        <f t="shared" si="5"/>
        <v>6.6E-3</v>
      </c>
      <c r="L12" s="3149">
        <f t="shared" si="5"/>
        <v>3.2000000000000002E-3</v>
      </c>
      <c r="M12" s="3149">
        <f t="shared" si="5"/>
        <v>2.3E-3</v>
      </c>
      <c r="N12" s="3149">
        <f t="shared" si="5"/>
        <v>7.1999999999999998E-3</v>
      </c>
      <c r="O12" s="3149">
        <f t="shared" si="5"/>
        <v>6.3E-3</v>
      </c>
      <c r="P12" s="3149">
        <f t="shared" si="25"/>
        <v>2.3E-3</v>
      </c>
      <c r="Q12" s="3158"/>
      <c r="R12" s="3160">
        <f>ROUND(IF(项目基本情况!$B$8="出让",SUMPRODUCT(PRODUCT(1+K12:$K$18)),SUMPRODUCT(PRODUCT(1+K12:$K$17))),4)</f>
        <v>1.05</v>
      </c>
      <c r="S12" s="3160">
        <f>ROUND(IF(项目基本情况!$B$8="出让",SUMPRODUCT(PRODUCT(1+L12:$L$18)),SUMPRODUCT(PRODUCT(1+L12:$L$17))),4)</f>
        <v>1.0229999999999999</v>
      </c>
      <c r="T12" s="3160">
        <f>ROUND(IF(项目基本情况!$B$8="出让",SUMPRODUCT(PRODUCT(1+M12:$M$18)),SUMPRODUCT(PRODUCT(1+M12:$M$17))),4)</f>
        <v>1.0134000000000001</v>
      </c>
      <c r="U12" s="3160">
        <f>ROUND(IF(项目基本情况!$B$8="出让",SUMPRODUCT(PRODUCT(1+N12:$N$18)),SUMPRODUCT(PRODUCT(1+N12:$N$17))),4)</f>
        <v>1.0545</v>
      </c>
      <c r="V12" s="3160">
        <f>ROUND(IF(项目基本情况!$B$8="出让",SUMPRODUCT(PRODUCT(1+O12:$O$18)),SUMPRODUCT(PRODUCT(1+O12:$O$17))),4)</f>
        <v>1.0447</v>
      </c>
      <c r="W12" s="3160">
        <f t="shared" si="24"/>
        <v>1.0134000000000001</v>
      </c>
      <c r="X12" s="3158"/>
      <c r="Y12" s="3161">
        <f>IF(D12=0,0,ROUND(AVERAGE(D12:D18)/100,4))</f>
        <v>8.3999999999999995E-3</v>
      </c>
      <c r="Z12" s="3161">
        <f t="shared" ref="Z12:AC12" si="27">IF(E12=0,0,ROUND(AVERAGE(E12:E18)/100,4))</f>
        <v>3.5000000000000001E-3</v>
      </c>
      <c r="AA12" s="3161">
        <f t="shared" si="27"/>
        <v>1.5E-3</v>
      </c>
      <c r="AB12" s="3161">
        <f t="shared" si="27"/>
        <v>9.1999999999999998E-3</v>
      </c>
      <c r="AC12" s="3161">
        <f t="shared" si="27"/>
        <v>6.7999999999999996E-3</v>
      </c>
      <c r="AD12" s="3161">
        <f t="shared" si="7"/>
        <v>1.5E-3</v>
      </c>
    </row>
    <row r="13" spans="1:30" s="3162" customFormat="1" ht="12.75">
      <c r="A13" s="3153" t="s">
        <v>3339</v>
      </c>
      <c r="B13" s="3154">
        <v>2022</v>
      </c>
      <c r="C13" s="3155">
        <v>2</v>
      </c>
      <c r="D13" s="3156">
        <v>0.93</v>
      </c>
      <c r="E13" s="3156">
        <v>0.15</v>
      </c>
      <c r="F13" s="3156">
        <v>0.01</v>
      </c>
      <c r="G13" s="3156">
        <v>1.05</v>
      </c>
      <c r="H13" s="3173">
        <v>1.08</v>
      </c>
      <c r="I13" s="3157">
        <f t="shared" si="4"/>
        <v>0.01</v>
      </c>
      <c r="J13" s="3158"/>
      <c r="K13" s="3159">
        <f t="shared" si="5"/>
        <v>9.300000000000001E-3</v>
      </c>
      <c r="L13" s="3149">
        <f t="shared" si="5"/>
        <v>1.5E-3</v>
      </c>
      <c r="M13" s="3149">
        <f t="shared" si="5"/>
        <v>1E-4</v>
      </c>
      <c r="N13" s="3149">
        <f t="shared" si="5"/>
        <v>1.0500000000000001E-2</v>
      </c>
      <c r="O13" s="3149">
        <f t="shared" si="5"/>
        <v>1.0800000000000001E-2</v>
      </c>
      <c r="P13" s="3149">
        <f t="shared" si="25"/>
        <v>1E-4</v>
      </c>
      <c r="Q13" s="3158"/>
      <c r="R13" s="3160">
        <f>ROUND(IF(项目基本情况!$B$8="出让",SUMPRODUCT(PRODUCT(1+K13:$K$18)),SUMPRODUCT(PRODUCT(1+K13:$K$17))),4)</f>
        <v>1.0430999999999999</v>
      </c>
      <c r="S13" s="3160">
        <f>ROUND(IF(项目基本情况!$B$8="出让",SUMPRODUCT(PRODUCT(1+L13:$L$18)),SUMPRODUCT(PRODUCT(1+L13:$L$17))),4)</f>
        <v>1.0197000000000001</v>
      </c>
      <c r="T13" s="3160">
        <f>ROUND(IF(项目基本情况!$B$8="出让",SUMPRODUCT(PRODUCT(1+M13:$M$18)),SUMPRODUCT(PRODUCT(1+M13:$M$17))),4)</f>
        <v>1.0109999999999999</v>
      </c>
      <c r="U13" s="3160">
        <f>ROUND(IF(项目基本情况!$B$8="出让",SUMPRODUCT(PRODUCT(1+N13:$N$18)),SUMPRODUCT(PRODUCT(1+N13:$N$17))),4)</f>
        <v>1.0468999999999999</v>
      </c>
      <c r="V13" s="3160">
        <f>ROUND(IF(项目基本情况!$B$8="出让",SUMPRODUCT(PRODUCT(1+O13:$O$18)),SUMPRODUCT(PRODUCT(1+O13:$O$17))),4)</f>
        <v>1.0382</v>
      </c>
      <c r="W13" s="3160">
        <f t="shared" si="24"/>
        <v>1.0109999999999999</v>
      </c>
      <c r="X13" s="3158"/>
      <c r="Y13" s="3161">
        <f>IF(D13=0,0,ROUND(AVERAGE(D13:D18)/100,4))</f>
        <v>8.6999999999999994E-3</v>
      </c>
      <c r="Z13" s="3161">
        <f t="shared" ref="Z13:AC13" si="28">IF(E13=0,0,ROUND(AVERAGE(E13:E18)/100,4))</f>
        <v>3.5000000000000001E-3</v>
      </c>
      <c r="AA13" s="3161">
        <f t="shared" si="28"/>
        <v>1.4E-3</v>
      </c>
      <c r="AB13" s="3161">
        <f t="shared" si="28"/>
        <v>9.4999999999999998E-3</v>
      </c>
      <c r="AC13" s="3161">
        <f t="shared" si="28"/>
        <v>6.8999999999999999E-3</v>
      </c>
      <c r="AD13" s="3161">
        <f t="shared" si="7"/>
        <v>1.4E-3</v>
      </c>
    </row>
    <row r="14" spans="1:30" s="3162" customFormat="1" ht="12.75">
      <c r="A14" s="3153" t="s">
        <v>2804</v>
      </c>
      <c r="B14" s="3154">
        <v>2022</v>
      </c>
      <c r="C14" s="3155">
        <v>1</v>
      </c>
      <c r="D14" s="3156">
        <v>0.89</v>
      </c>
      <c r="E14" s="3156">
        <v>0.44</v>
      </c>
      <c r="F14" s="3156">
        <v>0.37</v>
      </c>
      <c r="G14" s="3156">
        <v>0.96</v>
      </c>
      <c r="H14" s="3173">
        <v>0.64</v>
      </c>
      <c r="I14" s="3157">
        <f t="shared" si="4"/>
        <v>0.37</v>
      </c>
      <c r="J14" s="3158"/>
      <c r="K14" s="3159">
        <f t="shared" si="5"/>
        <v>8.8999999999999999E-3</v>
      </c>
      <c r="L14" s="3149">
        <f t="shared" si="5"/>
        <v>4.4000000000000003E-3</v>
      </c>
      <c r="M14" s="3149">
        <f t="shared" si="5"/>
        <v>3.7000000000000002E-3</v>
      </c>
      <c r="N14" s="3149">
        <f t="shared" si="5"/>
        <v>9.5999999999999992E-3</v>
      </c>
      <c r="O14" s="3149">
        <f t="shared" si="5"/>
        <v>6.4000000000000003E-3</v>
      </c>
      <c r="P14" s="3149">
        <f t="shared" si="25"/>
        <v>3.7000000000000002E-3</v>
      </c>
      <c r="Q14" s="3158"/>
      <c r="R14" s="3160">
        <f>ROUND(IF(项目基本情况!$B$8="出让",SUMPRODUCT(PRODUCT(1+K14:$K$18)),SUMPRODUCT(PRODUCT(1+K14:$K$17))),4)</f>
        <v>1.0335000000000001</v>
      </c>
      <c r="S14" s="3160">
        <f>ROUND(IF(项目基本情况!$B$8="出让",SUMPRODUCT(PRODUCT(1+L14:$L$18)),SUMPRODUCT(PRODUCT(1+L14:$L$17))),4)</f>
        <v>1.0182</v>
      </c>
      <c r="T14" s="3160">
        <f>ROUND(IF(项目基本情况!$B$8="出让",SUMPRODUCT(PRODUCT(1+M14:$M$18)),SUMPRODUCT(PRODUCT(1+M14:$M$17))),4)</f>
        <v>1.0108999999999999</v>
      </c>
      <c r="U14" s="3160">
        <f>ROUND(IF(项目基本情况!$B$8="出让",SUMPRODUCT(PRODUCT(1+N14:$N$18)),SUMPRODUCT(PRODUCT(1+N14:$N$17))),4)</f>
        <v>1.0361</v>
      </c>
      <c r="V14" s="3160">
        <f>ROUND(IF(项目基本情况!$B$8="出让",SUMPRODUCT(PRODUCT(1+O14:$O$18)),SUMPRODUCT(PRODUCT(1+O14:$O$17))),4)</f>
        <v>1.0270999999999999</v>
      </c>
      <c r="W14" s="3160">
        <f t="shared" si="24"/>
        <v>1.0108999999999999</v>
      </c>
      <c r="X14" s="3158"/>
      <c r="Y14" s="3161">
        <f>IF(D14=0,0,ROUND(AVERAGE(D14:D18)/100,4))</f>
        <v>8.6E-3</v>
      </c>
      <c r="Z14" s="3161">
        <f t="shared" ref="Z14:AC14" si="29">IF(E14=0,0,ROUND(AVERAGE(E14:E18)/100,4))</f>
        <v>3.8999999999999998E-3</v>
      </c>
      <c r="AA14" s="3161">
        <f t="shared" si="29"/>
        <v>1.6999999999999999E-3</v>
      </c>
      <c r="AB14" s="3161">
        <f t="shared" si="29"/>
        <v>9.2999999999999992E-3</v>
      </c>
      <c r="AC14" s="3161">
        <f t="shared" si="29"/>
        <v>6.1000000000000004E-3</v>
      </c>
      <c r="AD14" s="3161">
        <f t="shared" si="7"/>
        <v>1.6999999999999999E-3</v>
      </c>
    </row>
    <row r="15" spans="1:30" s="3162" customFormat="1" ht="12.75">
      <c r="A15" s="3153" t="s">
        <v>2805</v>
      </c>
      <c r="B15" s="3154">
        <v>2021</v>
      </c>
      <c r="C15" s="3155">
        <v>4</v>
      </c>
      <c r="D15" s="3156">
        <v>1.03</v>
      </c>
      <c r="E15" s="3156">
        <v>0.24</v>
      </c>
      <c r="F15" s="3156">
        <v>7.0000000000000007E-2</v>
      </c>
      <c r="G15" s="3156">
        <v>1.17</v>
      </c>
      <c r="H15" s="3173">
        <v>0.55000000000000004</v>
      </c>
      <c r="I15" s="3157">
        <f t="shared" si="4"/>
        <v>7.0000000000000007E-2</v>
      </c>
      <c r="J15" s="3158"/>
      <c r="K15" s="3159">
        <f t="shared" si="5"/>
        <v>1.03E-2</v>
      </c>
      <c r="L15" s="3149">
        <f t="shared" si="5"/>
        <v>2.3999999999999998E-3</v>
      </c>
      <c r="M15" s="3149">
        <f t="shared" si="5"/>
        <v>7.000000000000001E-4</v>
      </c>
      <c r="N15" s="3149">
        <f t="shared" si="5"/>
        <v>1.1699999999999999E-2</v>
      </c>
      <c r="O15" s="3149">
        <f t="shared" si="5"/>
        <v>5.5000000000000005E-3</v>
      </c>
      <c r="P15" s="3149">
        <f t="shared" si="25"/>
        <v>7.000000000000001E-4</v>
      </c>
      <c r="Q15" s="3158"/>
      <c r="R15" s="3160">
        <f>ROUND(IF(项目基本情况!$B$8="出让",SUMPRODUCT(PRODUCT(1+K15:$K$18)),SUMPRODUCT(PRODUCT(1+K15:$K$17))),4)</f>
        <v>1.0244</v>
      </c>
      <c r="S15" s="3160">
        <f>ROUND(IF(项目基本情况!$B$8="出让",SUMPRODUCT(PRODUCT(1+L15:$L$18)),SUMPRODUCT(PRODUCT(1+L15:$L$17))),4)</f>
        <v>1.0138</v>
      </c>
      <c r="T15" s="3160">
        <f>ROUND(IF(项目基本情况!$B$8="出让",SUMPRODUCT(PRODUCT(1+M15:$M$18)),SUMPRODUCT(PRODUCT(1+M15:$M$17))),4)</f>
        <v>1.0072000000000001</v>
      </c>
      <c r="U15" s="3160">
        <f>ROUND(IF(项目基本情况!$B$8="出让",SUMPRODUCT(PRODUCT(1+N15:$N$18)),SUMPRODUCT(PRODUCT(1+N15:$N$17))),4)</f>
        <v>1.0262</v>
      </c>
      <c r="V15" s="3160">
        <f>ROUND(IF(项目基本情况!$B$8="出让",SUMPRODUCT(PRODUCT(1+O15:$O$18)),SUMPRODUCT(PRODUCT(1+O15:$O$17))),4)</f>
        <v>1.0205</v>
      </c>
      <c r="W15" s="3160">
        <f t="shared" si="24"/>
        <v>1.0072000000000001</v>
      </c>
      <c r="X15" s="3158"/>
      <c r="Y15" s="3161">
        <f>IF(D15=0,0,ROUND(AVERAGE(D15:D18)/100,4))</f>
        <v>8.5000000000000006E-3</v>
      </c>
      <c r="Z15" s="3161">
        <f t="shared" ref="Z15:AC15" si="30">IF(E15=0,0,ROUND(AVERAGE(E15:E18)/100,4))</f>
        <v>3.8E-3</v>
      </c>
      <c r="AA15" s="3161">
        <f t="shared" si="30"/>
        <v>1.1999999999999999E-3</v>
      </c>
      <c r="AB15" s="3161">
        <f t="shared" si="30"/>
        <v>9.2999999999999992E-3</v>
      </c>
      <c r="AC15" s="3161">
        <f t="shared" si="30"/>
        <v>6.0000000000000001E-3</v>
      </c>
      <c r="AD15" s="3161">
        <f t="shared" si="7"/>
        <v>1.1999999999999999E-3</v>
      </c>
    </row>
    <row r="16" spans="1:30" s="3162" customFormat="1" ht="12.75">
      <c r="A16" s="3153" t="s">
        <v>2806</v>
      </c>
      <c r="B16" s="3154">
        <v>2021</v>
      </c>
      <c r="C16" s="3155">
        <v>3</v>
      </c>
      <c r="D16" s="3156">
        <v>0.47</v>
      </c>
      <c r="E16" s="3156">
        <v>0.41</v>
      </c>
      <c r="F16" s="3156">
        <v>0.24</v>
      </c>
      <c r="G16" s="3156">
        <v>0.48</v>
      </c>
      <c r="H16" s="3173">
        <v>0.48</v>
      </c>
      <c r="I16" s="3157">
        <f t="shared" si="4"/>
        <v>0.24</v>
      </c>
      <c r="J16" s="3158"/>
      <c r="K16" s="3159">
        <f t="shared" si="5"/>
        <v>4.6999999999999993E-3</v>
      </c>
      <c r="L16" s="3149">
        <f t="shared" si="5"/>
        <v>4.0999999999999995E-3</v>
      </c>
      <c r="M16" s="3149">
        <f t="shared" si="5"/>
        <v>2.3999999999999998E-3</v>
      </c>
      <c r="N16" s="3149">
        <f t="shared" si="5"/>
        <v>4.7999999999999996E-3</v>
      </c>
      <c r="O16" s="3149">
        <f t="shared" si="5"/>
        <v>4.7999999999999996E-3</v>
      </c>
      <c r="P16" s="3149">
        <f t="shared" si="25"/>
        <v>2.3999999999999998E-3</v>
      </c>
      <c r="Q16" s="3158"/>
      <c r="R16" s="3160">
        <f>ROUND(IF(项目基本情况!$B$8="出让",SUMPRODUCT(PRODUCT(1+K16:$K$18)),SUMPRODUCT(PRODUCT(1+K16:$K$17))),4)</f>
        <v>1.0139</v>
      </c>
      <c r="S16" s="3160">
        <f>ROUND(IF(项目基本情况!$B$8="出让",SUMPRODUCT(PRODUCT(1+L16:$L$18)),SUMPRODUCT(PRODUCT(1+L16:$L$17))),4)</f>
        <v>1.0113000000000001</v>
      </c>
      <c r="T16" s="3160">
        <f>ROUND(IF(项目基本情况!$B$8="出让",SUMPRODUCT(PRODUCT(1+M16:$M$18)),SUMPRODUCT(PRODUCT(1+M16:$M$17))),4)</f>
        <v>1.0065</v>
      </c>
      <c r="U16" s="3160">
        <f>ROUND(IF(项目基本情况!$B$8="出让",SUMPRODUCT(PRODUCT(1+N16:$N$18)),SUMPRODUCT(PRODUCT(1+N16:$N$17))),4)</f>
        <v>1.0143</v>
      </c>
      <c r="V16" s="3160">
        <f>ROUND(IF(项目基本情况!$B$8="出让",SUMPRODUCT(PRODUCT(1+O16:$O$18)),SUMPRODUCT(PRODUCT(1+O16:$O$17))),4)</f>
        <v>1.0148999999999999</v>
      </c>
      <c r="W16" s="3160">
        <f t="shared" si="24"/>
        <v>1.0065</v>
      </c>
      <c r="X16" s="3158"/>
      <c r="Y16" s="3161">
        <f>IF(D16=0,0,ROUND(AVERAGE(D16:D18)/100,4))</f>
        <v>7.9000000000000008E-3</v>
      </c>
      <c r="Z16" s="3161">
        <f>IF(E16=0,0,ROUND(AVERAGE(E16:E18)/100,4))</f>
        <v>4.3E-3</v>
      </c>
      <c r="AA16" s="3161">
        <f>IF(F16=0,0,ROUND(AVERAGE(F16:F18)/100,4))</f>
        <v>1.2999999999999999E-3</v>
      </c>
      <c r="AB16" s="3161">
        <f>IF(G16=0,0,ROUND(AVERAGE(G16:G18)/100,4))</f>
        <v>8.5000000000000006E-3</v>
      </c>
      <c r="AC16" s="3161">
        <f>IF(H16=0,0,ROUND(AVERAGE(H16:H18)/100,4))</f>
        <v>6.1999999999999998E-3</v>
      </c>
      <c r="AD16" s="3161">
        <f t="shared" si="7"/>
        <v>1.2999999999999999E-3</v>
      </c>
    </row>
    <row r="17" spans="1:30" s="3162" customFormat="1" ht="12.75">
      <c r="A17" s="3153" t="s">
        <v>2807</v>
      </c>
      <c r="B17" s="3154">
        <v>2021</v>
      </c>
      <c r="C17" s="3155">
        <v>2</v>
      </c>
      <c r="D17" s="3156">
        <v>0.92</v>
      </c>
      <c r="E17" s="3156">
        <v>0.72</v>
      </c>
      <c r="F17" s="3156">
        <v>0.41</v>
      </c>
      <c r="G17" s="3156">
        <v>0.95</v>
      </c>
      <c r="H17" s="3173">
        <v>1.01</v>
      </c>
      <c r="I17" s="3157">
        <f t="shared" si="4"/>
        <v>0.41</v>
      </c>
      <c r="J17" s="3158"/>
      <c r="K17" s="3159">
        <f t="shared" si="5"/>
        <v>9.1999999999999998E-3</v>
      </c>
      <c r="L17" s="3149">
        <f t="shared" si="5"/>
        <v>7.1999999999999998E-3</v>
      </c>
      <c r="M17" s="3149">
        <f t="shared" si="5"/>
        <v>4.0999999999999995E-3</v>
      </c>
      <c r="N17" s="3149">
        <f t="shared" si="5"/>
        <v>9.4999999999999998E-3</v>
      </c>
      <c r="O17" s="3149">
        <f t="shared" si="5"/>
        <v>1.01E-2</v>
      </c>
      <c r="P17" s="3149">
        <f t="shared" si="25"/>
        <v>4.0999999999999995E-3</v>
      </c>
      <c r="Q17" s="3158"/>
      <c r="R17" s="3160">
        <f>ROUND(IF(项目基本情况!$B$8="出让",SUMPRODUCT(PRODUCT(1+K17:$K$18)),SUMPRODUCT(PRODUCT(1+K17:$K$17))),4)</f>
        <v>1.0092000000000001</v>
      </c>
      <c r="S17" s="3160">
        <f>ROUND(IF(项目基本情况!$B$8="出让",SUMPRODUCT(PRODUCT(1+L17:$L$18)),SUMPRODUCT(PRODUCT(1+L17:$L$17))),4)</f>
        <v>1.0072000000000001</v>
      </c>
      <c r="T17" s="3160">
        <f>ROUND(IF(项目基本情况!$B$8="出让",SUMPRODUCT(PRODUCT(1+M17:$M$18)),SUMPRODUCT(PRODUCT(1+M17:$M$17))),4)</f>
        <v>1.0041</v>
      </c>
      <c r="U17" s="3160">
        <f>ROUND(IF(项目基本情况!$B$8="出让",SUMPRODUCT(PRODUCT(1+N17:$N$18)),SUMPRODUCT(PRODUCT(1+N17:$N$17))),4)</f>
        <v>1.0095000000000001</v>
      </c>
      <c r="V17" s="3160">
        <f>ROUND(IF(项目基本情况!$B$8="出让",SUMPRODUCT(PRODUCT(1+O17:$O$18)),SUMPRODUCT(PRODUCT(1+O17:$O$17))),4)</f>
        <v>1.0101</v>
      </c>
      <c r="W17" s="3160">
        <f t="shared" si="24"/>
        <v>1.0041</v>
      </c>
      <c r="X17" s="3158"/>
      <c r="Y17" s="3161">
        <f>IF(D17=0,0,ROUND(AVERAGE(D17:D18)/100,4))</f>
        <v>9.4999999999999998E-3</v>
      </c>
      <c r="Z17" s="3161">
        <f>IF(E17=0,0,ROUND(AVERAGE(E17:E18)/100,4))</f>
        <v>4.4000000000000003E-3</v>
      </c>
      <c r="AA17" s="3161">
        <f>IF(F17=0,0,ROUND(AVERAGE(F17:F18)/100,4))</f>
        <v>8.0000000000000004E-4</v>
      </c>
      <c r="AB17" s="3161">
        <f>IF(G17=0,0,ROUND(AVERAGE(G17:G18)/100,4))</f>
        <v>1.03E-2</v>
      </c>
      <c r="AC17" s="3161">
        <f>IF(H17=0,0,ROUND(AVERAGE(H17:H18)/100,4))</f>
        <v>6.8999999999999999E-3</v>
      </c>
      <c r="AD17" s="3161">
        <f t="shared" si="7"/>
        <v>8.0000000000000004E-4</v>
      </c>
    </row>
    <row r="18" spans="1:30" s="3184" customFormat="1" thickBot="1">
      <c r="A18" s="3174" t="s">
        <v>2808</v>
      </c>
      <c r="B18" s="3175">
        <v>2021</v>
      </c>
      <c r="C18" s="3176">
        <v>1</v>
      </c>
      <c r="D18" s="3177">
        <v>0.97</v>
      </c>
      <c r="E18" s="3177">
        <v>0.16</v>
      </c>
      <c r="F18" s="3177">
        <v>-0.25</v>
      </c>
      <c r="G18" s="3177">
        <v>1.1100000000000001</v>
      </c>
      <c r="H18" s="3178">
        <v>0.36</v>
      </c>
      <c r="I18" s="3179">
        <f t="shared" si="4"/>
        <v>-0.25</v>
      </c>
      <c r="J18" s="3180"/>
      <c r="K18" s="3181">
        <f t="shared" si="5"/>
        <v>9.7000000000000003E-3</v>
      </c>
      <c r="L18" s="3182">
        <f t="shared" si="5"/>
        <v>1.6000000000000001E-3</v>
      </c>
      <c r="M18" s="3182">
        <f>F18/100</f>
        <v>-2.5000000000000001E-3</v>
      </c>
      <c r="N18" s="3182">
        <f t="shared" si="5"/>
        <v>1.11E-2</v>
      </c>
      <c r="O18" s="3182">
        <f t="shared" si="5"/>
        <v>3.5999999999999999E-3</v>
      </c>
      <c r="P18" s="3182">
        <f t="shared" si="25"/>
        <v>-2.5000000000000001E-3</v>
      </c>
      <c r="Q18" s="3180"/>
      <c r="R18" s="3183">
        <v>1</v>
      </c>
      <c r="S18" s="3183">
        <v>1</v>
      </c>
      <c r="T18" s="3183">
        <v>1</v>
      </c>
      <c r="U18" s="3183">
        <v>1</v>
      </c>
      <c r="V18" s="3183">
        <v>1</v>
      </c>
      <c r="W18" s="3183">
        <f t="shared" ref="W18" si="31">T18</f>
        <v>1</v>
      </c>
      <c r="X18" s="3180"/>
      <c r="Y18" s="3182">
        <f>IF(D18=0,0,ROUND(AVERAGE(D18:D18)/100,4))</f>
        <v>9.7000000000000003E-3</v>
      </c>
      <c r="Z18" s="3182">
        <f>IF(E18=0,0,ROUND(AVERAGE(E18:E18)/100,4))</f>
        <v>1.6000000000000001E-3</v>
      </c>
      <c r="AA18" s="3182">
        <f>IF(F18=0,0,ROUND(AVERAGE(F18:F18)/100,4))</f>
        <v>-2.5000000000000001E-3</v>
      </c>
      <c r="AB18" s="3182">
        <f>IF(G18=0,0,ROUND(AVERAGE(G18:G18)/100,4))</f>
        <v>1.11E-2</v>
      </c>
      <c r="AC18" s="3182">
        <f>IF(H18=0,0,ROUND(AVERAGE(H18:H18)/100,4))</f>
        <v>3.5999999999999999E-3</v>
      </c>
      <c r="AD18" s="3182">
        <f>AA18</f>
        <v>-2.5000000000000001E-3</v>
      </c>
    </row>
    <row r="19" spans="1:30" s="2986" customFormat="1" ht="14.25" thickTop="1"/>
    <row r="20" spans="1:30" s="2986" customFormat="1">
      <c r="A20" s="3425" t="s">
        <v>3350</v>
      </c>
    </row>
    <row r="21" spans="1:30" s="2986" customFormat="1">
      <c r="I21" s="3185" t="s">
        <v>2809</v>
      </c>
    </row>
    <row r="22" spans="1:30" s="2986" customFormat="1"/>
    <row r="23" spans="1:30" s="3186" customFormat="1" ht="12.75">
      <c r="B23" s="3187" t="s">
        <v>3357</v>
      </c>
      <c r="C23" s="3188"/>
      <c r="D23" s="3188"/>
      <c r="E23" s="3188"/>
      <c r="F23" s="3188"/>
      <c r="G23" s="3188"/>
      <c r="H23" s="3188"/>
      <c r="I23" s="3188"/>
      <c r="J23" s="3142"/>
      <c r="K23" s="3188" t="s">
        <v>2810</v>
      </c>
      <c r="L23" s="3188"/>
      <c r="M23" s="3188"/>
      <c r="N23" s="3188"/>
      <c r="O23" s="3188"/>
      <c r="P23" s="3188"/>
      <c r="Q23" s="3142"/>
      <c r="R23" s="4003" t="s">
        <v>2811</v>
      </c>
      <c r="S23" s="4004"/>
      <c r="T23" s="4004"/>
      <c r="U23" s="4004"/>
      <c r="V23" s="4004"/>
      <c r="W23" s="4004"/>
      <c r="X23" s="3142"/>
      <c r="Y23" s="4003" t="s">
        <v>2812</v>
      </c>
      <c r="Z23" s="4004"/>
      <c r="AA23" s="4004"/>
      <c r="AB23" s="4004"/>
      <c r="AC23" s="4004"/>
      <c r="AD23" s="4004"/>
    </row>
    <row r="24" spans="1:30" s="3120" customFormat="1" ht="14.25" thickBot="1">
      <c r="B24" s="3121"/>
      <c r="C24" s="3122"/>
      <c r="D24" s="3123" t="s">
        <v>2813</v>
      </c>
      <c r="E24" s="3124" t="s">
        <v>2814</v>
      </c>
      <c r="F24" s="3124" t="s">
        <v>2815</v>
      </c>
      <c r="G24" s="3124" t="s">
        <v>2816</v>
      </c>
      <c r="H24" s="3124"/>
      <c r="I24" s="3124" t="s">
        <v>2817</v>
      </c>
      <c r="J24" s="3125"/>
      <c r="K24" s="3123" t="s">
        <v>2813</v>
      </c>
      <c r="L24" s="3124" t="s">
        <v>2814</v>
      </c>
      <c r="M24" s="3124" t="s">
        <v>2815</v>
      </c>
      <c r="N24" s="3124" t="s">
        <v>2816</v>
      </c>
      <c r="O24" s="3124"/>
      <c r="P24" s="3124" t="s">
        <v>2817</v>
      </c>
      <c r="Q24" s="3125"/>
      <c r="R24" s="3123" t="s">
        <v>2813</v>
      </c>
      <c r="S24" s="3124" t="s">
        <v>2814</v>
      </c>
      <c r="T24" s="3124" t="s">
        <v>2815</v>
      </c>
      <c r="U24" s="3124" t="s">
        <v>2816</v>
      </c>
      <c r="V24" s="3124"/>
      <c r="W24" s="3124" t="s">
        <v>2817</v>
      </c>
      <c r="X24" s="3125"/>
      <c r="Y24" s="3123" t="s">
        <v>2813</v>
      </c>
      <c r="Z24" s="3124" t="s">
        <v>2814</v>
      </c>
      <c r="AA24" s="3124" t="s">
        <v>2815</v>
      </c>
      <c r="AB24" s="3124" t="s">
        <v>2816</v>
      </c>
      <c r="AC24" s="3124"/>
      <c r="AD24" s="3124" t="s">
        <v>2817</v>
      </c>
    </row>
    <row r="25" spans="1:30" s="3138" customFormat="1" ht="12.75">
      <c r="A25" s="3126" t="s">
        <v>2818</v>
      </c>
      <c r="B25" s="3127"/>
      <c r="C25" s="3128"/>
      <c r="D25" s="3128"/>
      <c r="E25" s="3128">
        <f t="shared" ref="E25:G25" si="32">ROUND(AVERAGEIF(E26:E40,"&lt;&gt;0"),2)</f>
        <v>0.42</v>
      </c>
      <c r="F25" s="3128">
        <f t="shared" si="32"/>
        <v>0.3</v>
      </c>
      <c r="G25" s="3128">
        <f t="shared" si="32"/>
        <v>0.73</v>
      </c>
      <c r="H25" s="3128"/>
      <c r="I25" s="3128">
        <f>F25</f>
        <v>0.3</v>
      </c>
      <c r="J25" s="3129"/>
      <c r="K25" s="3130"/>
      <c r="L25" s="3131">
        <f t="shared" ref="L25:N25" si="33">ROUND(AVERAGEIF(L26:L40,"&lt;&gt;0"),4)</f>
        <v>4.1999999999999997E-3</v>
      </c>
      <c r="M25" s="3131">
        <f t="shared" si="33"/>
        <v>3.0000000000000001E-3</v>
      </c>
      <c r="N25" s="3131">
        <f t="shared" si="33"/>
        <v>7.3000000000000001E-3</v>
      </c>
      <c r="O25" s="3131"/>
      <c r="P25" s="3131">
        <f>M25</f>
        <v>3.0000000000000001E-3</v>
      </c>
      <c r="Q25" s="3129"/>
      <c r="R25" s="3132"/>
      <c r="S25" s="3133">
        <f>ROUND(SUMPRODUCT(PRODUCT(1+L26:L40)),4)</f>
        <v>1.0468</v>
      </c>
      <c r="T25" s="3133">
        <f t="shared" ref="T25:U25" si="34">ROUND(SUMPRODUCT(PRODUCT(1+M26:M40)),4)</f>
        <v>1.0337000000000001</v>
      </c>
      <c r="U25" s="3133">
        <f t="shared" si="34"/>
        <v>1.0828</v>
      </c>
      <c r="V25" s="3133"/>
      <c r="W25" s="3132">
        <f>T25</f>
        <v>1.0337000000000001</v>
      </c>
      <c r="X25" s="3129"/>
      <c r="Y25" s="3134"/>
      <c r="Z25" s="3135">
        <f t="shared" ref="Z25:AB25" si="35">ROUND(AVERAGEIF(Z26:Z40,"&lt;&gt;0"),4)</f>
        <v>4.3E-3</v>
      </c>
      <c r="AA25" s="3136">
        <f t="shared" si="35"/>
        <v>3.5999999999999999E-3</v>
      </c>
      <c r="AB25" s="3134">
        <f t="shared" si="35"/>
        <v>8.8999999999999999E-3</v>
      </c>
      <c r="AC25" s="3137"/>
      <c r="AD25" s="3134">
        <f>AA25</f>
        <v>3.5999999999999999E-3</v>
      </c>
    </row>
    <row r="26" spans="1:30" s="3139" customFormat="1" ht="12.75">
      <c r="B26" s="3140"/>
      <c r="C26" s="3141"/>
      <c r="D26" s="3141"/>
      <c r="E26" s="3141"/>
      <c r="F26" s="3141"/>
      <c r="G26" s="3141"/>
      <c r="H26" s="3141"/>
      <c r="I26" s="3141"/>
      <c r="J26" s="3142"/>
      <c r="K26" s="3143"/>
      <c r="L26" s="3144"/>
      <c r="M26" s="3144"/>
      <c r="N26" s="3144"/>
      <c r="O26" s="3144"/>
      <c r="P26" s="3144"/>
      <c r="Q26" s="3142"/>
      <c r="R26" s="3145"/>
      <c r="S26" s="3146"/>
      <c r="T26" s="3147"/>
      <c r="U26" s="3145"/>
      <c r="V26" s="3148"/>
      <c r="W26" s="3145"/>
      <c r="X26" s="3142"/>
      <c r="Y26" s="3149"/>
      <c r="Z26" s="3150"/>
      <c r="AA26" s="3151"/>
      <c r="AB26" s="3149"/>
      <c r="AC26" s="3152"/>
      <c r="AD26" s="3149"/>
    </row>
    <row r="27" spans="1:30" s="3162" customFormat="1" ht="12.75">
      <c r="A27" s="2205" t="s">
        <v>3360</v>
      </c>
      <c r="B27" s="3154">
        <v>2023</v>
      </c>
      <c r="C27" s="3155">
        <v>4</v>
      </c>
      <c r="D27" s="3156"/>
      <c r="E27" s="3156">
        <v>0</v>
      </c>
      <c r="F27" s="3156">
        <v>0</v>
      </c>
      <c r="G27" s="3156">
        <v>0</v>
      </c>
      <c r="H27" s="3156"/>
      <c r="I27" s="3157">
        <f t="shared" ref="I27:I40" si="36">F27</f>
        <v>0</v>
      </c>
      <c r="J27" s="3158"/>
      <c r="K27" s="3159"/>
      <c r="L27" s="3149">
        <f t="shared" ref="L27:N40" si="37">E27/100</f>
        <v>0</v>
      </c>
      <c r="M27" s="3149">
        <f t="shared" si="37"/>
        <v>0</v>
      </c>
      <c r="N27" s="3149">
        <f t="shared" si="37"/>
        <v>0</v>
      </c>
      <c r="O27" s="3149"/>
      <c r="P27" s="3149">
        <f>M27</f>
        <v>0</v>
      </c>
      <c r="Q27" s="3158"/>
      <c r="R27" s="3160"/>
      <c r="S27" s="3160">
        <f>ROUND(IF(项目基本情况!$B$8="出让",SUMPRODUCT(PRODUCT(1+L27:L$40)),SUMPRODUCT(PRODUCT(1+L27:L$39))),4)</f>
        <v>1.0431999999999999</v>
      </c>
      <c r="T27" s="3160">
        <f>ROUND(IF(项目基本情况!$B$8="出让",SUMPRODUCT(PRODUCT(1+M27:M$40)),SUMPRODUCT(PRODUCT(1+M27:M$39))),4)</f>
        <v>1.0286999999999999</v>
      </c>
      <c r="U27" s="3160">
        <f>ROUND(IF(项目基本情况!$B$8="出让",SUMPRODUCT(PRODUCT(1+N27:N$40)),SUMPRODUCT(PRODUCT(1+N27:N$39))),4)</f>
        <v>1.0723</v>
      </c>
      <c r="V27" s="3160"/>
      <c r="W27" s="3160">
        <f>T27</f>
        <v>1.0286999999999999</v>
      </c>
      <c r="X27" s="3158"/>
      <c r="Y27" s="3161"/>
      <c r="Z27" s="3189">
        <f>IF(E27=0,0,ROUND(AVERAGE(E27:E40)/100,4))</f>
        <v>0</v>
      </c>
      <c r="AA27" s="3189">
        <f>IF(F27=0,0,ROUND(AVERAGE(F27:F40)/100,4))</f>
        <v>0</v>
      </c>
      <c r="AB27" s="3189">
        <f>IF(G27=0,0,ROUND(AVERAGE(G27:G40)/100,4))</f>
        <v>0</v>
      </c>
      <c r="AC27" s="3190"/>
      <c r="AD27" s="3161">
        <f>IF(I27=0,0,ROUND(AVERAGE(I27:I40)/100,4))</f>
        <v>0</v>
      </c>
    </row>
    <row r="28" spans="1:30" s="3162" customFormat="1" ht="12.75">
      <c r="A28" s="2205" t="s">
        <v>3361</v>
      </c>
      <c r="B28" s="3154">
        <v>2023</v>
      </c>
      <c r="C28" s="3155">
        <v>3</v>
      </c>
      <c r="D28" s="3156"/>
      <c r="E28" s="3156">
        <v>0</v>
      </c>
      <c r="F28" s="3156">
        <v>0</v>
      </c>
      <c r="G28" s="3156">
        <v>0</v>
      </c>
      <c r="H28" s="3156"/>
      <c r="I28" s="3157">
        <f t="shared" ref="I28:I29" si="38">F28</f>
        <v>0</v>
      </c>
      <c r="J28" s="3158"/>
      <c r="K28" s="3159"/>
      <c r="L28" s="3149">
        <f t="shared" ref="L28" si="39">E28/100</f>
        <v>0</v>
      </c>
      <c r="M28" s="3149">
        <f t="shared" ref="M28" si="40">F28/100</f>
        <v>0</v>
      </c>
      <c r="N28" s="3149">
        <f t="shared" ref="N28" si="41">G28/100</f>
        <v>0</v>
      </c>
      <c r="O28" s="3149"/>
      <c r="P28" s="3149">
        <f t="shared" ref="P28" si="42">M28</f>
        <v>0</v>
      </c>
      <c r="Q28" s="3158"/>
      <c r="R28" s="3160"/>
      <c r="S28" s="3160">
        <f>ROUND(IF(项目基本情况!$B$8="出让",SUMPRODUCT(PRODUCT(1+L28:L$40)),SUMPRODUCT(PRODUCT(1+L28:L$39))),4)</f>
        <v>1.0431999999999999</v>
      </c>
      <c r="T28" s="3160">
        <f>ROUND(IF(项目基本情况!$B$8="出让",SUMPRODUCT(PRODUCT(1+M28:M$40)),SUMPRODUCT(PRODUCT(1+M28:M$39))),4)</f>
        <v>1.0286999999999999</v>
      </c>
      <c r="U28" s="3160">
        <f>ROUND(IF(项目基本情况!$B$8="出让",SUMPRODUCT(PRODUCT(1+N28:N$40)),SUMPRODUCT(PRODUCT(1+N28:N$39))),4)</f>
        <v>1.0723</v>
      </c>
      <c r="V28" s="3160"/>
      <c r="W28" s="3160">
        <f t="shared" ref="W28" si="43">T28</f>
        <v>1.0286999999999999</v>
      </c>
      <c r="X28" s="3158"/>
      <c r="Y28" s="3161"/>
      <c r="Z28" s="3189"/>
      <c r="AA28" s="3191"/>
      <c r="AB28" s="3161"/>
      <c r="AC28" s="3190"/>
      <c r="AD28" s="3161"/>
    </row>
    <row r="29" spans="1:30" s="3162" customFormat="1" ht="12.75">
      <c r="A29" s="2205" t="s">
        <v>3362</v>
      </c>
      <c r="B29" s="3154">
        <v>2023</v>
      </c>
      <c r="C29" s="3155">
        <v>3</v>
      </c>
      <c r="D29" s="3156"/>
      <c r="E29" s="3156">
        <v>0</v>
      </c>
      <c r="F29" s="3156">
        <v>0</v>
      </c>
      <c r="G29" s="3156">
        <v>0</v>
      </c>
      <c r="H29" s="3156"/>
      <c r="I29" s="3157">
        <f t="shared" si="38"/>
        <v>0</v>
      </c>
      <c r="J29" s="3158"/>
      <c r="K29" s="3159"/>
      <c r="L29" s="3149">
        <f t="shared" si="37"/>
        <v>0</v>
      </c>
      <c r="M29" s="3149">
        <f t="shared" si="37"/>
        <v>0</v>
      </c>
      <c r="N29" s="3149">
        <f t="shared" si="37"/>
        <v>0</v>
      </c>
      <c r="O29" s="3149"/>
      <c r="P29" s="3149">
        <f t="shared" ref="P29" si="44">M29</f>
        <v>0</v>
      </c>
      <c r="Q29" s="3158"/>
      <c r="R29" s="3160"/>
      <c r="S29" s="3160">
        <f>ROUND(IF(项目基本情况!$B$8="出让",SUMPRODUCT(PRODUCT(1+L29:L$40)),SUMPRODUCT(PRODUCT(1+L29:L$39))),4)</f>
        <v>1.0431999999999999</v>
      </c>
      <c r="T29" s="3160">
        <f>ROUND(IF(项目基本情况!$B$8="出让",SUMPRODUCT(PRODUCT(1+M29:M$40)),SUMPRODUCT(PRODUCT(1+M29:M$39))),4)</f>
        <v>1.0286999999999999</v>
      </c>
      <c r="U29" s="3160">
        <f>ROUND(IF(项目基本情况!$B$8="出让",SUMPRODUCT(PRODUCT(1+N29:N$40)),SUMPRODUCT(PRODUCT(1+N29:N$39))),4)</f>
        <v>1.0723</v>
      </c>
      <c r="V29" s="3160"/>
      <c r="W29" s="3160">
        <f t="shared" ref="W29" si="45">T29</f>
        <v>1.0286999999999999</v>
      </c>
      <c r="X29" s="3158"/>
      <c r="Y29" s="3161"/>
      <c r="Z29" s="3189"/>
      <c r="AA29" s="3191"/>
      <c r="AB29" s="3161"/>
      <c r="AC29" s="3190"/>
      <c r="AD29" s="3161"/>
    </row>
    <row r="30" spans="1:30" s="3172" customFormat="1" ht="12.75">
      <c r="A30" s="3163" t="s">
        <v>3358</v>
      </c>
      <c r="B30" s="3164">
        <v>2023</v>
      </c>
      <c r="C30" s="3165">
        <v>3</v>
      </c>
      <c r="D30" s="3166"/>
      <c r="E30" s="3166">
        <v>0.35</v>
      </c>
      <c r="F30" s="3166">
        <v>0.17</v>
      </c>
      <c r="G30" s="3166">
        <v>0.52</v>
      </c>
      <c r="H30" s="3167"/>
      <c r="I30" s="3168">
        <f t="shared" si="36"/>
        <v>0.17</v>
      </c>
      <c r="J30" s="3169"/>
      <c r="K30" s="3170"/>
      <c r="L30" s="3171">
        <f t="shared" ref="L30:L32" si="46">E30/100</f>
        <v>3.4999999999999996E-3</v>
      </c>
      <c r="M30" s="3171">
        <f t="shared" ref="M30:M32" si="47">F30/100</f>
        <v>1.7000000000000001E-3</v>
      </c>
      <c r="N30" s="3171">
        <f t="shared" ref="N30:N32" si="48">G30/100</f>
        <v>5.1999999999999998E-3</v>
      </c>
      <c r="O30" s="3171"/>
      <c r="P30" s="3171">
        <f t="shared" ref="P30:P32" si="49">M30</f>
        <v>1.7000000000000001E-3</v>
      </c>
      <c r="Q30" s="3169"/>
      <c r="R30" s="3169"/>
      <c r="S30" s="3169">
        <f>ROUND(IF(项目基本情况!$B$8="出让",SUMPRODUCT(PRODUCT(1+L30:L$40)),SUMPRODUCT(PRODUCT(1+L30:L$39))),4)</f>
        <v>1.0431999999999999</v>
      </c>
      <c r="T30" s="3169">
        <f>ROUND(IF(项目基本情况!$B$8="出让",SUMPRODUCT(PRODUCT(1+M30:M$40)),SUMPRODUCT(PRODUCT(1+M30:M$39))),4)</f>
        <v>1.0286999999999999</v>
      </c>
      <c r="U30" s="3169">
        <f>ROUND(IF(项目基本情况!$B$8="出让",SUMPRODUCT(PRODUCT(1+N30:N$40)),SUMPRODUCT(PRODUCT(1+N30:N$39))),4)</f>
        <v>1.0723</v>
      </c>
      <c r="V30" s="3169"/>
      <c r="W30" s="3169">
        <f t="shared" ref="W30:W32" si="50">T30</f>
        <v>1.0286999999999999</v>
      </c>
      <c r="X30" s="3169"/>
      <c r="Y30" s="3171"/>
      <c r="Z30" s="3192"/>
      <c r="AA30" s="3193"/>
      <c r="AB30" s="3171"/>
      <c r="AC30" s="3194"/>
      <c r="AD30" s="3171"/>
    </row>
    <row r="31" spans="1:30" s="3162" customFormat="1" ht="12.75">
      <c r="A31" s="3153" t="s">
        <v>3359</v>
      </c>
      <c r="B31" s="3154">
        <v>2023</v>
      </c>
      <c r="C31" s="3155">
        <v>2</v>
      </c>
      <c r="D31" s="3156"/>
      <c r="E31" s="3156">
        <v>0.5</v>
      </c>
      <c r="F31" s="3156">
        <v>0.45</v>
      </c>
      <c r="G31" s="3156">
        <v>0.89</v>
      </c>
      <c r="H31" s="3173"/>
      <c r="I31" s="3157">
        <f t="shared" si="36"/>
        <v>0.45</v>
      </c>
      <c r="J31" s="3158"/>
      <c r="K31" s="3159"/>
      <c r="L31" s="3149">
        <f t="shared" si="46"/>
        <v>5.0000000000000001E-3</v>
      </c>
      <c r="M31" s="3149">
        <f t="shared" si="47"/>
        <v>4.5000000000000005E-3</v>
      </c>
      <c r="N31" s="3149">
        <f t="shared" si="48"/>
        <v>8.8999999999999999E-3</v>
      </c>
      <c r="O31" s="3149"/>
      <c r="P31" s="3149">
        <f t="shared" si="49"/>
        <v>4.5000000000000005E-3</v>
      </c>
      <c r="Q31" s="3158"/>
      <c r="R31" s="3160"/>
      <c r="S31" s="3160">
        <f>ROUND(IF(项目基本情况!$B$8="出让",SUMPRODUCT(PRODUCT(1+L31:L$40)),SUMPRODUCT(PRODUCT(1+L31:L$39))),4)</f>
        <v>1.0396000000000001</v>
      </c>
      <c r="T31" s="3160">
        <f>ROUND(IF(项目基本情况!$B$8="出让",SUMPRODUCT(PRODUCT(1+M31:M$40)),SUMPRODUCT(PRODUCT(1+M31:M$39))),4)</f>
        <v>1.0269999999999999</v>
      </c>
      <c r="U31" s="3160">
        <f>ROUND(IF(项目基本情况!$B$8="出让",SUMPRODUCT(PRODUCT(1+N31:N$40)),SUMPRODUCT(PRODUCT(1+N31:N$39))),4)</f>
        <v>1.0668</v>
      </c>
      <c r="V31" s="3160"/>
      <c r="W31" s="3160">
        <f t="shared" si="50"/>
        <v>1.0269999999999999</v>
      </c>
      <c r="X31" s="3158"/>
      <c r="Y31" s="3161"/>
      <c r="Z31" s="3189"/>
      <c r="AA31" s="3191"/>
      <c r="AB31" s="3161"/>
      <c r="AC31" s="3190"/>
      <c r="AD31" s="3161"/>
    </row>
    <row r="32" spans="1:30" s="3162" customFormat="1" ht="12.75">
      <c r="A32" s="3153" t="s">
        <v>3353</v>
      </c>
      <c r="B32" s="3154">
        <v>2023</v>
      </c>
      <c r="C32" s="3155">
        <v>1</v>
      </c>
      <c r="D32" s="3156"/>
      <c r="E32" s="3156">
        <v>0.55000000000000004</v>
      </c>
      <c r="F32" s="3156">
        <v>0.59</v>
      </c>
      <c r="G32" s="3156">
        <v>0.64</v>
      </c>
      <c r="H32" s="3173"/>
      <c r="I32" s="3157">
        <f t="shared" si="36"/>
        <v>0.59</v>
      </c>
      <c r="J32" s="3158"/>
      <c r="K32" s="3159"/>
      <c r="L32" s="3149">
        <f t="shared" si="46"/>
        <v>5.5000000000000005E-3</v>
      </c>
      <c r="M32" s="3149">
        <f t="shared" si="47"/>
        <v>5.8999999999999999E-3</v>
      </c>
      <c r="N32" s="3149">
        <f t="shared" si="48"/>
        <v>6.4000000000000003E-3</v>
      </c>
      <c r="O32" s="3149"/>
      <c r="P32" s="3149">
        <f t="shared" si="49"/>
        <v>5.8999999999999999E-3</v>
      </c>
      <c r="Q32" s="3158"/>
      <c r="R32" s="3160"/>
      <c r="S32" s="3160">
        <f>ROUND(IF(项目基本情况!$B$8="出让",SUMPRODUCT(PRODUCT(1+L32:L$40)),SUMPRODUCT(PRODUCT(1+L32:L$39))),4)</f>
        <v>1.0344</v>
      </c>
      <c r="T32" s="3160">
        <f>ROUND(IF(项目基本情况!$B$8="出让",SUMPRODUCT(PRODUCT(1+M32:M$40)),SUMPRODUCT(PRODUCT(1+M32:M$39))),4)</f>
        <v>1.0224</v>
      </c>
      <c r="U32" s="3160">
        <f>ROUND(IF(项目基本情况!$B$8="出让",SUMPRODUCT(PRODUCT(1+N32:N$40)),SUMPRODUCT(PRODUCT(1+N32:N$39))),4)</f>
        <v>1.0573999999999999</v>
      </c>
      <c r="V32" s="3160"/>
      <c r="W32" s="3160">
        <f t="shared" si="50"/>
        <v>1.0224</v>
      </c>
      <c r="X32" s="3158"/>
      <c r="Y32" s="3161"/>
      <c r="Z32" s="3189"/>
      <c r="AA32" s="3191"/>
      <c r="AB32" s="3161"/>
      <c r="AC32" s="3190"/>
      <c r="AD32" s="3161"/>
    </row>
    <row r="33" spans="1:30" s="3162" customFormat="1" ht="12.75">
      <c r="A33" s="3153" t="s">
        <v>3352</v>
      </c>
      <c r="B33" s="3154">
        <v>2022</v>
      </c>
      <c r="C33" s="3155">
        <v>4</v>
      </c>
      <c r="D33" s="3156"/>
      <c r="E33" s="3156">
        <v>0.45</v>
      </c>
      <c r="F33" s="3156">
        <v>0.2</v>
      </c>
      <c r="G33" s="3156">
        <v>0.38</v>
      </c>
      <c r="H33" s="3173"/>
      <c r="I33" s="3157">
        <f t="shared" si="36"/>
        <v>0.2</v>
      </c>
      <c r="J33" s="3158"/>
      <c r="K33" s="3159"/>
      <c r="L33" s="3149">
        <f t="shared" si="37"/>
        <v>4.5000000000000005E-3</v>
      </c>
      <c r="M33" s="3149">
        <f t="shared" si="37"/>
        <v>2E-3</v>
      </c>
      <c r="N33" s="3149">
        <f t="shared" si="37"/>
        <v>3.8E-3</v>
      </c>
      <c r="O33" s="3149"/>
      <c r="P33" s="3149">
        <f t="shared" ref="P33:P40" si="51">M33</f>
        <v>2E-3</v>
      </c>
      <c r="Q33" s="3158"/>
      <c r="R33" s="3160"/>
      <c r="S33" s="3160">
        <f>ROUND(IF(项目基本情况!$B$8="出让",SUMPRODUCT(PRODUCT(1+L33:L$40)),SUMPRODUCT(PRODUCT(1+L33:L$39))),4)</f>
        <v>1.0286999999999999</v>
      </c>
      <c r="T33" s="3160">
        <f>ROUND(IF(项目基本情况!$B$8="出让",SUMPRODUCT(PRODUCT(1+M33:M$40)),SUMPRODUCT(PRODUCT(1+M33:M$39))),4)</f>
        <v>1.0164</v>
      </c>
      <c r="U33" s="3160">
        <f>ROUND(IF(项目基本情况!$B$8="出让",SUMPRODUCT(PRODUCT(1+N33:N$40)),SUMPRODUCT(PRODUCT(1+N33:N$39))),4)</f>
        <v>1.0506</v>
      </c>
      <c r="V33" s="3160"/>
      <c r="W33" s="3160">
        <f t="shared" ref="W33:W40" si="52">T33</f>
        <v>1.0164</v>
      </c>
      <c r="X33" s="3158"/>
      <c r="Y33" s="3161"/>
      <c r="Z33" s="3189">
        <f t="shared" ref="Z33:AD40" si="53">IF(E33=0,0,ROUND(AVERAGE(E33:E41)/100,4))</f>
        <v>4.0000000000000001E-3</v>
      </c>
      <c r="AA33" s="3191">
        <f t="shared" si="53"/>
        <v>2.5999999999999999E-3</v>
      </c>
      <c r="AB33" s="3161">
        <f t="shared" si="53"/>
        <v>7.4000000000000003E-3</v>
      </c>
      <c r="AC33" s="3190"/>
      <c r="AD33" s="3161">
        <f t="shared" si="53"/>
        <v>2.5999999999999999E-3</v>
      </c>
    </row>
    <row r="34" spans="1:30" s="3162" customFormat="1" ht="12.75">
      <c r="A34" s="3153" t="s">
        <v>3349</v>
      </c>
      <c r="B34" s="3154">
        <v>2022</v>
      </c>
      <c r="C34" s="3155">
        <v>3</v>
      </c>
      <c r="D34" s="3156"/>
      <c r="E34" s="3156">
        <v>0.3</v>
      </c>
      <c r="F34" s="3156">
        <v>0.28999999999999998</v>
      </c>
      <c r="G34" s="3156">
        <v>0.83</v>
      </c>
      <c r="H34" s="3173"/>
      <c r="I34" s="3157">
        <f t="shared" si="36"/>
        <v>0.28999999999999998</v>
      </c>
      <c r="J34" s="3158"/>
      <c r="K34" s="3159"/>
      <c r="L34" s="3149">
        <f t="shared" si="37"/>
        <v>3.0000000000000001E-3</v>
      </c>
      <c r="M34" s="3149">
        <f t="shared" si="37"/>
        <v>2.8999999999999998E-3</v>
      </c>
      <c r="N34" s="3149">
        <f t="shared" si="37"/>
        <v>8.3000000000000001E-3</v>
      </c>
      <c r="O34" s="3149"/>
      <c r="P34" s="3149">
        <f t="shared" si="51"/>
        <v>2.8999999999999998E-3</v>
      </c>
      <c r="Q34" s="3158"/>
      <c r="R34" s="3160"/>
      <c r="S34" s="3160">
        <f>ROUND(IF(项目基本情况!$B$8="出让",SUMPRODUCT(PRODUCT(1+L34:L$40)),SUMPRODUCT(PRODUCT(1+L34:L$39))),4)</f>
        <v>1.0241</v>
      </c>
      <c r="T34" s="3160">
        <f>ROUND(IF(项目基本情况!$B$8="出让",SUMPRODUCT(PRODUCT(1+M34:M$40)),SUMPRODUCT(PRODUCT(1+M34:M$39))),4)</f>
        <v>1.0144</v>
      </c>
      <c r="U34" s="3160">
        <f>ROUND(IF(项目基本情况!$B$8="出让",SUMPRODUCT(PRODUCT(1+N34:N$40)),SUMPRODUCT(PRODUCT(1+N34:N$39))),4)</f>
        <v>1.0467</v>
      </c>
      <c r="V34" s="3160"/>
      <c r="W34" s="3160">
        <f t="shared" si="52"/>
        <v>1.0144</v>
      </c>
      <c r="X34" s="3158"/>
      <c r="Y34" s="3161"/>
      <c r="Z34" s="3189">
        <f t="shared" si="53"/>
        <v>3.8999999999999998E-3</v>
      </c>
      <c r="AA34" s="3191">
        <f t="shared" si="53"/>
        <v>2.7000000000000001E-3</v>
      </c>
      <c r="AB34" s="3161">
        <f t="shared" si="53"/>
        <v>7.9000000000000008E-3</v>
      </c>
      <c r="AC34" s="3190"/>
      <c r="AD34" s="3161">
        <f t="shared" si="53"/>
        <v>2.7000000000000001E-3</v>
      </c>
    </row>
    <row r="35" spans="1:30" s="3162" customFormat="1" ht="12.75">
      <c r="A35" s="3153" t="s">
        <v>3339</v>
      </c>
      <c r="B35" s="3154">
        <v>2022</v>
      </c>
      <c r="C35" s="3155">
        <v>2</v>
      </c>
      <c r="D35" s="3156"/>
      <c r="E35" s="3156">
        <v>-0.11</v>
      </c>
      <c r="F35" s="3156">
        <v>-0.13</v>
      </c>
      <c r="G35" s="3156">
        <v>0.53</v>
      </c>
      <c r="H35" s="3173"/>
      <c r="I35" s="3157">
        <f t="shared" si="36"/>
        <v>-0.13</v>
      </c>
      <c r="J35" s="3158"/>
      <c r="K35" s="3159"/>
      <c r="L35" s="3149">
        <f t="shared" si="37"/>
        <v>-1.1000000000000001E-3</v>
      </c>
      <c r="M35" s="3149">
        <f t="shared" si="37"/>
        <v>-1.2999999999999999E-3</v>
      </c>
      <c r="N35" s="3149">
        <f t="shared" si="37"/>
        <v>5.3E-3</v>
      </c>
      <c r="O35" s="3149"/>
      <c r="P35" s="3149">
        <f t="shared" si="51"/>
        <v>-1.2999999999999999E-3</v>
      </c>
      <c r="Q35" s="3158"/>
      <c r="R35" s="3160"/>
      <c r="S35" s="3160">
        <f>ROUND(IF(项目基本情况!$B$8="出让",SUMPRODUCT(PRODUCT(1+L35:L$40)),SUMPRODUCT(PRODUCT(1+L35:L$39))),4)</f>
        <v>1.0210999999999999</v>
      </c>
      <c r="T35" s="3160">
        <f>ROUND(IF(项目基本情况!$B$8="出让",SUMPRODUCT(PRODUCT(1+M35:M$40)),SUMPRODUCT(PRODUCT(1+M35:M$39))),4)</f>
        <v>1.0114000000000001</v>
      </c>
      <c r="U35" s="3160">
        <f>ROUND(IF(项目基本情况!$B$8="出让",SUMPRODUCT(PRODUCT(1+N35:N$40)),SUMPRODUCT(PRODUCT(1+N35:N$39))),4)</f>
        <v>1.0381</v>
      </c>
      <c r="V35" s="3160"/>
      <c r="W35" s="3160">
        <f t="shared" si="52"/>
        <v>1.0114000000000001</v>
      </c>
      <c r="X35" s="3158"/>
      <c r="Y35" s="3161"/>
      <c r="Z35" s="3189">
        <f t="shared" si="53"/>
        <v>4.1000000000000003E-3</v>
      </c>
      <c r="AA35" s="3191">
        <f t="shared" si="53"/>
        <v>2.7000000000000001E-3</v>
      </c>
      <c r="AB35" s="3161">
        <f t="shared" si="53"/>
        <v>7.9000000000000008E-3</v>
      </c>
      <c r="AC35" s="3190"/>
      <c r="AD35" s="3161">
        <f t="shared" si="53"/>
        <v>2.7000000000000001E-3</v>
      </c>
    </row>
    <row r="36" spans="1:30" s="3162" customFormat="1" ht="12.75">
      <c r="A36" s="3153" t="s">
        <v>2819</v>
      </c>
      <c r="B36" s="3154">
        <v>2022</v>
      </c>
      <c r="C36" s="3155">
        <v>1</v>
      </c>
      <c r="D36" s="3156"/>
      <c r="E36" s="3156">
        <v>0.6</v>
      </c>
      <c r="F36" s="3156">
        <v>0.45</v>
      </c>
      <c r="G36" s="3156">
        <v>0.53</v>
      </c>
      <c r="H36" s="3173"/>
      <c r="I36" s="3157">
        <f t="shared" si="36"/>
        <v>0.45</v>
      </c>
      <c r="J36" s="3158"/>
      <c r="K36" s="3159"/>
      <c r="L36" s="3149">
        <f t="shared" si="37"/>
        <v>6.0000000000000001E-3</v>
      </c>
      <c r="M36" s="3149">
        <f t="shared" si="37"/>
        <v>4.5000000000000005E-3</v>
      </c>
      <c r="N36" s="3149">
        <f t="shared" si="37"/>
        <v>5.3E-3</v>
      </c>
      <c r="O36" s="3149"/>
      <c r="P36" s="3149">
        <f t="shared" si="51"/>
        <v>4.5000000000000005E-3</v>
      </c>
      <c r="Q36" s="3158"/>
      <c r="R36" s="3160"/>
      <c r="S36" s="3160">
        <f>ROUND(IF(项目基本情况!$B$8="出让",SUMPRODUCT(PRODUCT(1+L36:L$40)),SUMPRODUCT(PRODUCT(1+L36:L$39))),4)</f>
        <v>1.0222</v>
      </c>
      <c r="T36" s="3160">
        <f>ROUND(IF(项目基本情况!$B$8="出让",SUMPRODUCT(PRODUCT(1+M36:M$40)),SUMPRODUCT(PRODUCT(1+M36:M$39))),4)</f>
        <v>1.0127999999999999</v>
      </c>
      <c r="U36" s="3160">
        <f>ROUND(IF(项目基本情况!$B$8="出让",SUMPRODUCT(PRODUCT(1+N36:N$40)),SUMPRODUCT(PRODUCT(1+N36:N$39))),4)</f>
        <v>1.0326</v>
      </c>
      <c r="V36" s="3160"/>
      <c r="W36" s="3160">
        <f t="shared" si="52"/>
        <v>1.0127999999999999</v>
      </c>
      <c r="X36" s="3158"/>
      <c r="Y36" s="3161"/>
      <c r="Z36" s="3189">
        <f t="shared" si="53"/>
        <v>5.1000000000000004E-3</v>
      </c>
      <c r="AA36" s="3191">
        <f t="shared" si="53"/>
        <v>3.5000000000000001E-3</v>
      </c>
      <c r="AB36" s="3161">
        <f t="shared" si="53"/>
        <v>8.3999999999999995E-3</v>
      </c>
      <c r="AC36" s="3190"/>
      <c r="AD36" s="3161">
        <f t="shared" si="53"/>
        <v>3.5000000000000001E-3</v>
      </c>
    </row>
    <row r="37" spans="1:30" s="3162" customFormat="1" ht="12.75">
      <c r="A37" s="3153" t="s">
        <v>2820</v>
      </c>
      <c r="B37" s="3154">
        <v>2021</v>
      </c>
      <c r="C37" s="3155">
        <v>4</v>
      </c>
      <c r="D37" s="3156"/>
      <c r="E37" s="3156">
        <v>0.57999999999999996</v>
      </c>
      <c r="F37" s="3156">
        <v>0.08</v>
      </c>
      <c r="G37" s="3156">
        <v>0.68</v>
      </c>
      <c r="H37" s="3173"/>
      <c r="I37" s="3157">
        <f t="shared" si="36"/>
        <v>0.08</v>
      </c>
      <c r="J37" s="3158"/>
      <c r="K37" s="3159"/>
      <c r="L37" s="3149">
        <f t="shared" si="37"/>
        <v>5.7999999999999996E-3</v>
      </c>
      <c r="M37" s="3149">
        <f t="shared" si="37"/>
        <v>8.0000000000000004E-4</v>
      </c>
      <c r="N37" s="3149">
        <f t="shared" si="37"/>
        <v>6.8000000000000005E-3</v>
      </c>
      <c r="O37" s="3149"/>
      <c r="P37" s="3149">
        <f t="shared" si="51"/>
        <v>8.0000000000000004E-4</v>
      </c>
      <c r="Q37" s="3158"/>
      <c r="R37" s="3160"/>
      <c r="S37" s="3160">
        <f>ROUND(IF(项目基本情况!$B$8="出让",SUMPRODUCT(PRODUCT(1+L37:L$40)),SUMPRODUCT(PRODUCT(1+L37:L$39))),4)</f>
        <v>1.0161</v>
      </c>
      <c r="T37" s="3160">
        <f>ROUND(IF(项目基本情况!$B$8="出让",SUMPRODUCT(PRODUCT(1+M37:M$40)),SUMPRODUCT(PRODUCT(1+M37:M$39))),4)</f>
        <v>1.0082</v>
      </c>
      <c r="U37" s="3160">
        <f>ROUND(IF(项目基本情况!$B$8="出让",SUMPRODUCT(PRODUCT(1+N37:N$40)),SUMPRODUCT(PRODUCT(1+N37:N$39))),4)</f>
        <v>1.0270999999999999</v>
      </c>
      <c r="V37" s="3160"/>
      <c r="W37" s="3160">
        <f t="shared" si="52"/>
        <v>1.0082</v>
      </c>
      <c r="X37" s="3158"/>
      <c r="Y37" s="3161"/>
      <c r="Z37" s="3189">
        <f t="shared" si="53"/>
        <v>4.8999999999999998E-3</v>
      </c>
      <c r="AA37" s="3191">
        <f t="shared" si="53"/>
        <v>3.3E-3</v>
      </c>
      <c r="AB37" s="3161">
        <f t="shared" si="53"/>
        <v>9.1999999999999998E-3</v>
      </c>
      <c r="AC37" s="3190"/>
      <c r="AD37" s="3161">
        <f t="shared" si="53"/>
        <v>3.3E-3</v>
      </c>
    </row>
    <row r="38" spans="1:30" s="3162" customFormat="1" ht="12.75">
      <c r="A38" s="3153" t="s">
        <v>2821</v>
      </c>
      <c r="B38" s="3154">
        <v>2021</v>
      </c>
      <c r="C38" s="3155">
        <v>3</v>
      </c>
      <c r="D38" s="3156"/>
      <c r="E38" s="3156">
        <v>0.47</v>
      </c>
      <c r="F38" s="3156">
        <v>0.28000000000000003</v>
      </c>
      <c r="G38" s="3156">
        <v>0.91</v>
      </c>
      <c r="H38" s="3173"/>
      <c r="I38" s="3157">
        <f t="shared" si="36"/>
        <v>0.28000000000000003</v>
      </c>
      <c r="J38" s="3158"/>
      <c r="K38" s="3159"/>
      <c r="L38" s="3149">
        <f t="shared" si="37"/>
        <v>4.6999999999999993E-3</v>
      </c>
      <c r="M38" s="3149">
        <f t="shared" si="37"/>
        <v>2.8000000000000004E-3</v>
      </c>
      <c r="N38" s="3149">
        <f t="shared" si="37"/>
        <v>9.1000000000000004E-3</v>
      </c>
      <c r="O38" s="3149"/>
      <c r="P38" s="3149">
        <f t="shared" si="51"/>
        <v>2.8000000000000004E-3</v>
      </c>
      <c r="Q38" s="3158"/>
      <c r="R38" s="3160"/>
      <c r="S38" s="3160">
        <f>ROUND(IF(项目基本情况!$B$8="出让",SUMPRODUCT(PRODUCT(1+L38:L$40)),SUMPRODUCT(PRODUCT(1+L38:L$39))),4)</f>
        <v>1.0102</v>
      </c>
      <c r="T38" s="3160">
        <f>ROUND(IF(项目基本情况!$B$8="出让",SUMPRODUCT(PRODUCT(1+M38:M$40)),SUMPRODUCT(PRODUCT(1+M38:M$39))),4)</f>
        <v>1.0074000000000001</v>
      </c>
      <c r="U38" s="3160">
        <f>ROUND(IF(项目基本情况!$B$8="出让",SUMPRODUCT(PRODUCT(1+N38:N$40)),SUMPRODUCT(PRODUCT(1+N38:N$39))),4)</f>
        <v>1.0202</v>
      </c>
      <c r="V38" s="3160"/>
      <c r="W38" s="3160">
        <f t="shared" si="52"/>
        <v>1.0074000000000001</v>
      </c>
      <c r="X38" s="3158"/>
      <c r="Y38" s="3161"/>
      <c r="Z38" s="3189">
        <f t="shared" si="53"/>
        <v>4.5999999999999999E-3</v>
      </c>
      <c r="AA38" s="3191">
        <f t="shared" si="53"/>
        <v>4.1000000000000003E-3</v>
      </c>
      <c r="AB38" s="3161">
        <f t="shared" si="53"/>
        <v>0.01</v>
      </c>
      <c r="AC38" s="3190"/>
      <c r="AD38" s="3161">
        <f t="shared" si="53"/>
        <v>4.1000000000000003E-3</v>
      </c>
    </row>
    <row r="39" spans="1:30" s="3162" customFormat="1" ht="12.75">
      <c r="A39" s="3153" t="s">
        <v>2822</v>
      </c>
      <c r="B39" s="3154">
        <v>2021</v>
      </c>
      <c r="C39" s="3155">
        <v>2</v>
      </c>
      <c r="D39" s="3156"/>
      <c r="E39" s="3156">
        <v>0.55000000000000004</v>
      </c>
      <c r="F39" s="3156">
        <v>0.46</v>
      </c>
      <c r="G39" s="3156">
        <v>1.1000000000000001</v>
      </c>
      <c r="H39" s="3173"/>
      <c r="I39" s="3157">
        <f t="shared" si="36"/>
        <v>0.46</v>
      </c>
      <c r="J39" s="3158"/>
      <c r="K39" s="3159"/>
      <c r="L39" s="3149">
        <f t="shared" si="37"/>
        <v>5.5000000000000005E-3</v>
      </c>
      <c r="M39" s="3149">
        <f t="shared" si="37"/>
        <v>4.5999999999999999E-3</v>
      </c>
      <c r="N39" s="3149">
        <f t="shared" si="37"/>
        <v>1.1000000000000001E-2</v>
      </c>
      <c r="O39" s="3149"/>
      <c r="P39" s="3149">
        <f t="shared" si="51"/>
        <v>4.5999999999999999E-3</v>
      </c>
      <c r="Q39" s="3158"/>
      <c r="R39" s="3160"/>
      <c r="S39" s="3160">
        <f>ROUND(IF(项目基本情况!$B$8="出让",SUMPRODUCT(PRODUCT(1+L39:L$40)),SUMPRODUCT(PRODUCT(1+L39:L$39))),4)</f>
        <v>1.0055000000000001</v>
      </c>
      <c r="T39" s="3160">
        <f>ROUND(IF(项目基本情况!$B$8="出让",SUMPRODUCT(PRODUCT(1+M39:M$40)),SUMPRODUCT(PRODUCT(1+M39:M$39))),4)</f>
        <v>1.0045999999999999</v>
      </c>
      <c r="U39" s="3160">
        <f>ROUND(IF(项目基本情况!$B$8="出让",SUMPRODUCT(PRODUCT(1+N39:N$40)),SUMPRODUCT(PRODUCT(1+N39:N$39))),4)</f>
        <v>1.0109999999999999</v>
      </c>
      <c r="V39" s="3160"/>
      <c r="W39" s="3160">
        <f t="shared" si="52"/>
        <v>1.0045999999999999</v>
      </c>
      <c r="X39" s="3158"/>
      <c r="Y39" s="3161"/>
      <c r="Z39" s="3189">
        <f t="shared" si="53"/>
        <v>4.4999999999999997E-3</v>
      </c>
      <c r="AA39" s="3191">
        <f t="shared" si="53"/>
        <v>4.7000000000000002E-3</v>
      </c>
      <c r="AB39" s="3161">
        <f t="shared" si="53"/>
        <v>1.04E-2</v>
      </c>
      <c r="AC39" s="3190"/>
      <c r="AD39" s="3161">
        <f t="shared" si="53"/>
        <v>4.7000000000000002E-3</v>
      </c>
    </row>
    <row r="40" spans="1:30" s="3184" customFormat="1" thickBot="1">
      <c r="A40" s="3174" t="s">
        <v>2808</v>
      </c>
      <c r="B40" s="3175">
        <v>2021</v>
      </c>
      <c r="C40" s="3176">
        <v>1</v>
      </c>
      <c r="D40" s="3177"/>
      <c r="E40" s="3177">
        <v>0.35</v>
      </c>
      <c r="F40" s="3177">
        <v>0.48</v>
      </c>
      <c r="G40" s="3177">
        <v>0.98</v>
      </c>
      <c r="H40" s="3178"/>
      <c r="I40" s="3179">
        <f t="shared" si="36"/>
        <v>0.48</v>
      </c>
      <c r="J40" s="3180"/>
      <c r="K40" s="3181"/>
      <c r="L40" s="3182">
        <f t="shared" si="37"/>
        <v>3.4999999999999996E-3</v>
      </c>
      <c r="M40" s="3182">
        <f>F40/100</f>
        <v>4.7999999999999996E-3</v>
      </c>
      <c r="N40" s="3182">
        <f t="shared" si="37"/>
        <v>9.7999999999999997E-3</v>
      </c>
      <c r="O40" s="3182"/>
      <c r="P40" s="3182">
        <f t="shared" si="51"/>
        <v>4.7999999999999996E-3</v>
      </c>
      <c r="Q40" s="3180"/>
      <c r="R40" s="3183"/>
      <c r="S40" s="3183">
        <v>1</v>
      </c>
      <c r="T40" s="3183">
        <v>1</v>
      </c>
      <c r="U40" s="3183">
        <v>1</v>
      </c>
      <c r="V40" s="3183"/>
      <c r="W40" s="3183">
        <f t="shared" si="52"/>
        <v>1</v>
      </c>
      <c r="X40" s="3180"/>
      <c r="Y40" s="3182"/>
      <c r="Z40" s="3195">
        <f t="shared" si="53"/>
        <v>3.5000000000000001E-3</v>
      </c>
      <c r="AA40" s="3196">
        <f t="shared" si="53"/>
        <v>4.7999999999999996E-3</v>
      </c>
      <c r="AB40" s="3182">
        <f t="shared" si="53"/>
        <v>9.7999999999999997E-3</v>
      </c>
      <c r="AC40" s="3197"/>
      <c r="AD40" s="3182">
        <f t="shared" si="53"/>
        <v>4.7999999999999996E-3</v>
      </c>
    </row>
    <row r="41" spans="1:30" ht="14.25" thickTop="1"/>
    <row r="42" spans="1:30">
      <c r="A42" s="3425" t="s">
        <v>3351</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4010" t="s">
        <v>452</v>
      </c>
      <c r="C1" s="4010"/>
      <c r="D1" s="4010"/>
      <c r="E1" s="4010"/>
      <c r="F1" s="4010"/>
      <c r="G1" s="4009" t="s">
        <v>453</v>
      </c>
      <c r="H1" s="4009"/>
      <c r="I1" s="4009"/>
      <c r="J1" s="4009"/>
      <c r="K1" s="4009"/>
      <c r="L1" s="4009"/>
      <c r="N1" s="4009" t="s">
        <v>454</v>
      </c>
      <c r="O1" s="4009"/>
      <c r="P1" s="4009"/>
      <c r="Q1" s="4009"/>
      <c r="S1" s="4009" t="s">
        <v>455</v>
      </c>
      <c r="T1" s="4009"/>
      <c r="U1" s="4009"/>
      <c r="V1" s="4009"/>
      <c r="X1" s="4008" t="s">
        <v>456</v>
      </c>
      <c r="Y1" s="4009"/>
      <c r="Z1" s="4009"/>
      <c r="AA1" s="4009"/>
      <c r="AB1" s="4009"/>
      <c r="AD1" s="4008" t="s">
        <v>457</v>
      </c>
      <c r="AE1" s="4009"/>
      <c r="AF1" s="4009"/>
      <c r="AG1" s="4009"/>
      <c r="AH1" s="400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2098</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3347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13">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3344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13">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2099</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3345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13">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3346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13">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2420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2982">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2297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07">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2296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06">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2295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790">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2292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789">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2291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786">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2114</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2112</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2111</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2110</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2108</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2107</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2109</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4006">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2105</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4006"/>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2104</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4006"/>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2097</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401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2095</v>
      </c>
      <c r="B25" s="2220">
        <v>439</v>
      </c>
      <c r="C25" s="2220">
        <v>327</v>
      </c>
      <c r="D25" s="2220">
        <f>C25</f>
        <v>327</v>
      </c>
      <c r="E25" s="2220">
        <v>627</v>
      </c>
      <c r="F25" s="2221">
        <v>283</v>
      </c>
      <c r="G25" s="401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2096</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4006"/>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4006"/>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401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401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4006"/>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4006"/>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4007"/>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4005">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4006"/>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4006"/>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4007"/>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4005">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4006"/>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4006"/>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4007"/>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401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401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401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401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4005">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4006"/>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4006"/>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4007"/>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4005">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4006">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4006">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4007">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4005">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4006">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4006">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4007">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4005">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4006">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4006">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4007">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4005">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4006">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4006">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4007">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4005">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4006">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4006">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4007">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4005">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4006">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4006">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4007">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4005">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4006">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4006">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4007">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4005">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4006">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4006">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4007">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4005">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4006">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4006">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4007">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4005">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4006">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4006">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4007">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45287</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798">
        <v>45159</v>
      </c>
      <c r="D13" s="2799">
        <v>3.45</v>
      </c>
      <c r="E13" s="2799">
        <f>D13</f>
        <v>3.45</v>
      </c>
      <c r="F13" s="2799">
        <f>D13</f>
        <v>3.45</v>
      </c>
      <c r="G13" s="2799">
        <f>D13</f>
        <v>3.45</v>
      </c>
      <c r="H13" s="2799">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793"/>
      <c r="C14" s="2795">
        <v>45097</v>
      </c>
      <c r="D14" s="2794">
        <v>3.55</v>
      </c>
      <c r="E14" s="2794">
        <f>D14</f>
        <v>3.55</v>
      </c>
      <c r="F14" s="2794">
        <f>D14</f>
        <v>3.55</v>
      </c>
      <c r="G14" s="2794">
        <f>D14</f>
        <v>3.55</v>
      </c>
      <c r="H14" s="2794">
        <v>4.2</v>
      </c>
      <c r="I14" s="2799"/>
      <c r="J14" s="279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793"/>
      <c r="C15" s="2795">
        <v>44795</v>
      </c>
      <c r="D15" s="2794">
        <v>3.65</v>
      </c>
      <c r="E15" s="2794">
        <v>3.65</v>
      </c>
      <c r="F15" s="2794">
        <v>3.65</v>
      </c>
      <c r="G15" s="2794">
        <v>3.65</v>
      </c>
      <c r="H15" s="2794">
        <v>4.3</v>
      </c>
      <c r="I15" s="2799"/>
      <c r="J15" s="279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793"/>
      <c r="C16" s="2795">
        <v>44701</v>
      </c>
      <c r="D16" s="2794">
        <v>3.7</v>
      </c>
      <c r="E16" s="2794">
        <f>D16</f>
        <v>3.7</v>
      </c>
      <c r="F16" s="2794">
        <f>D16</f>
        <v>3.7</v>
      </c>
      <c r="G16" s="2794">
        <f>D16</f>
        <v>3.7</v>
      </c>
      <c r="H16" s="2794">
        <v>4.45</v>
      </c>
      <c r="I16" s="2799"/>
      <c r="J16" s="2799"/>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793"/>
      <c r="C17" s="2795">
        <v>44581</v>
      </c>
      <c r="D17" s="2794">
        <v>3.7</v>
      </c>
      <c r="E17" s="2794">
        <f>D17</f>
        <v>3.7</v>
      </c>
      <c r="F17" s="2794">
        <f>D17</f>
        <v>3.7</v>
      </c>
      <c r="G17" s="2794">
        <f>D17</f>
        <v>3.7</v>
      </c>
      <c r="H17" s="2794">
        <v>4.5999999999999996</v>
      </c>
      <c r="I17" s="2799"/>
      <c r="J17" s="2799"/>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794"/>
      <c r="C18" s="2795">
        <v>44550</v>
      </c>
      <c r="D18" s="2794">
        <v>3.8</v>
      </c>
      <c r="E18" s="2794">
        <f>D18</f>
        <v>3.8</v>
      </c>
      <c r="F18" s="2794">
        <f>D18</f>
        <v>3.8</v>
      </c>
      <c r="G18" s="2794">
        <f>D18</f>
        <v>3.8</v>
      </c>
      <c r="H18" s="2794">
        <v>4.6500000000000004</v>
      </c>
      <c r="I18" s="2794"/>
      <c r="J18" s="2799"/>
      <c r="L18" s="2803"/>
      <c r="M18" s="2802">
        <v>41965</v>
      </c>
      <c r="N18" s="2803">
        <v>0.35</v>
      </c>
      <c r="O18" s="2803">
        <v>2.35</v>
      </c>
      <c r="P18" s="2803">
        <v>2.5499999999999998</v>
      </c>
      <c r="Q18" s="2803">
        <v>2.75</v>
      </c>
      <c r="R18" s="2803">
        <v>3.35</v>
      </c>
      <c r="S18" s="2803">
        <v>4</v>
      </c>
      <c r="T18" s="2803">
        <v>4.75</v>
      </c>
      <c r="U18" s="2804">
        <v>2.35</v>
      </c>
      <c r="V18" s="2804">
        <v>2.5499999999999998</v>
      </c>
      <c r="W18" s="2804">
        <v>2.75</v>
      </c>
      <c r="X18" s="2803"/>
      <c r="Y18" s="2804">
        <v>0.8</v>
      </c>
      <c r="Z18" s="2804">
        <v>1.35</v>
      </c>
    </row>
    <row r="19" spans="1:256" s="2805" customFormat="1" ht="14.25">
      <c r="A19" s="1284"/>
      <c r="B19" s="2794"/>
      <c r="C19" s="2795">
        <v>43941</v>
      </c>
      <c r="D19" s="2794">
        <v>3.85</v>
      </c>
      <c r="E19" s="2794">
        <v>3.85</v>
      </c>
      <c r="F19" s="2794">
        <v>3.85</v>
      </c>
      <c r="G19" s="2794">
        <v>3.85</v>
      </c>
      <c r="H19" s="2794">
        <v>4.6500000000000004</v>
      </c>
      <c r="I19" s="2794"/>
      <c r="J19" s="2794"/>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794"/>
      <c r="C20" s="2795">
        <v>43881</v>
      </c>
      <c r="D20" s="2794">
        <v>4.05</v>
      </c>
      <c r="E20" s="2794">
        <v>4.05</v>
      </c>
      <c r="F20" s="2794">
        <v>4.05</v>
      </c>
      <c r="G20" s="2794">
        <v>4.05</v>
      </c>
      <c r="H20" s="2794">
        <v>4.75</v>
      </c>
      <c r="I20" s="2794"/>
      <c r="J20" s="2794"/>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794"/>
      <c r="C21" s="2795">
        <v>43789</v>
      </c>
      <c r="D21" s="2794">
        <v>4.1500000000000004</v>
      </c>
      <c r="E21" s="2794">
        <v>4.1500000000000004</v>
      </c>
      <c r="F21" s="2794">
        <v>4.1500000000000004</v>
      </c>
      <c r="G21" s="2794">
        <v>4.1500000000000004</v>
      </c>
      <c r="H21" s="2794">
        <v>4.8</v>
      </c>
      <c r="I21" s="2794"/>
      <c r="J21" s="2794"/>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794"/>
      <c r="C22" s="2795">
        <v>43728</v>
      </c>
      <c r="D22" s="2794">
        <v>4.2</v>
      </c>
      <c r="E22" s="2794">
        <v>4.2</v>
      </c>
      <c r="F22" s="2794">
        <v>4.2</v>
      </c>
      <c r="G22" s="2794">
        <v>4.2</v>
      </c>
      <c r="H22" s="2794">
        <v>4.8499999999999996</v>
      </c>
      <c r="I22" s="2794"/>
      <c r="J22" s="2794"/>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00"/>
      <c r="B23" s="2793" t="s">
        <v>2293</v>
      </c>
      <c r="C23" s="2796">
        <v>43697</v>
      </c>
      <c r="D23" s="2797">
        <v>4.25</v>
      </c>
      <c r="E23" s="2797">
        <v>4.25</v>
      </c>
      <c r="F23" s="2797">
        <v>4.25</v>
      </c>
      <c r="G23" s="2797">
        <v>4.25</v>
      </c>
      <c r="H23" s="2797">
        <v>4.8499999999999996</v>
      </c>
      <c r="I23" s="2797"/>
      <c r="J23" s="279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01"/>
      <c r="C24" s="2802">
        <v>42301</v>
      </c>
      <c r="D24" s="2803">
        <v>4.3499999999999996</v>
      </c>
      <c r="E24" s="2803">
        <v>4.3499999999999996</v>
      </c>
      <c r="F24" s="2803">
        <v>4.75</v>
      </c>
      <c r="G24" s="2803">
        <v>4.75</v>
      </c>
      <c r="H24" s="2803">
        <v>4.9000000000000004</v>
      </c>
      <c r="I24" s="2803"/>
      <c r="J24" s="2803"/>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1445</v>
      </c>
      <c r="B1" s="1470"/>
      <c r="C1" s="198"/>
      <c r="D1" s="198"/>
      <c r="E1" s="198"/>
      <c r="F1" s="198"/>
      <c r="G1" s="1126">
        <f>MATCH(B1,'数据-取费表'!A6:A16,0)+5</f>
        <v>8</v>
      </c>
    </row>
    <row r="2" spans="1:9" s="200" customFormat="1" ht="18" customHeight="1">
      <c r="A2" s="201" t="s">
        <v>1446</v>
      </c>
      <c r="B2" s="202">
        <f ca="1">IF(D2="——",C52,C52-E2)</f>
        <v>150980</v>
      </c>
      <c r="C2" s="199" t="s">
        <v>1447</v>
      </c>
      <c r="D2" s="1853" t="s">
        <v>43</v>
      </c>
      <c r="E2" s="1169" t="e">
        <f ca="1">SUMIF(INDIRECT("'"&amp;G2&amp;"'"&amp;"!A:A"),"承租人权益价值",INDIRECT("'"&amp;G2&amp;"'"&amp;"!c:c"))</f>
        <v>#REF!</v>
      </c>
      <c r="F2" s="1854" t="s">
        <v>1447</v>
      </c>
      <c r="G2" s="1855"/>
    </row>
    <row r="3" spans="1:9" s="200" customFormat="1" ht="18" customHeight="1" thickBot="1">
      <c r="A3" s="203" t="s">
        <v>1448</v>
      </c>
      <c r="B3" s="204">
        <f ca="1">ROUND(B2*10000/(IF(B1="",'数据-汇总表'!E3,INDIRECT("'数据-取费表'!k"&amp;$G$1))),0)</f>
        <v>30989</v>
      </c>
      <c r="C3" s="199" t="s">
        <v>1449</v>
      </c>
      <c r="D3" s="199"/>
      <c r="E3" s="199"/>
      <c r="F3" s="199"/>
      <c r="G3" s="199"/>
    </row>
    <row r="4" spans="1:9" s="208" customFormat="1" ht="15.75">
      <c r="A4" s="205" t="s">
        <v>1450</v>
      </c>
      <c r="B4" s="206"/>
      <c r="C4" s="206"/>
      <c r="D4" s="206"/>
      <c r="E4" s="206"/>
      <c r="F4" s="206"/>
      <c r="G4" s="207"/>
    </row>
    <row r="5" spans="1:9" s="214" customFormat="1" ht="13.5" customHeight="1">
      <c r="A5" s="255" t="s">
        <v>1451</v>
      </c>
      <c r="B5" s="210" t="s">
        <v>1452</v>
      </c>
      <c r="C5" s="211">
        <f ca="1">C6+C7+C8</f>
        <v>87496</v>
      </c>
      <c r="D5" s="211" t="s">
        <v>1453</v>
      </c>
      <c r="E5" s="212" t="s">
        <v>1454</v>
      </c>
      <c r="F5" s="212" t="s">
        <v>1455</v>
      </c>
      <c r="G5" s="213"/>
    </row>
    <row r="6" spans="1:9" s="214" customFormat="1" ht="13.5" customHeight="1">
      <c r="A6" s="778" t="s">
        <v>1456</v>
      </c>
      <c r="B6" s="215" t="s">
        <v>1457</v>
      </c>
      <c r="C6" s="216">
        <f>'土地比较法-住宅、综合'!F65</f>
        <v>83961</v>
      </c>
      <c r="D6" s="217"/>
      <c r="E6" s="218"/>
      <c r="F6" s="218"/>
      <c r="G6" s="219"/>
    </row>
    <row r="7" spans="1:9" s="214" customFormat="1" ht="13.5" customHeight="1">
      <c r="A7" s="778" t="s">
        <v>1458</v>
      </c>
      <c r="B7" s="215" t="s">
        <v>1459</v>
      </c>
      <c r="C7" s="220">
        <f>ROUND(C6*F7,0)</f>
        <v>2561</v>
      </c>
      <c r="D7" s="220"/>
      <c r="E7" s="218"/>
      <c r="F7" s="221">
        <f>IF(项目基本情况!B8="出让",0,'数据-取费表'!B48+'数据-取费表'!B49)</f>
        <v>3.0499999999999999E-2</v>
      </c>
      <c r="G7" s="219"/>
    </row>
    <row r="8" spans="1:9" s="223" customFormat="1">
      <c r="A8" s="778" t="s">
        <v>1460</v>
      </c>
      <c r="B8" s="215" t="s">
        <v>1461</v>
      </c>
      <c r="C8" s="220">
        <f ca="1">IF(G8="已包含在土地购买价格中","0",IF(B1="",'数据-取费表'!B29,IF(G9="全部缴纳",C9+C10,H9)))</f>
        <v>974</v>
      </c>
      <c r="D8" s="222"/>
      <c r="E8" s="220"/>
      <c r="F8" s="221"/>
      <c r="G8" s="1856" t="s">
        <v>3416</v>
      </c>
    </row>
    <row r="9" spans="1:9" s="214" customFormat="1" ht="13.5" customHeight="1">
      <c r="A9" s="779" t="s">
        <v>355</v>
      </c>
      <c r="B9" s="224" t="s">
        <v>1462</v>
      </c>
      <c r="C9" s="225">
        <f ca="1">ROUND(D9*E9/10000,0)</f>
        <v>0</v>
      </c>
      <c r="D9" s="845">
        <f ca="1">IF(B1="",'数据-汇总表'!E5,IF(INDIRECT("'数据-取费表'!c"&amp;$G$1)="住宅",INDIRECT("'数据-取费表'!k"&amp;$G$1),0))</f>
        <v>0</v>
      </c>
      <c r="E9" s="225">
        <f>'数据-取费表'!B27</f>
        <v>160</v>
      </c>
      <c r="F9" s="221"/>
      <c r="G9" s="1857"/>
      <c r="H9" s="1137"/>
      <c r="I9" s="1858" t="s">
        <v>1463</v>
      </c>
    </row>
    <row r="10" spans="1:9" s="214" customFormat="1" ht="13.5" customHeight="1">
      <c r="A10" s="779" t="s">
        <v>356</v>
      </c>
      <c r="B10" s="224" t="s">
        <v>1464</v>
      </c>
      <c r="C10" s="225">
        <f ca="1">ROUND(D10*E10/10000,0)</f>
        <v>974</v>
      </c>
      <c r="D10" s="845">
        <f ca="1">IF(B1="",'数据-汇总表'!E6,IF(INDIRECT("'数据-取费表'!c"&amp;$G$1)="住宅",INDIRECT("'数据-取费表'!s"&amp;$G$1),INDIRECT("'数据-取费表'!k"&amp;$G$1)+INDIRECT("'数据-取费表'!s"&amp;$G$1)))</f>
        <v>48720.729999999974</v>
      </c>
      <c r="E10" s="225">
        <f>'数据-取费表'!B28</f>
        <v>200</v>
      </c>
      <c r="F10" s="221"/>
      <c r="G10" s="226"/>
    </row>
    <row r="11" spans="1:9" s="214" customFormat="1" ht="13.5" hidden="1" customHeight="1">
      <c r="A11" s="227" t="s">
        <v>4</v>
      </c>
      <c r="B11" s="215" t="s">
        <v>1465</v>
      </c>
      <c r="C11" s="211"/>
      <c r="D11" s="847"/>
      <c r="E11" s="218"/>
      <c r="F11" s="218"/>
      <c r="G11" s="219"/>
    </row>
    <row r="12" spans="1:9" s="214" customFormat="1" ht="13.5" hidden="1" customHeight="1">
      <c r="A12" s="227" t="s">
        <v>5</v>
      </c>
      <c r="B12" s="215" t="s">
        <v>1466</v>
      </c>
      <c r="C12" s="211">
        <v>0</v>
      </c>
      <c r="D12" s="847"/>
      <c r="E12" s="228"/>
      <c r="F12" s="221">
        <v>3.0499999999999999E-2</v>
      </c>
      <c r="G12" s="219"/>
    </row>
    <row r="13" spans="1:9" s="214" customFormat="1" ht="13.5" hidden="1" customHeight="1">
      <c r="A13" s="227" t="s">
        <v>6</v>
      </c>
      <c r="B13" s="215" t="s">
        <v>1467</v>
      </c>
      <c r="C13" s="211"/>
      <c r="D13" s="847"/>
      <c r="E13" s="218"/>
      <c r="F13" s="218"/>
      <c r="G13" s="219"/>
    </row>
    <row r="14" spans="1:9" s="214" customFormat="1" ht="13.5" hidden="1" customHeight="1">
      <c r="A14" s="227" t="s">
        <v>7</v>
      </c>
      <c r="B14" s="215" t="s">
        <v>1468</v>
      </c>
      <c r="C14" s="211"/>
      <c r="D14" s="847"/>
      <c r="E14" s="218"/>
      <c r="F14" s="218"/>
      <c r="G14" s="219" t="s">
        <v>1469</v>
      </c>
    </row>
    <row r="15" spans="1:9" s="214" customFormat="1" ht="13.5" hidden="1" customHeight="1">
      <c r="A15" s="227" t="s">
        <v>8</v>
      </c>
      <c r="B15" s="215" t="s">
        <v>1470</v>
      </c>
      <c r="C15" s="220"/>
      <c r="D15" s="847"/>
      <c r="E15" s="218"/>
      <c r="F15" s="218"/>
      <c r="G15" s="219" t="s">
        <v>1471</v>
      </c>
    </row>
    <row r="16" spans="1:9" s="214" customFormat="1" ht="13.5" hidden="1" customHeight="1">
      <c r="A16" s="227" t="s">
        <v>9</v>
      </c>
      <c r="B16" s="215" t="s">
        <v>1468</v>
      </c>
      <c r="C16" s="220"/>
      <c r="D16" s="847"/>
      <c r="E16" s="218"/>
      <c r="F16" s="218"/>
      <c r="G16" s="219"/>
    </row>
    <row r="17" spans="1:7" s="214" customFormat="1" ht="13.5" hidden="1" customHeight="1">
      <c r="A17" s="227" t="s">
        <v>10</v>
      </c>
      <c r="B17" s="215" t="s">
        <v>1472</v>
      </c>
      <c r="C17" s="229"/>
      <c r="D17" s="848"/>
      <c r="E17" s="229"/>
      <c r="F17" s="229"/>
      <c r="G17" s="219" t="s">
        <v>1471</v>
      </c>
    </row>
    <row r="18" spans="1:7" s="214" customFormat="1" ht="13.5" hidden="1" customHeight="1">
      <c r="A18" s="227" t="s">
        <v>11</v>
      </c>
      <c r="B18" s="215" t="s">
        <v>1473</v>
      </c>
      <c r="C18" s="220">
        <v>0</v>
      </c>
      <c r="D18" s="847"/>
      <c r="E18" s="218"/>
      <c r="F18" s="221">
        <v>3.0499999999999999E-2</v>
      </c>
      <c r="G18" s="219" t="s">
        <v>1474</v>
      </c>
    </row>
    <row r="19" spans="1:7" s="223" customFormat="1" ht="13.5" customHeight="1">
      <c r="A19" s="255" t="s">
        <v>1475</v>
      </c>
      <c r="B19" s="210" t="s">
        <v>1476</v>
      </c>
      <c r="C19" s="211" t="str">
        <f>IF(G19="已包含在土地取得成本中","0",ROUND(D19*E19/10000,0))</f>
        <v>0</v>
      </c>
      <c r="D19" s="849">
        <f ca="1">D9+D10</f>
        <v>48720.729999999974</v>
      </c>
      <c r="E19" s="211">
        <f>'数据-取费表'!B31</f>
        <v>200</v>
      </c>
      <c r="F19" s="231"/>
      <c r="G19" s="1856" t="s">
        <v>3417</v>
      </c>
    </row>
    <row r="20" spans="1:7" s="214" customFormat="1" ht="13.5" customHeight="1">
      <c r="A20" s="255" t="s">
        <v>1477</v>
      </c>
      <c r="B20" s="210" t="s">
        <v>1478</v>
      </c>
      <c r="C20" s="232">
        <f ca="1">ROUND((C5+C19)*F20,0)</f>
        <v>1750</v>
      </c>
      <c r="D20" s="232"/>
      <c r="E20" s="232"/>
      <c r="F20" s="233">
        <f>'数据-取费表'!B37</f>
        <v>0.02</v>
      </c>
      <c r="G20" s="234" t="s">
        <v>1479</v>
      </c>
    </row>
    <row r="21" spans="1:7" s="214" customFormat="1" ht="13.5" customHeight="1">
      <c r="A21" s="255" t="s">
        <v>1480</v>
      </c>
      <c r="B21" s="210" t="s">
        <v>1481</v>
      </c>
      <c r="C21" s="235">
        <f>F21</f>
        <v>0.02</v>
      </c>
      <c r="D21" s="236" t="s">
        <v>1482</v>
      </c>
      <c r="E21" s="232"/>
      <c r="F21" s="233">
        <f>'数据-取费表'!B38</f>
        <v>0.02</v>
      </c>
      <c r="G21" s="234" t="s">
        <v>1483</v>
      </c>
    </row>
    <row r="22" spans="1:7" s="214" customFormat="1" ht="13.5" customHeight="1">
      <c r="A22" s="255" t="s">
        <v>1484</v>
      </c>
      <c r="B22" s="210" t="s">
        <v>1485</v>
      </c>
      <c r="C22" s="1104">
        <f ca="1">ROUND(SUM(C23:C25),0)</f>
        <v>6201</v>
      </c>
      <c r="D22" s="235">
        <f ca="1">C26</f>
        <v>6.9999999999999999E-4</v>
      </c>
      <c r="E22" s="236" t="s">
        <v>1482</v>
      </c>
      <c r="F22" s="237">
        <f ca="1">'数据-取费表'!B40</f>
        <v>3.4500000000000003E-2</v>
      </c>
      <c r="G22" s="234" t="str">
        <f>IF('数据-取费表'!B22&lt;=1,"单利计息","复利计息")</f>
        <v>复利计息</v>
      </c>
    </row>
    <row r="23" spans="1:7" s="214" customFormat="1" ht="13.5" customHeight="1">
      <c r="A23" s="780" t="s">
        <v>1486</v>
      </c>
      <c r="B23" s="215" t="s">
        <v>1487</v>
      </c>
      <c r="C23" s="1105">
        <f ca="1">ROUND(IF('数据-取费表'!B22&lt;=1,C5*F22*'数据-取费表'!B23,C5*(POWER((1+F22),'数据-取费表'!B23)-1)),0)</f>
        <v>6141</v>
      </c>
      <c r="D23" s="238"/>
      <c r="E23" s="238"/>
      <c r="F23" s="239"/>
      <c r="G23" s="240" t="s">
        <v>1488</v>
      </c>
    </row>
    <row r="24" spans="1:7" s="214" customFormat="1" ht="13.5" customHeight="1">
      <c r="A24" s="780" t="s">
        <v>1489</v>
      </c>
      <c r="B24" s="215" t="s">
        <v>1490</v>
      </c>
      <c r="C24" s="1105">
        <f ca="1">ROUND(IF('数据-取费表'!B22&lt;=1,C19*F22*('数据-取费表'!B19/2+'数据-取费表'!B21),C19*(POWER((1+F22),('数据-取费表'!B19/2+'数据-取费表'!B21))-1)),0)</f>
        <v>0</v>
      </c>
      <c r="D24" s="238"/>
      <c r="E24" s="238"/>
      <c r="F24" s="239"/>
      <c r="G24" s="240" t="s">
        <v>1491</v>
      </c>
    </row>
    <row r="25" spans="1:7" s="214" customFormat="1" ht="24">
      <c r="A25" s="780" t="s">
        <v>1492</v>
      </c>
      <c r="B25" s="215" t="s">
        <v>1493</v>
      </c>
      <c r="C25" s="1105">
        <f ca="1">ROUND(IF('数据-取费表'!B22&lt;=1,C20*F22*'数据-取费表'!B23/2,C20*(POWER((1+F22),'数据-取费表'!B23/2)-1)),0)</f>
        <v>60</v>
      </c>
      <c r="D25" s="238"/>
      <c r="E25" s="241"/>
      <c r="F25" s="239"/>
      <c r="G25" s="242" t="s">
        <v>1494</v>
      </c>
    </row>
    <row r="26" spans="1:7" s="214" customFormat="1">
      <c r="A26" s="780" t="s">
        <v>350</v>
      </c>
      <c r="B26" s="215" t="s">
        <v>1495</v>
      </c>
      <c r="C26" s="238">
        <f ca="1">ROUND(IF('数据-取费表'!B22&lt;=1,F21*F22*'数据-取费表'!B23/2,F21*(POWER((1+F22),'数据-取费表'!B23/2)-1)),4)</f>
        <v>6.9999999999999999E-4</v>
      </c>
      <c r="D26" s="238"/>
      <c r="E26" s="241"/>
      <c r="F26" s="239"/>
      <c r="G26" s="243"/>
    </row>
    <row r="27" spans="1:7" s="214" customFormat="1" ht="24.75">
      <c r="A27" s="255" t="s">
        <v>1496</v>
      </c>
      <c r="B27" s="244" t="s">
        <v>1497</v>
      </c>
      <c r="C27" s="245">
        <f ca="1">C28</f>
        <v>12494</v>
      </c>
      <c r="D27" s="235">
        <f ca="1">C29</f>
        <v>2.8E-3</v>
      </c>
      <c r="E27" s="236" t="s">
        <v>1498</v>
      </c>
      <c r="F27" s="246">
        <f ca="1">IF(B1="",'数据-取费表'!Q16,INDIRECT("'数据-取费表'!q"&amp;$G$1))</f>
        <v>0.14000000000000001</v>
      </c>
      <c r="G27" s="247" t="s">
        <v>1499</v>
      </c>
    </row>
    <row r="28" spans="1:7" s="214" customFormat="1" ht="13.5" customHeight="1">
      <c r="A28" s="780" t="s">
        <v>346</v>
      </c>
      <c r="B28" s="248" t="s">
        <v>1500</v>
      </c>
      <c r="C28" s="249">
        <f ca="1">ROUND((C5+C19+C20)*F27*'数据-取费表'!B21/'数据-取费表'!B20,0)</f>
        <v>12494</v>
      </c>
      <c r="D28" s="235"/>
      <c r="E28" s="236"/>
      <c r="F28" s="246"/>
      <c r="G28" s="247"/>
    </row>
    <row r="29" spans="1:7" s="214" customFormat="1" ht="13.5" customHeight="1">
      <c r="A29" s="780" t="s">
        <v>347</v>
      </c>
      <c r="B29" s="248" t="s">
        <v>1501</v>
      </c>
      <c r="C29" s="238">
        <f ca="1">ROUND(C21*F27*'数据-取费表'!B21/'数据-取费表'!B20,4)</f>
        <v>2.8E-3</v>
      </c>
      <c r="D29" s="235"/>
      <c r="E29" s="236"/>
      <c r="F29" s="246"/>
      <c r="G29" s="247"/>
    </row>
    <row r="30" spans="1:7" s="214" customFormat="1" ht="13.5" customHeight="1">
      <c r="A30" s="255" t="s">
        <v>1502</v>
      </c>
      <c r="B30" s="210" t="s">
        <v>1503</v>
      </c>
      <c r="C30" s="235">
        <f>ROUND(F30/(1+'数据-取费表'!C42),4)</f>
        <v>5.33E-2</v>
      </c>
      <c r="D30" s="236" t="s">
        <v>1498</v>
      </c>
      <c r="E30" s="241"/>
      <c r="F30" s="237">
        <f>'数据-取费表'!B41</f>
        <v>5.6000000000000001E-2</v>
      </c>
      <c r="G30" s="234" t="s">
        <v>1504</v>
      </c>
    </row>
    <row r="31" spans="1:7" ht="16.5" customHeight="1">
      <c r="A31" s="209">
        <v>1</v>
      </c>
      <c r="B31" s="210" t="s">
        <v>1505</v>
      </c>
      <c r="C31" s="211">
        <f ca="1">ROUND((C5+C19+C20+C22+C27)/(1-C21-D22-D27-C30),0)</f>
        <v>116920</v>
      </c>
      <c r="D31" s="230"/>
      <c r="E31" s="211"/>
      <c r="F31" s="250"/>
      <c r="G31" s="234" t="s">
        <v>1506</v>
      </c>
    </row>
    <row r="32" spans="1:7" s="208" customFormat="1" ht="15.75">
      <c r="A32" s="252" t="s">
        <v>1507</v>
      </c>
      <c r="B32" s="253"/>
      <c r="C32" s="253"/>
      <c r="D32" s="253"/>
      <c r="E32" s="253"/>
      <c r="F32" s="253"/>
      <c r="G32" s="254"/>
    </row>
    <row r="33" spans="1:7" s="214" customFormat="1" ht="13.5" customHeight="1">
      <c r="A33" s="255" t="s">
        <v>337</v>
      </c>
      <c r="B33" s="210" t="s">
        <v>1508</v>
      </c>
      <c r="C33" s="256">
        <f ca="1">SUM(C34:C38)</f>
        <v>30880</v>
      </c>
      <c r="D33" s="232"/>
      <c r="E33" s="212"/>
      <c r="F33" s="241"/>
      <c r="G33" s="234"/>
    </row>
    <row r="34" spans="1:7" s="258" customFormat="1" ht="13.5" customHeight="1">
      <c r="A34" s="780" t="s">
        <v>346</v>
      </c>
      <c r="B34" s="215" t="s">
        <v>1509</v>
      </c>
      <c r="C34" s="220">
        <f ca="1">IF(B1="",IF(F34=100%,'数据-取费表'!M16,'数据-取费表'!O16),IF(F34=100%,INDIRECT("'数据-取费表'!m"&amp;$G$1)+INDIRECT("'数据-取费表'!t"&amp;$G$1),INDIRECT("'数据-取费表'!o"&amp;$G$1)+INDIRECT("'数据-取费表'!aq"&amp;$G$1)))</f>
        <v>28618</v>
      </c>
      <c r="D34" s="217"/>
      <c r="E34" s="220"/>
      <c r="F34" s="257">
        <f ca="1">IF('数据-取费表'!B24=0,1,IF(B1="",'数据-取费表'!N16,INDIRECT("'数据-取费表'!n"&amp;$G$1)))</f>
        <v>1</v>
      </c>
      <c r="G34" s="219" t="s">
        <v>1510</v>
      </c>
    </row>
    <row r="35" spans="1:7" ht="13.5" customHeight="1">
      <c r="A35" s="780" t="s">
        <v>351</v>
      </c>
      <c r="B35" s="215" t="s">
        <v>1511</v>
      </c>
      <c r="C35" s="220">
        <f ca="1">ROUND(C34*F35,0)</f>
        <v>859</v>
      </c>
      <c r="D35" s="220"/>
      <c r="E35" s="220"/>
      <c r="F35" s="259">
        <f>'数据-取费表'!B33</f>
        <v>0.03</v>
      </c>
      <c r="G35" s="219" t="s">
        <v>1512</v>
      </c>
    </row>
    <row r="36" spans="1:7" ht="24">
      <c r="A36" s="780" t="s">
        <v>352</v>
      </c>
      <c r="B36" s="215" t="s">
        <v>1513</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1514</v>
      </c>
    </row>
    <row r="37" spans="1:7" s="258" customFormat="1" ht="13.5" customHeight="1">
      <c r="A37" s="780" t="s">
        <v>353</v>
      </c>
      <c r="B37" s="215" t="s">
        <v>1515</v>
      </c>
      <c r="C37" s="249">
        <f ca="1">ROUND(E37*D37*F34/10000,0)</f>
        <v>974</v>
      </c>
      <c r="D37" s="217">
        <f ca="1">D19</f>
        <v>48720.729999999974</v>
      </c>
      <c r="E37" s="249">
        <f>'数据-取费表'!B35</f>
        <v>200</v>
      </c>
      <c r="F37" s="259"/>
      <c r="G37" s="261" t="s">
        <v>1516</v>
      </c>
    </row>
    <row r="38" spans="1:7" ht="13.5" customHeight="1">
      <c r="A38" s="780" t="s">
        <v>354</v>
      </c>
      <c r="B38" s="215" t="s">
        <v>1517</v>
      </c>
      <c r="C38" s="220">
        <f ca="1">ROUND(C34*F38,0)</f>
        <v>429</v>
      </c>
      <c r="D38" s="220"/>
      <c r="E38" s="220"/>
      <c r="F38" s="259">
        <f>'数据-取费表'!B36</f>
        <v>1.4999999999999999E-2</v>
      </c>
      <c r="G38" s="219" t="s">
        <v>1512</v>
      </c>
    </row>
    <row r="39" spans="1:7" s="214" customFormat="1" ht="13.5" customHeight="1">
      <c r="A39" s="255" t="s">
        <v>1518</v>
      </c>
      <c r="B39" s="210" t="s">
        <v>1519</v>
      </c>
      <c r="C39" s="232">
        <f ca="1">ROUND(C33*F20,0)</f>
        <v>618</v>
      </c>
      <c r="D39" s="232"/>
      <c r="E39" s="232"/>
      <c r="F39" s="233">
        <f>F20</f>
        <v>0.02</v>
      </c>
      <c r="G39" s="234" t="s">
        <v>1520</v>
      </c>
    </row>
    <row r="40" spans="1:7" s="214" customFormat="1" ht="13.5" customHeight="1">
      <c r="A40" s="255" t="s">
        <v>1521</v>
      </c>
      <c r="B40" s="210" t="s">
        <v>1522</v>
      </c>
      <c r="C40" s="1327">
        <f>F21</f>
        <v>0.02</v>
      </c>
      <c r="D40" s="236" t="s">
        <v>1523</v>
      </c>
      <c r="E40" s="232"/>
      <c r="F40" s="233">
        <f>F21</f>
        <v>0.02</v>
      </c>
      <c r="G40" s="234" t="s">
        <v>1524</v>
      </c>
    </row>
    <row r="41" spans="1:7" s="214" customFormat="1" ht="13.5" customHeight="1">
      <c r="A41" s="255" t="s">
        <v>1525</v>
      </c>
      <c r="B41" s="210" t="s">
        <v>1526</v>
      </c>
      <c r="C41" s="232">
        <f ca="1">ROUND(SUM(C42:C43),0)</f>
        <v>1086</v>
      </c>
      <c r="D41" s="235">
        <f ca="1">C44</f>
        <v>6.9999999999999999E-4</v>
      </c>
      <c r="E41" s="236" t="s">
        <v>1523</v>
      </c>
      <c r="F41" s="237">
        <f ca="1">F22</f>
        <v>3.4500000000000003E-2</v>
      </c>
      <c r="G41" s="234" t="str">
        <f>IF('数据-取费表'!B22&lt;=1,"单利计息","复利计息")</f>
        <v>复利计息</v>
      </c>
    </row>
    <row r="42" spans="1:7" ht="13.5" customHeight="1">
      <c r="A42" s="780" t="s">
        <v>346</v>
      </c>
      <c r="B42" s="215" t="s">
        <v>1527</v>
      </c>
      <c r="C42" s="238">
        <f ca="1">ROUND(IF('数据-取费表'!B22&lt;=1,C33*F22*'数据-取费表'!B21/2,C33*(POWER((1+F22),'数据-取费表'!B21/2)-1)),0)</f>
        <v>1065</v>
      </c>
      <c r="D42" s="238"/>
      <c r="E42" s="238"/>
      <c r="F42" s="239"/>
      <c r="G42" s="3877" t="s">
        <v>1528</v>
      </c>
    </row>
    <row r="43" spans="1:7" ht="13.5" customHeight="1">
      <c r="A43" s="780" t="s">
        <v>347</v>
      </c>
      <c r="B43" s="215" t="s">
        <v>1529</v>
      </c>
      <c r="C43" s="238">
        <f ca="1">ROUND(IF('数据-取费表'!B22&lt;=1,C39*F22*'数据-取费表'!B21/2,C39*(POWER((1+F22),'数据-取费表'!B21/2)-1)),0)</f>
        <v>21</v>
      </c>
      <c r="D43" s="238"/>
      <c r="E43" s="238"/>
      <c r="F43" s="239"/>
      <c r="G43" s="3878"/>
    </row>
    <row r="44" spans="1:7" ht="13.5" customHeight="1">
      <c r="A44" s="780" t="s">
        <v>348</v>
      </c>
      <c r="B44" s="215" t="s">
        <v>1530</v>
      </c>
      <c r="C44" s="238">
        <f ca="1">ROUND(IF('数据-取费表'!B22&lt;=1,C40*F22*'数据-取费表'!B21/2,C40*(POWER((1+F22),'数据-取费表'!B21/2)-1)),4)</f>
        <v>6.9999999999999999E-4</v>
      </c>
      <c r="D44" s="238"/>
      <c r="E44" s="238"/>
      <c r="F44" s="239"/>
      <c r="G44" s="3879"/>
    </row>
    <row r="45" spans="1:7" s="214" customFormat="1" ht="13.5" customHeight="1">
      <c r="A45" s="255" t="s">
        <v>1531</v>
      </c>
      <c r="B45" s="244" t="s">
        <v>1497</v>
      </c>
      <c r="C45" s="245">
        <f ca="1">C46</f>
        <v>4410</v>
      </c>
      <c r="D45" s="235">
        <f ca="1">C47</f>
        <v>2.8E-3</v>
      </c>
      <c r="E45" s="236" t="s">
        <v>1523</v>
      </c>
      <c r="F45" s="246">
        <f ca="1">F27</f>
        <v>0.14000000000000001</v>
      </c>
      <c r="G45" s="247" t="s">
        <v>1532</v>
      </c>
    </row>
    <row r="46" spans="1:7" s="214" customFormat="1" ht="13.5" customHeight="1">
      <c r="A46" s="780" t="s">
        <v>346</v>
      </c>
      <c r="B46" s="248" t="s">
        <v>1533</v>
      </c>
      <c r="C46" s="249">
        <f ca="1">ROUND((C33+C39)*F27,0)</f>
        <v>4410</v>
      </c>
      <c r="D46" s="263"/>
      <c r="E46" s="236"/>
      <c r="F46" s="246"/>
      <c r="G46" s="247"/>
    </row>
    <row r="47" spans="1:7" s="214" customFormat="1" ht="13.5" customHeight="1">
      <c r="A47" s="780" t="s">
        <v>347</v>
      </c>
      <c r="B47" s="248" t="s">
        <v>1534</v>
      </c>
      <c r="C47" s="238">
        <f ca="1">ROUND(C40*F27,4)</f>
        <v>2.8E-3</v>
      </c>
      <c r="D47" s="263"/>
      <c r="E47" s="236"/>
      <c r="F47" s="246"/>
      <c r="G47" s="247"/>
    </row>
    <row r="48" spans="1:7" s="214" customFormat="1" ht="13.5" customHeight="1">
      <c r="A48" s="255" t="s">
        <v>1496</v>
      </c>
      <c r="B48" s="210" t="s">
        <v>1535</v>
      </c>
      <c r="C48" s="1327">
        <f>ROUND(F30/(1+'数据-取费表'!C42),4)</f>
        <v>5.33E-2</v>
      </c>
      <c r="D48" s="236" t="s">
        <v>1523</v>
      </c>
      <c r="E48" s="232"/>
      <c r="F48" s="237">
        <f>F30</f>
        <v>5.6000000000000001E-2</v>
      </c>
      <c r="G48" s="234" t="s">
        <v>1536</v>
      </c>
    </row>
    <row r="49" spans="1:7" ht="16.5" customHeight="1">
      <c r="A49" s="255" t="s">
        <v>1502</v>
      </c>
      <c r="B49" s="210" t="s">
        <v>1537</v>
      </c>
      <c r="C49" s="232">
        <f ca="1">ROUND((C33+C39+C41+C45)/(1-C40-D41-D45-C48),0)</f>
        <v>40071</v>
      </c>
      <c r="D49" s="232"/>
      <c r="E49" s="232"/>
      <c r="F49" s="264"/>
      <c r="G49" s="234" t="s">
        <v>1538</v>
      </c>
    </row>
    <row r="50" spans="1:7" s="258" customFormat="1" ht="24">
      <c r="A50" s="255" t="s">
        <v>1539</v>
      </c>
      <c r="B50" s="210" t="s">
        <v>1540</v>
      </c>
      <c r="C50" s="232"/>
      <c r="D50" s="232"/>
      <c r="E50" s="232"/>
      <c r="F50" s="264">
        <f>IF('数据-取费表'!B24=0,'数据-取费表'!N16,1)</f>
        <v>0.85</v>
      </c>
      <c r="G50" s="247" t="s">
        <v>1541</v>
      </c>
    </row>
    <row r="51" spans="1:7" ht="16.5" customHeight="1">
      <c r="A51" s="255" t="s">
        <v>1542</v>
      </c>
      <c r="B51" s="210" t="s">
        <v>1543</v>
      </c>
      <c r="C51" s="232">
        <f ca="1">ROUND(C49*F50,0)</f>
        <v>34060</v>
      </c>
      <c r="D51" s="232"/>
      <c r="E51" s="232"/>
      <c r="F51" s="264"/>
      <c r="G51" s="234" t="s">
        <v>1544</v>
      </c>
    </row>
    <row r="52" spans="1:7" s="208" customFormat="1" ht="16.5" thickBot="1">
      <c r="A52" s="265" t="s">
        <v>1545</v>
      </c>
      <c r="B52" s="266"/>
      <c r="C52" s="267">
        <f ca="1">C31+C51</f>
        <v>150980</v>
      </c>
      <c r="D52" s="266"/>
      <c r="E52" s="266"/>
      <c r="F52" s="266"/>
      <c r="G52" s="268"/>
    </row>
    <row r="55" spans="1:7" ht="15">
      <c r="B55" s="270" t="s">
        <v>1546</v>
      </c>
      <c r="C55" s="271"/>
    </row>
    <row r="56" spans="1:7">
      <c r="B56" s="273" t="s">
        <v>802</v>
      </c>
      <c r="C56" s="275">
        <f ca="1">1-C57</f>
        <v>0.77400000000000002</v>
      </c>
    </row>
    <row r="57" spans="1:7">
      <c r="B57" s="273" t="s">
        <v>803</v>
      </c>
      <c r="C57" s="274">
        <f ca="1">ROUND(C51/C52,3)</f>
        <v>0.22600000000000001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13" zoomScale="80" zoomScaleNormal="60" zoomScaleSheetLayoutView="80" workbookViewId="0">
      <selection activeCell="F65" sqref="F65"/>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1851</v>
      </c>
      <c r="B1" s="349"/>
      <c r="C1" s="350" t="s">
        <v>1852</v>
      </c>
      <c r="D1" s="686"/>
      <c r="E1" s="686"/>
      <c r="F1" s="685" t="s">
        <v>1751</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1446</v>
      </c>
      <c r="B2" s="619">
        <f>F65</f>
        <v>83961</v>
      </c>
      <c r="C2" s="907"/>
      <c r="D2" s="907"/>
      <c r="E2" s="908"/>
      <c r="F2" s="909"/>
      <c r="G2" s="908"/>
      <c r="H2" s="908"/>
      <c r="I2" s="908"/>
      <c r="J2" s="908"/>
      <c r="K2" s="910"/>
      <c r="L2" s="2711"/>
      <c r="M2" s="2712"/>
      <c r="N2" s="2712"/>
      <c r="O2" s="2712"/>
      <c r="P2" s="699"/>
      <c r="Q2" s="699"/>
      <c r="R2" s="699"/>
      <c r="S2" s="699"/>
      <c r="T2" s="699"/>
      <c r="U2" s="699"/>
      <c r="V2" s="699"/>
      <c r="W2" s="699"/>
      <c r="X2" s="699"/>
      <c r="Y2" s="699"/>
      <c r="Z2" s="699"/>
      <c r="AA2" s="699"/>
      <c r="AB2" s="699"/>
      <c r="AC2" s="700"/>
      <c r="AD2" s="351"/>
    </row>
    <row r="3" spans="1:30" s="352" customFormat="1" ht="28.5" customHeight="1" thickBot="1">
      <c r="A3" s="203" t="s">
        <v>1448</v>
      </c>
      <c r="B3" s="558">
        <f>ROUND(IF(D3="",B2*10000/'数据-汇总表'!E3,B2*10000/D3),0)</f>
        <v>17233</v>
      </c>
      <c r="C3" s="203" t="s">
        <v>1853</v>
      </c>
      <c r="D3" s="1193"/>
      <c r="E3" s="908"/>
      <c r="F3" s="909"/>
      <c r="G3" s="908"/>
      <c r="H3" s="908"/>
      <c r="I3" s="908"/>
      <c r="J3" s="908"/>
      <c r="K3" s="910"/>
      <c r="L3" s="2711"/>
      <c r="M3" s="2712"/>
      <c r="N3" s="2712"/>
      <c r="O3" s="2712"/>
      <c r="P3" s="699"/>
      <c r="Q3" s="699"/>
      <c r="R3" s="699"/>
      <c r="S3" s="699"/>
      <c r="T3" s="699"/>
      <c r="U3" s="699"/>
      <c r="V3" s="699"/>
      <c r="W3" s="699"/>
      <c r="X3" s="699"/>
      <c r="Y3" s="699"/>
      <c r="Z3" s="699"/>
      <c r="AA3" s="699"/>
      <c r="AB3" s="716"/>
      <c r="AC3" s="713"/>
    </row>
    <row r="4" spans="1:30" ht="15">
      <c r="A4" s="355" t="s">
        <v>1753</v>
      </c>
      <c r="B4" s="356"/>
      <c r="C4" s="3922" t="s">
        <v>1754</v>
      </c>
      <c r="D4" s="3923"/>
      <c r="E4" s="3924" t="s">
        <v>1755</v>
      </c>
      <c r="F4" s="3925"/>
      <c r="G4" s="3922" t="s">
        <v>1756</v>
      </c>
      <c r="H4" s="3923"/>
      <c r="I4" s="3922" t="s">
        <v>1757</v>
      </c>
      <c r="J4" s="3923"/>
      <c r="K4" s="559" t="s">
        <v>1758</v>
      </c>
      <c r="L4" s="2692"/>
      <c r="M4" s="2693"/>
      <c r="N4" s="2693"/>
      <c r="O4" s="2693"/>
      <c r="P4" s="3963" t="s">
        <v>1759</v>
      </c>
      <c r="Q4" s="3964"/>
      <c r="R4" s="3967" t="s">
        <v>1755</v>
      </c>
      <c r="S4" s="3968"/>
      <c r="T4" s="3967" t="s">
        <v>1756</v>
      </c>
      <c r="U4" s="3968"/>
      <c r="V4" s="3939" t="s">
        <v>1757</v>
      </c>
      <c r="W4" s="3939"/>
      <c r="X4" s="1355"/>
      <c r="Y4" s="3967" t="s">
        <v>1759</v>
      </c>
      <c r="Z4" s="3968"/>
      <c r="AA4" s="3962" t="s">
        <v>1755</v>
      </c>
      <c r="AB4" s="3953" t="s">
        <v>1756</v>
      </c>
      <c r="AC4" s="3962" t="s">
        <v>1757</v>
      </c>
    </row>
    <row r="5" spans="1:30" ht="53.25" customHeight="1">
      <c r="A5" s="358"/>
      <c r="B5" s="359"/>
      <c r="C5" s="3948" t="s">
        <v>1657</v>
      </c>
      <c r="D5" s="3943"/>
      <c r="E5" s="3955" t="str">
        <f>土地案例!A2</f>
        <v>北京市朝阳区太阳宫乡0301-613地块B4综合性商业金融服务业用地</v>
      </c>
      <c r="F5" s="3956"/>
      <c r="G5" s="3948" t="str">
        <f>土地案例!A3</f>
        <v>北京市海淀区西八里庄0711-652、640、641地块B4综合性商业金融服务业用地</v>
      </c>
      <c r="H5" s="3943"/>
      <c r="I5" s="3948" t="str">
        <f>土地案例!A4</f>
        <v>北京市朝阳区朝阳站交通枢纽南侧建设用地一体化项目0313-5597、5598、5599地块B4综合性商业金融服务业用地</v>
      </c>
      <c r="J5" s="3943"/>
      <c r="K5" s="559"/>
      <c r="L5" s="2692"/>
      <c r="M5" s="2693"/>
      <c r="N5" s="2693"/>
      <c r="O5" s="2693"/>
      <c r="P5" s="3965"/>
      <c r="Q5" s="3929"/>
      <c r="R5" s="3934"/>
      <c r="S5" s="3935"/>
      <c r="T5" s="3934"/>
      <c r="U5" s="3935"/>
      <c r="V5" s="3939"/>
      <c r="W5" s="3939"/>
      <c r="X5" s="1355"/>
      <c r="Y5" s="3934"/>
      <c r="Z5" s="3935"/>
      <c r="AA5" s="3953"/>
      <c r="AB5" s="3953"/>
      <c r="AC5" s="3953"/>
    </row>
    <row r="6" spans="1:30" ht="15.75" thickBot="1">
      <c r="A6" s="360"/>
      <c r="B6" s="361"/>
      <c r="C6" s="3940" t="s">
        <v>1661</v>
      </c>
      <c r="D6" s="3941"/>
      <c r="E6" s="3950" t="s">
        <v>1661</v>
      </c>
      <c r="F6" s="3951"/>
      <c r="G6" s="3940" t="s">
        <v>1661</v>
      </c>
      <c r="H6" s="3941"/>
      <c r="I6" s="3940" t="s">
        <v>1661</v>
      </c>
      <c r="J6" s="3941"/>
      <c r="K6" s="559" t="s">
        <v>1662</v>
      </c>
      <c r="L6" s="2692"/>
      <c r="M6" s="2693"/>
      <c r="N6" s="2693"/>
      <c r="O6" s="2693"/>
      <c r="P6" s="3966"/>
      <c r="Q6" s="3931"/>
      <c r="R6" s="3934"/>
      <c r="S6" s="3935"/>
      <c r="T6" s="3936"/>
      <c r="U6" s="3937"/>
      <c r="V6" s="3939"/>
      <c r="W6" s="3939"/>
      <c r="X6" s="1355"/>
      <c r="Y6" s="3936"/>
      <c r="Z6" s="3937"/>
      <c r="AA6" s="3954"/>
      <c r="AB6" s="3954"/>
      <c r="AC6" s="3954"/>
    </row>
    <row r="7" spans="1:30" s="108" customFormat="1" ht="15.75" thickBot="1">
      <c r="A7" s="362" t="s">
        <v>1663</v>
      </c>
      <c r="B7" s="363"/>
      <c r="C7" s="364">
        <f>'数据-取费表'!B2</f>
        <v>45287</v>
      </c>
      <c r="D7" s="365">
        <v>100</v>
      </c>
      <c r="E7" s="366">
        <v>45114.000497685185</v>
      </c>
      <c r="F7" s="367">
        <f>SUMIF(69:69,YEAR(E7)&amp;"-"&amp;INT((MONTH(E7)+2)/3),70:70)</f>
        <v>99.5</v>
      </c>
      <c r="G7" s="1974">
        <v>44167.000497685185</v>
      </c>
      <c r="H7" s="365">
        <f>SUMIF(69:69,YEAR(G7)&amp;"-"&amp;INT((MONTH(G7)+2)/3),70:70)</f>
        <v>94</v>
      </c>
      <c r="I7" s="1974">
        <v>44980.000497685185</v>
      </c>
      <c r="J7" s="365">
        <f>SUMIF(69:69,YEAR(I7)&amp;"-"&amp;INT((MONTH(I7)+2)/3),70:70)</f>
        <v>98.5</v>
      </c>
      <c r="K7" s="560"/>
      <c r="L7" s="2694"/>
      <c r="M7" s="2695"/>
      <c r="N7" s="2695"/>
      <c r="O7" s="2695"/>
      <c r="P7" s="3946" t="s">
        <v>1664</v>
      </c>
      <c r="Q7" s="3947"/>
      <c r="R7" s="701" t="s">
        <v>14</v>
      </c>
      <c r="S7" s="702">
        <f t="shared" ref="S7:S15" si="0">F7</f>
        <v>99.5</v>
      </c>
      <c r="T7" s="701" t="s">
        <v>14</v>
      </c>
      <c r="U7" s="702">
        <f t="shared" ref="U7:U15" si="1">H7</f>
        <v>94</v>
      </c>
      <c r="V7" s="701" t="s">
        <v>14</v>
      </c>
      <c r="W7" s="702">
        <f t="shared" ref="W7:W15" si="2">J7</f>
        <v>98.5</v>
      </c>
      <c r="X7" s="703"/>
      <c r="Y7" s="3946" t="s">
        <v>1664</v>
      </c>
      <c r="Z7" s="3945"/>
      <c r="AA7" s="704">
        <f>D7/F7</f>
        <v>1.0050251256281406</v>
      </c>
      <c r="AB7" s="704">
        <f>D7/H7</f>
        <v>1.0638297872340425</v>
      </c>
      <c r="AC7" s="704">
        <f>D7/J7</f>
        <v>1.015228426395939</v>
      </c>
    </row>
    <row r="8" spans="1:30" s="108" customFormat="1" ht="15.75" thickBot="1">
      <c r="A8" s="362" t="s">
        <v>1665</v>
      </c>
      <c r="B8" s="363"/>
      <c r="C8" s="368" t="s">
        <v>1666</v>
      </c>
      <c r="D8" s="365">
        <v>100</v>
      </c>
      <c r="E8" s="368" t="s">
        <v>3824</v>
      </c>
      <c r="F8" s="367">
        <f>SUMIF(72:72,E8,73:73)-SUMIF(72:72,C8,73:73)+100</f>
        <v>100</v>
      </c>
      <c r="G8" s="368" t="s">
        <v>3824</v>
      </c>
      <c r="H8" s="365">
        <f>SUMIF(72:72,G8,73:73)-SUMIF(72:72,C8,73:73)+100</f>
        <v>100</v>
      </c>
      <c r="I8" s="368" t="s">
        <v>3824</v>
      </c>
      <c r="J8" s="365">
        <f>SUMIF(72:72,I8,73:73)-SUMIF(72:72,C8,73:73)+100</f>
        <v>100</v>
      </c>
      <c r="K8" s="560"/>
      <c r="L8" s="2694"/>
      <c r="M8" s="2695"/>
      <c r="N8" s="2695"/>
      <c r="O8" s="2695"/>
      <c r="P8" s="3946" t="s">
        <v>1667</v>
      </c>
      <c r="Q8" s="3945"/>
      <c r="R8" s="701" t="s">
        <v>14</v>
      </c>
      <c r="S8" s="702">
        <f t="shared" si="0"/>
        <v>100</v>
      </c>
      <c r="T8" s="701" t="s">
        <v>14</v>
      </c>
      <c r="U8" s="702">
        <f t="shared" si="1"/>
        <v>100</v>
      </c>
      <c r="V8" s="701" t="s">
        <v>14</v>
      </c>
      <c r="W8" s="702">
        <f t="shared" si="2"/>
        <v>100</v>
      </c>
      <c r="X8" s="703"/>
      <c r="Y8" s="3946" t="s">
        <v>1667</v>
      </c>
      <c r="Z8" s="3945"/>
      <c r="AA8" s="704">
        <f t="shared" ref="AA8:AA45" si="3">D8/F8</f>
        <v>1</v>
      </c>
      <c r="AB8" s="704">
        <f t="shared" ref="AB8:AB45" si="4">D8/H8</f>
        <v>1</v>
      </c>
      <c r="AC8" s="704">
        <f t="shared" ref="AC8:AC45" si="5">D8/J8</f>
        <v>1</v>
      </c>
    </row>
    <row r="9" spans="1:30" s="108" customFormat="1" ht="28.5">
      <c r="A9" s="369" t="s">
        <v>1668</v>
      </c>
      <c r="B9" s="63" t="s">
        <v>1669</v>
      </c>
      <c r="C9" s="1977" t="s">
        <v>3371</v>
      </c>
      <c r="D9" s="126">
        <v>100</v>
      </c>
      <c r="E9" s="1977" t="s">
        <v>4972</v>
      </c>
      <c r="F9" s="126">
        <f>SUMIF(74:74,E9,75:75)-SUMIF(74:74,C9,75:75)+100</f>
        <v>100</v>
      </c>
      <c r="G9" s="1977" t="s">
        <v>4972</v>
      </c>
      <c r="H9" s="126">
        <f>SUMIF(74:74,G9,75:75)-SUMIF(74:74,C9,75:75)+100</f>
        <v>100</v>
      </c>
      <c r="I9" s="1977" t="s">
        <v>4972</v>
      </c>
      <c r="J9" s="126">
        <f>SUMIF(74:74,I9,75:75)-SUMIF(74:74,C9,75:75)+100</f>
        <v>100</v>
      </c>
      <c r="K9" s="560"/>
      <c r="L9" s="2694"/>
      <c r="M9" s="2695"/>
      <c r="N9" s="2695"/>
      <c r="O9" s="2749"/>
      <c r="P9" s="3905" t="s">
        <v>1670</v>
      </c>
      <c r="Q9" s="1343" t="str">
        <f t="shared" ref="Q9:Q15" si="6">B9</f>
        <v>用途</v>
      </c>
      <c r="R9" s="701" t="s">
        <v>14</v>
      </c>
      <c r="S9" s="702">
        <f t="shared" si="0"/>
        <v>100</v>
      </c>
      <c r="T9" s="701" t="s">
        <v>14</v>
      </c>
      <c r="U9" s="702">
        <f t="shared" si="1"/>
        <v>100</v>
      </c>
      <c r="V9" s="701" t="s">
        <v>14</v>
      </c>
      <c r="W9" s="702">
        <f t="shared" si="2"/>
        <v>100</v>
      </c>
      <c r="X9" s="703"/>
      <c r="Y9" s="3783" t="s">
        <v>1671</v>
      </c>
      <c r="Z9" s="52" t="str">
        <f t="shared" ref="Z9:Z15" si="7">Q9</f>
        <v>用途</v>
      </c>
      <c r="AA9" s="704">
        <f t="shared" si="3"/>
        <v>1</v>
      </c>
      <c r="AB9" s="704">
        <f t="shared" si="4"/>
        <v>1</v>
      </c>
      <c r="AC9" s="704">
        <f t="shared" si="5"/>
        <v>1</v>
      </c>
    </row>
    <row r="10" spans="1:30" s="378" customFormat="1" ht="27">
      <c r="A10" s="374"/>
      <c r="B10" s="375" t="s">
        <v>1672</v>
      </c>
      <c r="C10" s="383">
        <f>项目基本情况!D15</f>
        <v>18.899999999999999</v>
      </c>
      <c r="D10" s="127">
        <v>100</v>
      </c>
      <c r="E10" s="416" t="s">
        <v>4973</v>
      </c>
      <c r="F10" s="127">
        <f>ROUND(100/'数据-取费表'!G16,0)</f>
        <v>140</v>
      </c>
      <c r="G10" s="414" t="s">
        <v>4973</v>
      </c>
      <c r="H10" s="127">
        <f>ROUND(100/'数据-取费表'!G16,0)</f>
        <v>140</v>
      </c>
      <c r="I10" s="414" t="s">
        <v>4973</v>
      </c>
      <c r="J10" s="127">
        <f>ROUND(100/'数据-取费表'!G16,0)</f>
        <v>140</v>
      </c>
      <c r="K10" s="620"/>
      <c r="L10" s="2696"/>
      <c r="M10" s="2697"/>
      <c r="N10" s="2697"/>
      <c r="O10" s="2750"/>
      <c r="P10" s="3905"/>
      <c r="Q10" s="1343" t="str">
        <f t="shared" si="6"/>
        <v>土地使用年限（年）</v>
      </c>
      <c r="R10" s="701" t="s">
        <v>14</v>
      </c>
      <c r="S10" s="702">
        <f t="shared" si="0"/>
        <v>140</v>
      </c>
      <c r="T10" s="701" t="s">
        <v>14</v>
      </c>
      <c r="U10" s="702">
        <f t="shared" si="1"/>
        <v>140</v>
      </c>
      <c r="V10" s="701" t="s">
        <v>14</v>
      </c>
      <c r="W10" s="702">
        <f t="shared" si="2"/>
        <v>140</v>
      </c>
      <c r="X10" s="703"/>
      <c r="Y10" s="3783"/>
      <c r="Z10" s="52" t="str">
        <f t="shared" si="7"/>
        <v>土地使用年限（年）</v>
      </c>
      <c r="AA10" s="704">
        <f t="shared" si="3"/>
        <v>0.7142857142857143</v>
      </c>
      <c r="AB10" s="704">
        <f t="shared" si="4"/>
        <v>0.7142857142857143</v>
      </c>
      <c r="AC10" s="704">
        <f t="shared" si="5"/>
        <v>0.7142857142857143</v>
      </c>
    </row>
    <row r="11" spans="1:30" ht="15">
      <c r="A11" s="379"/>
      <c r="B11" s="375" t="s">
        <v>1673</v>
      </c>
      <c r="C11" s="380"/>
      <c r="D11" s="127">
        <v>100</v>
      </c>
      <c r="E11" s="380">
        <v>4.5</v>
      </c>
      <c r="F11" s="127">
        <f>LOOKUP(E11,79:79,80:80)-LOOKUP(C11,79:79,80:80)+100</f>
        <v>100</v>
      </c>
      <c r="G11" s="381">
        <v>4.5</v>
      </c>
      <c r="H11" s="127">
        <f>LOOKUP(G11,79:79,80:80)-LOOKUP(C11,79:79,80:80)+100</f>
        <v>100</v>
      </c>
      <c r="I11" s="380">
        <v>4.3899999999999997</v>
      </c>
      <c r="J11" s="127">
        <f>LOOKUP(I11,79:79,80:80)-LOOKUP(C11,79:79,80:80)+100</f>
        <v>100</v>
      </c>
      <c r="K11" s="621"/>
      <c r="L11" s="2698"/>
      <c r="M11" s="2693"/>
      <c r="N11" s="2693"/>
      <c r="O11" s="2751"/>
      <c r="P11" s="3905"/>
      <c r="Q11" s="1343" t="str">
        <f t="shared" si="6"/>
        <v>容积率</v>
      </c>
      <c r="R11" s="701" t="s">
        <v>14</v>
      </c>
      <c r="S11" s="702">
        <f t="shared" si="0"/>
        <v>100</v>
      </c>
      <c r="T11" s="701" t="s">
        <v>14</v>
      </c>
      <c r="U11" s="702">
        <f t="shared" si="1"/>
        <v>100</v>
      </c>
      <c r="V11" s="701" t="s">
        <v>14</v>
      </c>
      <c r="W11" s="702">
        <f t="shared" si="2"/>
        <v>100</v>
      </c>
      <c r="X11" s="703"/>
      <c r="Y11" s="3783"/>
      <c r="Z11" s="52" t="str">
        <f t="shared" si="7"/>
        <v>容积率</v>
      </c>
      <c r="AA11" s="704">
        <f t="shared" si="3"/>
        <v>1</v>
      </c>
      <c r="AB11" s="704">
        <f t="shared" si="4"/>
        <v>1</v>
      </c>
      <c r="AC11" s="704">
        <f t="shared" si="5"/>
        <v>1</v>
      </c>
    </row>
    <row r="12" spans="1:30" s="108" customFormat="1" ht="15">
      <c r="A12" s="382"/>
      <c r="B12" s="1893" t="s">
        <v>1854</v>
      </c>
      <c r="C12" s="383"/>
      <c r="D12" s="384">
        <v>100</v>
      </c>
      <c r="E12" s="416"/>
      <c r="F12" s="127">
        <f>SUMIF(81:81,E12,82:82)-SUMIF(81:81,C12,82:82)+100</f>
        <v>100</v>
      </c>
      <c r="G12" s="414"/>
      <c r="H12" s="127">
        <f>SUMIF(81:81,G12,82:82)-SUMIF(81:81,C12,82:82)+100</f>
        <v>100</v>
      </c>
      <c r="I12" s="416"/>
      <c r="J12" s="127">
        <f>SUMIF(81:81,I12,82:82)-SUMIF(81:81,C12,82:82)+100</f>
        <v>100</v>
      </c>
      <c r="K12" s="620"/>
      <c r="L12" s="2694"/>
      <c r="M12" s="2695"/>
      <c r="N12" s="2695"/>
      <c r="O12" s="2749"/>
      <c r="P12" s="3905"/>
      <c r="Q12" s="1343" t="str">
        <f t="shared" si="6"/>
        <v>配建</v>
      </c>
      <c r="R12" s="701" t="s">
        <v>14</v>
      </c>
      <c r="S12" s="702">
        <f t="shared" si="0"/>
        <v>100</v>
      </c>
      <c r="T12" s="701" t="s">
        <v>14</v>
      </c>
      <c r="U12" s="702">
        <f t="shared" si="1"/>
        <v>100</v>
      </c>
      <c r="V12" s="701" t="s">
        <v>14</v>
      </c>
      <c r="W12" s="702">
        <f t="shared" si="2"/>
        <v>100</v>
      </c>
      <c r="X12" s="703"/>
      <c r="Y12" s="378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699"/>
      <c r="M13" s="2693"/>
      <c r="N13" s="2693"/>
      <c r="O13" s="2751"/>
      <c r="P13" s="3905"/>
      <c r="Q13" s="1343">
        <f t="shared" si="6"/>
        <v>111</v>
      </c>
      <c r="R13" s="701" t="s">
        <v>14</v>
      </c>
      <c r="S13" s="702">
        <f t="shared" si="0"/>
        <v>100</v>
      </c>
      <c r="T13" s="701" t="s">
        <v>14</v>
      </c>
      <c r="U13" s="702">
        <f t="shared" si="1"/>
        <v>100</v>
      </c>
      <c r="V13" s="701" t="s">
        <v>14</v>
      </c>
      <c r="W13" s="702">
        <f t="shared" si="2"/>
        <v>100</v>
      </c>
      <c r="X13" s="703"/>
      <c r="Y13" s="378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699"/>
      <c r="M14" s="2693"/>
      <c r="N14" s="2693"/>
      <c r="O14" s="2751"/>
      <c r="P14" s="3905"/>
      <c r="Q14" s="1343">
        <f t="shared" si="6"/>
        <v>111</v>
      </c>
      <c r="R14" s="701" t="s">
        <v>14</v>
      </c>
      <c r="S14" s="702">
        <f t="shared" si="0"/>
        <v>100</v>
      </c>
      <c r="T14" s="701" t="s">
        <v>14</v>
      </c>
      <c r="U14" s="702">
        <f t="shared" si="1"/>
        <v>100</v>
      </c>
      <c r="V14" s="701" t="s">
        <v>14</v>
      </c>
      <c r="W14" s="702">
        <f t="shared" si="2"/>
        <v>100</v>
      </c>
      <c r="X14" s="703"/>
      <c r="Y14" s="3783"/>
      <c r="Z14" s="52">
        <f t="shared" si="7"/>
        <v>111</v>
      </c>
      <c r="AA14" s="704">
        <f>D14/F14</f>
        <v>1</v>
      </c>
      <c r="AB14" s="704">
        <f>D14/H14</f>
        <v>1</v>
      </c>
      <c r="AC14" s="704">
        <f>D14/J14</f>
        <v>1</v>
      </c>
    </row>
    <row r="15" spans="1:30" ht="15" hidden="1">
      <c r="A15" s="391" t="s">
        <v>1674</v>
      </c>
      <c r="B15" s="61" t="s">
        <v>1257</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699"/>
      <c r="M15" s="2693"/>
      <c r="N15" s="2693"/>
      <c r="O15" s="2751"/>
      <c r="P15" s="3912" t="s">
        <v>1675</v>
      </c>
      <c r="Q15" s="1352" t="str">
        <f t="shared" si="6"/>
        <v>居住社区成熟度</v>
      </c>
      <c r="R15" s="705" t="s">
        <v>14</v>
      </c>
      <c r="S15" s="706">
        <f t="shared" si="0"/>
        <v>100</v>
      </c>
      <c r="T15" s="705" t="s">
        <v>14</v>
      </c>
      <c r="U15" s="706">
        <f t="shared" si="1"/>
        <v>100</v>
      </c>
      <c r="V15" s="705" t="s">
        <v>14</v>
      </c>
      <c r="W15" s="706">
        <f t="shared" si="2"/>
        <v>100</v>
      </c>
      <c r="X15" s="1355"/>
      <c r="Y15" s="3912" t="s">
        <v>1675</v>
      </c>
      <c r="Z15" s="1356" t="str">
        <f t="shared" si="7"/>
        <v>居住社区成熟度</v>
      </c>
      <c r="AA15" s="1353">
        <f t="shared" si="3"/>
        <v>1</v>
      </c>
      <c r="AB15" s="1353">
        <f t="shared" si="4"/>
        <v>1</v>
      </c>
      <c r="AC15" s="1353">
        <f t="shared" si="5"/>
        <v>1</v>
      </c>
    </row>
    <row r="16" spans="1:30" ht="15" hidden="1">
      <c r="A16" s="379"/>
      <c r="B16" s="397"/>
      <c r="C16" s="398"/>
      <c r="D16" s="399"/>
      <c r="E16" s="1898"/>
      <c r="F16" s="399"/>
      <c r="G16" s="1898"/>
      <c r="H16" s="401"/>
      <c r="I16" s="1897"/>
      <c r="J16" s="399"/>
      <c r="K16" s="620"/>
      <c r="L16" s="2699"/>
      <c r="M16" s="2693"/>
      <c r="N16" s="2693"/>
      <c r="O16" s="2751"/>
      <c r="P16" s="3913"/>
      <c r="Q16" s="1352"/>
      <c r="R16" s="705"/>
      <c r="S16" s="706"/>
      <c r="T16" s="705"/>
      <c r="U16" s="706"/>
      <c r="V16" s="705"/>
      <c r="W16" s="706"/>
      <c r="X16" s="1355"/>
      <c r="Y16" s="3913"/>
      <c r="Z16" s="1356"/>
      <c r="AA16" s="1353">
        <v>1</v>
      </c>
      <c r="AB16" s="1353">
        <v>1</v>
      </c>
      <c r="AC16" s="1353">
        <v>1</v>
      </c>
    </row>
    <row r="17" spans="1:29" ht="15">
      <c r="A17" s="379"/>
      <c r="B17" s="402" t="s">
        <v>1761</v>
      </c>
      <c r="C17" s="1955" t="str">
        <f>估价对象房地状况!C16</f>
        <v>一般</v>
      </c>
      <c r="D17" s="401">
        <v>100</v>
      </c>
      <c r="E17" s="403" t="s">
        <v>3428</v>
      </c>
      <c r="F17" s="401">
        <f>SUMIF(89:89,E18,90:90)-SUMIF(89:89,C18,90:90)+100</f>
        <v>100</v>
      </c>
      <c r="G17" s="403" t="s">
        <v>3832</v>
      </c>
      <c r="H17" s="406">
        <f>SUMIF(89:89,G18,90:90)-SUMIF(89:89,C18,90:90)+100</f>
        <v>100</v>
      </c>
      <c r="I17" s="405" t="s">
        <v>3428</v>
      </c>
      <c r="J17" s="406">
        <f>SUMIF(89:89,I18,90:90)-SUMIF(89:89,C18,90:90)+100</f>
        <v>100</v>
      </c>
      <c r="K17" s="621"/>
      <c r="L17" s="2699"/>
      <c r="M17" s="2693"/>
      <c r="N17" s="2693"/>
      <c r="O17" s="2751"/>
      <c r="P17" s="3913"/>
      <c r="Q17" s="1352" t="str">
        <f>B17</f>
        <v>商业繁华度</v>
      </c>
      <c r="R17" s="705" t="s">
        <v>14</v>
      </c>
      <c r="S17" s="706">
        <f>F17</f>
        <v>100</v>
      </c>
      <c r="T17" s="705" t="s">
        <v>14</v>
      </c>
      <c r="U17" s="706">
        <f>H17</f>
        <v>100</v>
      </c>
      <c r="V17" s="705" t="s">
        <v>14</v>
      </c>
      <c r="W17" s="706">
        <f>J17</f>
        <v>100</v>
      </c>
      <c r="X17" s="1355"/>
      <c r="Y17" s="3913"/>
      <c r="Z17" s="1356" t="str">
        <f>Q17</f>
        <v>商业繁华度</v>
      </c>
      <c r="AA17" s="1353">
        <f t="shared" si="3"/>
        <v>1</v>
      </c>
      <c r="AB17" s="1353">
        <f t="shared" si="4"/>
        <v>1</v>
      </c>
      <c r="AC17" s="1353">
        <f t="shared" si="5"/>
        <v>1</v>
      </c>
    </row>
    <row r="18" spans="1:29" ht="15">
      <c r="A18" s="379"/>
      <c r="B18" s="407"/>
      <c r="C18" s="1901" t="s">
        <v>3832</v>
      </c>
      <c r="D18" s="401"/>
      <c r="E18" s="1903" t="s">
        <v>3428</v>
      </c>
      <c r="F18" s="401"/>
      <c r="G18" s="1903" t="s">
        <v>3832</v>
      </c>
      <c r="H18" s="399"/>
      <c r="I18" s="1902" t="s">
        <v>3428</v>
      </c>
      <c r="J18" s="399"/>
      <c r="K18" s="620"/>
      <c r="L18" s="2699"/>
      <c r="M18" s="2693"/>
      <c r="N18" s="2693"/>
      <c r="O18" s="2751"/>
      <c r="P18" s="3913"/>
      <c r="Q18" s="1352"/>
      <c r="R18" s="705"/>
      <c r="S18" s="706"/>
      <c r="T18" s="705"/>
      <c r="U18" s="706"/>
      <c r="V18" s="705"/>
      <c r="W18" s="706"/>
      <c r="X18" s="1355"/>
      <c r="Y18" s="3913"/>
      <c r="Z18" s="1356"/>
      <c r="AA18" s="1353">
        <v>1</v>
      </c>
      <c r="AB18" s="1353">
        <v>1</v>
      </c>
      <c r="AC18" s="1353">
        <v>1</v>
      </c>
    </row>
    <row r="19" spans="1:29" ht="15">
      <c r="A19" s="379"/>
      <c r="B19" s="402" t="s">
        <v>1795</v>
      </c>
      <c r="C19" s="1955" t="str">
        <f>估价对象房地状况!C17</f>
        <v>一般</v>
      </c>
      <c r="D19" s="406">
        <v>100</v>
      </c>
      <c r="E19" s="408" t="s">
        <v>3428</v>
      </c>
      <c r="F19" s="406">
        <f>SUMIF(91:91,E20,92:92)-SUMIF(91:91,C20,92:92)+100</f>
        <v>100</v>
      </c>
      <c r="G19" s="408" t="s">
        <v>3428</v>
      </c>
      <c r="H19" s="401">
        <f>SUMIF(91:91,G20,92:92)-SUMIF(91:91,C20,92:92)+100</f>
        <v>100</v>
      </c>
      <c r="I19" s="410" t="s">
        <v>4977</v>
      </c>
      <c r="J19" s="401">
        <f>SUMIF(91:91,I20,92:92)-SUMIF(91:91,C20,92:92)+100</f>
        <v>100</v>
      </c>
      <c r="K19" s="621"/>
      <c r="L19" s="2699"/>
      <c r="M19" s="2693"/>
      <c r="N19" s="2693"/>
      <c r="O19" s="2751"/>
      <c r="P19" s="3913"/>
      <c r="Q19" s="1352" t="str">
        <f>B19</f>
        <v>办公集聚程度</v>
      </c>
      <c r="R19" s="705" t="s">
        <v>14</v>
      </c>
      <c r="S19" s="706">
        <f>F19</f>
        <v>100</v>
      </c>
      <c r="T19" s="705" t="s">
        <v>14</v>
      </c>
      <c r="U19" s="706">
        <f>H19</f>
        <v>100</v>
      </c>
      <c r="V19" s="705" t="s">
        <v>14</v>
      </c>
      <c r="W19" s="706">
        <f>J19</f>
        <v>100</v>
      </c>
      <c r="X19" s="1355"/>
      <c r="Y19" s="3913"/>
      <c r="Z19" s="1356" t="str">
        <f>Q19</f>
        <v>办公集聚程度</v>
      </c>
      <c r="AA19" s="1353">
        <f t="shared" si="3"/>
        <v>1</v>
      </c>
      <c r="AB19" s="1353">
        <f t="shared" si="4"/>
        <v>1</v>
      </c>
      <c r="AC19" s="1353">
        <f t="shared" si="5"/>
        <v>1</v>
      </c>
    </row>
    <row r="20" spans="1:29" ht="15">
      <c r="A20" s="379"/>
      <c r="B20" s="407"/>
      <c r="C20" s="398" t="s">
        <v>3832</v>
      </c>
      <c r="D20" s="399"/>
      <c r="E20" s="1898" t="s">
        <v>3428</v>
      </c>
      <c r="F20" s="399"/>
      <c r="G20" s="1898" t="s">
        <v>3428</v>
      </c>
      <c r="H20" s="399"/>
      <c r="I20" s="1897" t="s">
        <v>4977</v>
      </c>
      <c r="J20" s="399"/>
      <c r="K20" s="620"/>
      <c r="L20" s="2699"/>
      <c r="M20" s="2693"/>
      <c r="N20" s="2693"/>
      <c r="O20" s="2751"/>
      <c r="P20" s="3913"/>
      <c r="Q20" s="1352"/>
      <c r="R20" s="705"/>
      <c r="S20" s="706"/>
      <c r="T20" s="705"/>
      <c r="U20" s="706"/>
      <c r="V20" s="705"/>
      <c r="W20" s="706"/>
      <c r="X20" s="1355"/>
      <c r="Y20" s="3913"/>
      <c r="Z20" s="1356"/>
      <c r="AA20" s="1353">
        <v>1</v>
      </c>
      <c r="AB20" s="1353">
        <v>1</v>
      </c>
      <c r="AC20" s="1353">
        <v>1</v>
      </c>
    </row>
    <row r="21" spans="1:29" ht="15">
      <c r="A21" s="379"/>
      <c r="B21" s="402" t="s">
        <v>1817</v>
      </c>
      <c r="C21" s="1900" t="str">
        <f>估价对象房地状况!C18</f>
        <v>一般</v>
      </c>
      <c r="D21" s="401">
        <v>100</v>
      </c>
      <c r="E21" s="403" t="s">
        <v>3428</v>
      </c>
      <c r="F21" s="406">
        <f>SUMIF(93:93,E22,94:94)-SUMIF(93:93,C22,94:94)+100</f>
        <v>100</v>
      </c>
      <c r="G21" s="403" t="s">
        <v>3428</v>
      </c>
      <c r="H21" s="401">
        <f>SUMIF(93:93,G22,94:94)-SUMIF(93:93,C22,94:94)+100</f>
        <v>100</v>
      </c>
      <c r="I21" s="405" t="s">
        <v>3832</v>
      </c>
      <c r="J21" s="401">
        <f>SUMIF(93:93,I22,94:94)-SUMIF(93:93,C22,94:94)+100</f>
        <v>100</v>
      </c>
      <c r="K21" s="621"/>
      <c r="L21" s="2699"/>
      <c r="M21" s="2693"/>
      <c r="N21" s="2693"/>
      <c r="O21" s="2751"/>
      <c r="P21" s="3913"/>
      <c r="Q21" s="1352" t="str">
        <f>B21</f>
        <v>交通便捷度</v>
      </c>
      <c r="R21" s="705" t="s">
        <v>14</v>
      </c>
      <c r="S21" s="706">
        <f>F21</f>
        <v>100</v>
      </c>
      <c r="T21" s="705" t="s">
        <v>14</v>
      </c>
      <c r="U21" s="706">
        <f>H21</f>
        <v>100</v>
      </c>
      <c r="V21" s="705" t="s">
        <v>14</v>
      </c>
      <c r="W21" s="706">
        <f>J21</f>
        <v>100</v>
      </c>
      <c r="X21" s="1355"/>
      <c r="Y21" s="3913"/>
      <c r="Z21" s="1356" t="str">
        <f>Q21</f>
        <v>交通便捷度</v>
      </c>
      <c r="AA21" s="1353">
        <f t="shared" si="3"/>
        <v>1</v>
      </c>
      <c r="AB21" s="1353">
        <f t="shared" si="4"/>
        <v>1</v>
      </c>
      <c r="AC21" s="1353">
        <f t="shared" si="5"/>
        <v>1</v>
      </c>
    </row>
    <row r="22" spans="1:29" ht="15">
      <c r="A22" s="379"/>
      <c r="B22" s="1131"/>
      <c r="C22" s="398" t="s">
        <v>3832</v>
      </c>
      <c r="D22" s="401"/>
      <c r="E22" s="1898" t="s">
        <v>3428</v>
      </c>
      <c r="F22" s="399"/>
      <c r="G22" s="1898" t="s">
        <v>3428</v>
      </c>
      <c r="H22" s="399"/>
      <c r="I22" s="1897" t="s">
        <v>3832</v>
      </c>
      <c r="J22" s="399"/>
      <c r="K22" s="620"/>
      <c r="L22" s="2699"/>
      <c r="M22" s="2693"/>
      <c r="N22" s="2693"/>
      <c r="O22" s="2751"/>
      <c r="P22" s="3913"/>
      <c r="Q22" s="1352"/>
      <c r="R22" s="705"/>
      <c r="S22" s="706"/>
      <c r="T22" s="705"/>
      <c r="U22" s="706"/>
      <c r="V22" s="705"/>
      <c r="W22" s="706"/>
      <c r="X22" s="1355"/>
      <c r="Y22" s="3913"/>
      <c r="Z22" s="1356"/>
      <c r="AA22" s="1353">
        <v>1</v>
      </c>
      <c r="AB22" s="1353">
        <v>1</v>
      </c>
      <c r="AC22" s="1353">
        <v>1</v>
      </c>
    </row>
    <row r="23" spans="1:29" ht="15">
      <c r="A23" s="358"/>
      <c r="B23" s="402" t="s">
        <v>1855</v>
      </c>
      <c r="C23" s="1136">
        <f>估价对象房地状况!C19</f>
        <v>0</v>
      </c>
      <c r="D23" s="406">
        <v>100</v>
      </c>
      <c r="E23" s="403" t="s">
        <v>3428</v>
      </c>
      <c r="F23" s="406">
        <f>SUMIF(95:95,E24,96:96)-SUMIF(95:95,C24,96:96)+100</f>
        <v>100</v>
      </c>
      <c r="G23" s="405" t="s">
        <v>3428</v>
      </c>
      <c r="H23" s="406">
        <f>SUMIF(95:95,G24,96:96)-SUMIF(95:95,C24,96:96)+100</f>
        <v>100</v>
      </c>
      <c r="I23" s="405" t="s">
        <v>3428</v>
      </c>
      <c r="J23" s="406">
        <f>SUMIF(95:95,I24,96:96)-SUMIF(95:95,C24,96:96)+100</f>
        <v>100</v>
      </c>
      <c r="K23" s="621"/>
      <c r="L23" s="2699"/>
      <c r="M23" s="2693"/>
      <c r="N23" s="2693"/>
      <c r="O23" s="2751"/>
      <c r="P23" s="3913"/>
      <c r="Q23" s="1352" t="str">
        <f t="shared" ref="Q23:Q37" si="8">B23</f>
        <v>区域土地利用方向</v>
      </c>
      <c r="R23" s="705" t="s">
        <v>14</v>
      </c>
      <c r="S23" s="706">
        <f>F23</f>
        <v>100</v>
      </c>
      <c r="T23" s="705" t="s">
        <v>14</v>
      </c>
      <c r="U23" s="706">
        <f>H23</f>
        <v>100</v>
      </c>
      <c r="V23" s="705" t="s">
        <v>14</v>
      </c>
      <c r="W23" s="706">
        <f>J23</f>
        <v>100</v>
      </c>
      <c r="X23" s="1355"/>
      <c r="Y23" s="3913"/>
      <c r="Z23" s="1356" t="str">
        <f>Q23</f>
        <v>区域土地利用方向</v>
      </c>
      <c r="AA23" s="1353">
        <f t="shared" si="3"/>
        <v>1</v>
      </c>
      <c r="AB23" s="1353">
        <f t="shared" si="4"/>
        <v>1</v>
      </c>
      <c r="AC23" s="1353">
        <f t="shared" si="5"/>
        <v>1</v>
      </c>
    </row>
    <row r="24" spans="1:29" ht="15">
      <c r="A24" s="358"/>
      <c r="B24" s="407"/>
      <c r="C24" s="565" t="s">
        <v>3428</v>
      </c>
      <c r="D24" s="399"/>
      <c r="E24" s="1898" t="s">
        <v>3428</v>
      </c>
      <c r="F24" s="399"/>
      <c r="G24" s="1897" t="s">
        <v>3428</v>
      </c>
      <c r="H24" s="399"/>
      <c r="I24" s="1897" t="s">
        <v>3428</v>
      </c>
      <c r="J24" s="399"/>
      <c r="K24" s="740"/>
      <c r="L24" s="2699"/>
      <c r="M24" s="2693"/>
      <c r="N24" s="2693"/>
      <c r="O24" s="2751"/>
      <c r="P24" s="3913"/>
      <c r="Q24" s="1352"/>
      <c r="R24" s="705"/>
      <c r="S24" s="706"/>
      <c r="T24" s="705"/>
      <c r="U24" s="706"/>
      <c r="V24" s="705"/>
      <c r="W24" s="706"/>
      <c r="X24" s="1355"/>
      <c r="Y24" s="3913"/>
      <c r="Z24" s="1356"/>
      <c r="AA24" s="1353"/>
      <c r="AB24" s="1353"/>
      <c r="AC24" s="1353"/>
    </row>
    <row r="25" spans="1:29" ht="27">
      <c r="A25" s="358"/>
      <c r="B25" s="1131" t="s">
        <v>1856</v>
      </c>
      <c r="C25" s="1955" t="str">
        <f>估价对象房地状况!C20</f>
        <v>较好</v>
      </c>
      <c r="D25" s="401">
        <v>100</v>
      </c>
      <c r="E25" s="403" t="s">
        <v>3428</v>
      </c>
      <c r="F25" s="401">
        <f>SUMIF(97:97,E26,98:98)-SUMIF(97:97,C26,98:98)+100</f>
        <v>100</v>
      </c>
      <c r="G25" s="403" t="s">
        <v>3428</v>
      </c>
      <c r="H25" s="401">
        <f>SUMIF(97:97,G26,98:98)-SUMIF(97:97,C26,98:98)+100</f>
        <v>100</v>
      </c>
      <c r="I25" s="405" t="s">
        <v>3428</v>
      </c>
      <c r="J25" s="401">
        <f>SUMIF(97:97,I26,98:98)-SUMIF(97:97,C26,98:98)+100</f>
        <v>100</v>
      </c>
      <c r="K25" s="621"/>
      <c r="L25" s="2699"/>
      <c r="M25" s="2693"/>
      <c r="N25" s="2693"/>
      <c r="O25" s="2751"/>
      <c r="P25" s="3913"/>
      <c r="Q25" s="1352" t="str">
        <f t="shared" si="8"/>
        <v>自然及人文环境状况</v>
      </c>
      <c r="R25" s="705" t="s">
        <v>14</v>
      </c>
      <c r="S25" s="706">
        <f>F25</f>
        <v>100</v>
      </c>
      <c r="T25" s="705" t="s">
        <v>14</v>
      </c>
      <c r="U25" s="706">
        <f>H25</f>
        <v>100</v>
      </c>
      <c r="V25" s="705" t="s">
        <v>14</v>
      </c>
      <c r="W25" s="706">
        <f>J25</f>
        <v>100</v>
      </c>
      <c r="X25" s="1355"/>
      <c r="Y25" s="3913"/>
      <c r="Z25" s="1356" t="str">
        <f>Q25</f>
        <v>自然及人文环境状况</v>
      </c>
      <c r="AA25" s="1353">
        <f t="shared" si="3"/>
        <v>1</v>
      </c>
      <c r="AB25" s="1353">
        <f t="shared" si="4"/>
        <v>1</v>
      </c>
      <c r="AC25" s="1353">
        <f t="shared" si="5"/>
        <v>1</v>
      </c>
    </row>
    <row r="26" spans="1:29" ht="15">
      <c r="A26" s="358"/>
      <c r="B26" s="407"/>
      <c r="C26" s="398" t="s">
        <v>3428</v>
      </c>
      <c r="D26" s="399"/>
      <c r="E26" s="1904" t="s">
        <v>3428</v>
      </c>
      <c r="F26" s="399"/>
      <c r="G26" s="1904" t="s">
        <v>3428</v>
      </c>
      <c r="H26" s="399"/>
      <c r="I26" s="398" t="s">
        <v>3428</v>
      </c>
      <c r="J26" s="399"/>
      <c r="K26" s="620"/>
      <c r="L26" s="2699"/>
      <c r="M26" s="2693"/>
      <c r="N26" s="2693"/>
      <c r="O26" s="2751"/>
      <c r="P26" s="3913"/>
      <c r="Q26" s="1352"/>
      <c r="R26" s="705"/>
      <c r="S26" s="706"/>
      <c r="T26" s="705"/>
      <c r="U26" s="706"/>
      <c r="V26" s="705"/>
      <c r="W26" s="706"/>
      <c r="X26" s="1355"/>
      <c r="Y26" s="3913"/>
      <c r="Z26" s="1356"/>
      <c r="AA26" s="1353">
        <v>1</v>
      </c>
      <c r="AB26" s="1353">
        <v>1</v>
      </c>
      <c r="AC26" s="1353">
        <v>1</v>
      </c>
    </row>
    <row r="27" spans="1:29" s="108" customFormat="1" ht="15">
      <c r="A27" s="597"/>
      <c r="B27" s="1131" t="s">
        <v>1762</v>
      </c>
      <c r="C27" s="1900" t="str">
        <f>估价对象房地状况!C21</f>
        <v>较好</v>
      </c>
      <c r="D27" s="401">
        <v>100</v>
      </c>
      <c r="E27" s="403" t="s">
        <v>3428</v>
      </c>
      <c r="F27" s="401">
        <f>SUMIF(99:99,E28,100:100)-SUMIF(99:99,C28,100:100)+100</f>
        <v>100</v>
      </c>
      <c r="G27" s="403" t="s">
        <v>3428</v>
      </c>
      <c r="H27" s="401">
        <f>SUMIF(99:99,G28,100:100)-SUMIF(99:99,C28,100:100)+100</f>
        <v>100</v>
      </c>
      <c r="I27" s="405" t="s">
        <v>3428</v>
      </c>
      <c r="J27" s="401">
        <f>SUMIF(99:99,I28,100:100)-SUMIF(99:99,C28,100:100)+100</f>
        <v>100</v>
      </c>
      <c r="K27" s="621"/>
      <c r="L27" s="2694"/>
      <c r="M27" s="2695"/>
      <c r="N27" s="2695"/>
      <c r="O27" s="2749"/>
      <c r="P27" s="3913"/>
      <c r="Q27" s="1343" t="str">
        <f t="shared" si="8"/>
        <v>公共配套设施</v>
      </c>
      <c r="R27" s="701" t="s">
        <v>14</v>
      </c>
      <c r="S27" s="702">
        <f>F27</f>
        <v>100</v>
      </c>
      <c r="T27" s="701" t="s">
        <v>14</v>
      </c>
      <c r="U27" s="702">
        <f>H27</f>
        <v>100</v>
      </c>
      <c r="V27" s="701" t="s">
        <v>14</v>
      </c>
      <c r="W27" s="702">
        <f>J27</f>
        <v>100</v>
      </c>
      <c r="X27" s="703"/>
      <c r="Y27" s="3913"/>
      <c r="Z27" s="52" t="str">
        <f>Q27</f>
        <v>公共配套设施</v>
      </c>
      <c r="AA27" s="1353">
        <f>D27/F27</f>
        <v>1</v>
      </c>
      <c r="AB27" s="1353">
        <f>D27/H27</f>
        <v>1</v>
      </c>
      <c r="AC27" s="1353">
        <f>D27/J27</f>
        <v>1</v>
      </c>
    </row>
    <row r="28" spans="1:29" s="108" customFormat="1" ht="15">
      <c r="A28" s="597"/>
      <c r="B28" s="407"/>
      <c r="C28" s="1978" t="s">
        <v>3428</v>
      </c>
      <c r="D28" s="399"/>
      <c r="E28" s="1904" t="s">
        <v>3428</v>
      </c>
      <c r="F28" s="399"/>
      <c r="G28" s="1904" t="s">
        <v>3428</v>
      </c>
      <c r="H28" s="399"/>
      <c r="I28" s="398" t="s">
        <v>3428</v>
      </c>
      <c r="J28" s="399"/>
      <c r="K28" s="620"/>
      <c r="L28" s="2694"/>
      <c r="M28" s="2695"/>
      <c r="N28" s="2695"/>
      <c r="O28" s="2749"/>
      <c r="P28" s="3913"/>
      <c r="Q28" s="1343"/>
      <c r="R28" s="701"/>
      <c r="S28" s="702"/>
      <c r="T28" s="701"/>
      <c r="U28" s="702"/>
      <c r="V28" s="701"/>
      <c r="W28" s="702"/>
      <c r="X28" s="703"/>
      <c r="Y28" s="3913"/>
      <c r="Z28" s="52"/>
      <c r="AA28" s="1353">
        <v>1</v>
      </c>
      <c r="AB28" s="1353">
        <v>1</v>
      </c>
      <c r="AC28" s="1353">
        <v>1</v>
      </c>
    </row>
    <row r="29" spans="1:29" s="108" customFormat="1" ht="15">
      <c r="A29" s="597"/>
      <c r="B29" s="1131" t="s">
        <v>1763</v>
      </c>
      <c r="C29" s="1900" t="str">
        <f>估价对象房地状况!C22</f>
        <v>七通</v>
      </c>
      <c r="D29" s="401">
        <v>100</v>
      </c>
      <c r="E29" s="403" t="s">
        <v>3826</v>
      </c>
      <c r="F29" s="401">
        <f>SUMIF(101:101,E30,102:102)-SUMIF(101:101,C30,102:102)+100</f>
        <v>100</v>
      </c>
      <c r="G29" s="403" t="s">
        <v>3826</v>
      </c>
      <c r="H29" s="401">
        <f>SUMIF(101:101,G30,102:102)-SUMIF(101:101,C30,102:102)+100</f>
        <v>100</v>
      </c>
      <c r="I29" s="405" t="s">
        <v>3826</v>
      </c>
      <c r="J29" s="401">
        <f>SUMIF(101:101,I30,102:102)-SUMIF(101:101,C30,102:102)+100</f>
        <v>100</v>
      </c>
      <c r="K29" s="621"/>
      <c r="L29" s="2694"/>
      <c r="M29" s="2695"/>
      <c r="N29" s="2695"/>
      <c r="O29" s="2749"/>
      <c r="P29" s="3913"/>
      <c r="Q29" s="1343" t="str">
        <f t="shared" ref="Q29" si="9">B29</f>
        <v>基础设施水平</v>
      </c>
      <c r="R29" s="701" t="s">
        <v>14</v>
      </c>
      <c r="S29" s="702">
        <f>F29</f>
        <v>100</v>
      </c>
      <c r="T29" s="701" t="s">
        <v>14</v>
      </c>
      <c r="U29" s="702">
        <f>H29</f>
        <v>100</v>
      </c>
      <c r="V29" s="701" t="s">
        <v>14</v>
      </c>
      <c r="W29" s="702">
        <f>J29</f>
        <v>100</v>
      </c>
      <c r="X29" s="703"/>
      <c r="Y29" s="3913"/>
      <c r="Z29" s="52" t="str">
        <f>Q29</f>
        <v>基础设施水平</v>
      </c>
      <c r="AA29" s="1353">
        <f>D29/F29</f>
        <v>1</v>
      </c>
      <c r="AB29" s="1353">
        <f>D29/H29</f>
        <v>1</v>
      </c>
      <c r="AC29" s="1353">
        <f>D29/J29</f>
        <v>1</v>
      </c>
    </row>
    <row r="30" spans="1:29" s="108" customFormat="1" ht="15.75" thickBot="1">
      <c r="A30" s="597"/>
      <c r="B30" s="407"/>
      <c r="C30" s="1978" t="s">
        <v>3826</v>
      </c>
      <c r="D30" s="399"/>
      <c r="E30" s="1979" t="s">
        <v>3826</v>
      </c>
      <c r="F30" s="399"/>
      <c r="G30" s="1979" t="s">
        <v>3826</v>
      </c>
      <c r="H30" s="399"/>
      <c r="I30" s="1979" t="s">
        <v>3826</v>
      </c>
      <c r="J30" s="399"/>
      <c r="K30" s="620"/>
      <c r="L30" s="2694"/>
      <c r="M30" s="2695"/>
      <c r="N30" s="2695"/>
      <c r="O30" s="2749"/>
      <c r="P30" s="3913"/>
      <c r="Q30" s="1343"/>
      <c r="R30" s="701"/>
      <c r="S30" s="702"/>
      <c r="T30" s="701"/>
      <c r="U30" s="702"/>
      <c r="V30" s="701"/>
      <c r="W30" s="702"/>
      <c r="X30" s="703"/>
      <c r="Y30" s="3913"/>
      <c r="Z30" s="52"/>
      <c r="AA30" s="1353">
        <v>1</v>
      </c>
      <c r="AB30" s="1353">
        <v>1</v>
      </c>
      <c r="AC30" s="1353">
        <v>1</v>
      </c>
    </row>
    <row r="31" spans="1:29" ht="15" hidden="1">
      <c r="A31" s="379"/>
      <c r="B31" s="407" t="s">
        <v>1764</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699"/>
      <c r="M31" s="2693"/>
      <c r="N31" s="2693"/>
      <c r="O31" s="2751"/>
      <c r="P31" s="391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913"/>
      <c r="Z31" s="1356" t="str">
        <f t="shared" ref="Z31:Z45" si="13">Q31</f>
        <v>临街状况</v>
      </c>
      <c r="AA31" s="1353">
        <f t="shared" si="3"/>
        <v>1</v>
      </c>
      <c r="AB31" s="1353">
        <f t="shared" si="4"/>
        <v>1</v>
      </c>
      <c r="AC31" s="1353">
        <f t="shared" si="5"/>
        <v>1</v>
      </c>
    </row>
    <row r="32" spans="1:29" ht="27" hidden="1">
      <c r="A32" s="379"/>
      <c r="B32" s="1131" t="s">
        <v>1799</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699"/>
      <c r="M32" s="2693"/>
      <c r="N32" s="2693"/>
      <c r="O32" s="2751"/>
      <c r="P32" s="3913"/>
      <c r="Q32" s="1352" t="str">
        <f t="shared" si="8"/>
        <v>毗邻道路的类型与等级</v>
      </c>
      <c r="R32" s="705" t="s">
        <v>14</v>
      </c>
      <c r="S32" s="706">
        <f t="shared" si="10"/>
        <v>100</v>
      </c>
      <c r="T32" s="705" t="s">
        <v>14</v>
      </c>
      <c r="U32" s="706">
        <f t="shared" si="11"/>
        <v>100</v>
      </c>
      <c r="V32" s="705" t="s">
        <v>14</v>
      </c>
      <c r="W32" s="706">
        <f t="shared" si="12"/>
        <v>100</v>
      </c>
      <c r="X32" s="1355"/>
      <c r="Y32" s="3913"/>
      <c r="Z32" s="1356" t="str">
        <f t="shared" si="13"/>
        <v>毗邻道路的类型与等级</v>
      </c>
      <c r="AA32" s="1353">
        <f t="shared" si="3"/>
        <v>1</v>
      </c>
      <c r="AB32" s="1353">
        <f t="shared" si="4"/>
        <v>1</v>
      </c>
      <c r="AC32" s="1353">
        <f t="shared" si="5"/>
        <v>1</v>
      </c>
    </row>
    <row r="33" spans="1:29" ht="15" hidden="1">
      <c r="A33" s="379"/>
      <c r="B33" s="407"/>
      <c r="C33" s="398"/>
      <c r="D33" s="399"/>
      <c r="E33" s="1904"/>
      <c r="F33" s="399"/>
      <c r="G33" s="1904"/>
      <c r="H33" s="399"/>
      <c r="I33" s="398"/>
      <c r="J33" s="399"/>
      <c r="K33" s="562"/>
      <c r="L33" s="2699"/>
      <c r="M33" s="2693"/>
      <c r="N33" s="2693"/>
      <c r="O33" s="2751"/>
      <c r="P33" s="3913"/>
      <c r="Q33" s="1352"/>
      <c r="R33" s="705"/>
      <c r="S33" s="706"/>
      <c r="T33" s="705"/>
      <c r="U33" s="706"/>
      <c r="V33" s="705"/>
      <c r="W33" s="706"/>
      <c r="X33" s="1355"/>
      <c r="Y33" s="3913"/>
      <c r="Z33" s="1356"/>
      <c r="AA33" s="1353">
        <v>1</v>
      </c>
      <c r="AB33" s="1353">
        <v>1</v>
      </c>
      <c r="AC33" s="1353">
        <v>1</v>
      </c>
    </row>
    <row r="34" spans="1:29" ht="15" hidden="1">
      <c r="A34" s="379"/>
      <c r="B34" s="375" t="s">
        <v>1857</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699"/>
      <c r="M34" s="2693"/>
      <c r="N34" s="2693"/>
      <c r="O34" s="2751"/>
      <c r="P34" s="3913"/>
      <c r="Q34" s="1352" t="str">
        <f t="shared" si="8"/>
        <v>土地级别</v>
      </c>
      <c r="R34" s="705" t="s">
        <v>14</v>
      </c>
      <c r="S34" s="706">
        <f t="shared" si="10"/>
        <v>100</v>
      </c>
      <c r="T34" s="705" t="s">
        <v>14</v>
      </c>
      <c r="U34" s="706">
        <f t="shared" si="11"/>
        <v>100</v>
      </c>
      <c r="V34" s="705" t="s">
        <v>14</v>
      </c>
      <c r="W34" s="706">
        <f t="shared" si="12"/>
        <v>100</v>
      </c>
      <c r="X34" s="1355"/>
      <c r="Y34" s="3913"/>
      <c r="Z34" s="1356" t="str">
        <f t="shared" si="13"/>
        <v>土地级别</v>
      </c>
      <c r="AA34" s="1353">
        <f t="shared" si="3"/>
        <v>1</v>
      </c>
      <c r="AB34" s="1353">
        <f t="shared" si="4"/>
        <v>1</v>
      </c>
      <c r="AC34" s="1353">
        <f t="shared" si="5"/>
        <v>1</v>
      </c>
    </row>
    <row r="35" spans="1:29" ht="15" hidden="1">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699"/>
      <c r="M35" s="2693"/>
      <c r="N35" s="2693"/>
      <c r="O35" s="2751"/>
      <c r="P35" s="3913"/>
      <c r="Q35" s="1352">
        <f t="shared" si="8"/>
        <v>111</v>
      </c>
      <c r="R35" s="705" t="s">
        <v>14</v>
      </c>
      <c r="S35" s="706">
        <f t="shared" si="10"/>
        <v>100</v>
      </c>
      <c r="T35" s="705" t="s">
        <v>14</v>
      </c>
      <c r="U35" s="706">
        <f t="shared" si="11"/>
        <v>100</v>
      </c>
      <c r="V35" s="705" t="s">
        <v>14</v>
      </c>
      <c r="W35" s="706">
        <f t="shared" si="12"/>
        <v>100</v>
      </c>
      <c r="X35" s="1355"/>
      <c r="Y35" s="3913"/>
      <c r="Z35" s="1356">
        <f t="shared" si="13"/>
        <v>111</v>
      </c>
      <c r="AA35" s="1353">
        <f t="shared" si="3"/>
        <v>1</v>
      </c>
      <c r="AB35" s="1353">
        <f t="shared" si="4"/>
        <v>1</v>
      </c>
      <c r="AC35" s="1353">
        <f t="shared" si="5"/>
        <v>1</v>
      </c>
    </row>
    <row r="36" spans="1:29" ht="15" hidden="1">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699"/>
      <c r="M36" s="2693"/>
      <c r="N36" s="2693"/>
      <c r="O36" s="2751"/>
      <c r="P36" s="3969" t="s">
        <v>1680</v>
      </c>
      <c r="Q36" s="1352">
        <f t="shared" si="8"/>
        <v>111</v>
      </c>
      <c r="R36" s="705" t="s">
        <v>14</v>
      </c>
      <c r="S36" s="706">
        <f t="shared" si="10"/>
        <v>100</v>
      </c>
      <c r="T36" s="705" t="s">
        <v>14</v>
      </c>
      <c r="U36" s="706">
        <f t="shared" si="11"/>
        <v>100</v>
      </c>
      <c r="V36" s="705" t="s">
        <v>14</v>
      </c>
      <c r="W36" s="706">
        <f t="shared" si="12"/>
        <v>100</v>
      </c>
      <c r="X36" s="1355"/>
      <c r="Y36" s="3917" t="s">
        <v>1680</v>
      </c>
      <c r="Z36" s="1356">
        <f t="shared" si="13"/>
        <v>111</v>
      </c>
      <c r="AA36" s="1353">
        <f t="shared" si="3"/>
        <v>1</v>
      </c>
      <c r="AB36" s="1353">
        <f t="shared" si="4"/>
        <v>1</v>
      </c>
      <c r="AC36" s="1353">
        <f t="shared" si="5"/>
        <v>1</v>
      </c>
    </row>
    <row r="37" spans="1:29" s="422" customFormat="1" ht="15.75" hidden="1"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698"/>
      <c r="M37" s="2700"/>
      <c r="N37" s="2700"/>
      <c r="O37" s="2752"/>
      <c r="P37" s="3917"/>
      <c r="Q37" s="1352">
        <f t="shared" si="8"/>
        <v>111</v>
      </c>
      <c r="R37" s="708" t="s">
        <v>14</v>
      </c>
      <c r="S37" s="709">
        <f t="shared" si="10"/>
        <v>100</v>
      </c>
      <c r="T37" s="708" t="s">
        <v>14</v>
      </c>
      <c r="U37" s="709">
        <f t="shared" si="11"/>
        <v>100</v>
      </c>
      <c r="V37" s="708" t="s">
        <v>14</v>
      </c>
      <c r="W37" s="709">
        <f t="shared" si="12"/>
        <v>100</v>
      </c>
      <c r="X37" s="710"/>
      <c r="Y37" s="3917"/>
      <c r="Z37" s="711">
        <f t="shared" si="13"/>
        <v>111</v>
      </c>
      <c r="AA37" s="1353">
        <f t="shared" si="3"/>
        <v>1</v>
      </c>
      <c r="AB37" s="1353">
        <f t="shared" si="4"/>
        <v>1</v>
      </c>
      <c r="AC37" s="1353">
        <f t="shared" si="5"/>
        <v>1</v>
      </c>
    </row>
    <row r="38" spans="1:29" ht="15">
      <c r="A38" s="423" t="s">
        <v>1678</v>
      </c>
      <c r="B38" s="407" t="s">
        <v>1858</v>
      </c>
      <c r="C38" s="627">
        <v>5880.18</v>
      </c>
      <c r="D38" s="418">
        <v>100</v>
      </c>
      <c r="E38" s="627">
        <v>10610.35</v>
      </c>
      <c r="F38" s="418">
        <f>LOOKUP(E38,116:116,117:117)-LOOKUP(C38,116:116,117:117)+100</f>
        <v>100</v>
      </c>
      <c r="G38" s="627">
        <v>51788.13</v>
      </c>
      <c r="H38" s="418">
        <f>LOOKUP(G38,116:116,117:117)-LOOKUP(C38,116:116,117:117)+100</f>
        <v>104</v>
      </c>
      <c r="I38" s="479">
        <v>62796.800000000003</v>
      </c>
      <c r="J38" s="418">
        <f>LOOKUP(I38,116:116,117:117)-LOOKUP(C38,116:116,117:117)+100</f>
        <v>106</v>
      </c>
      <c r="K38" s="562"/>
      <c r="L38" s="2699"/>
      <c r="M38" s="2693"/>
      <c r="N38" s="2693"/>
      <c r="O38" s="2751"/>
      <c r="P38" s="3917"/>
      <c r="Q38" s="1352" t="str">
        <f>B38</f>
        <v>宗地面积</v>
      </c>
      <c r="R38" s="705" t="s">
        <v>14</v>
      </c>
      <c r="S38" s="706">
        <f t="shared" si="10"/>
        <v>100</v>
      </c>
      <c r="T38" s="705" t="s">
        <v>14</v>
      </c>
      <c r="U38" s="706">
        <f t="shared" si="11"/>
        <v>104</v>
      </c>
      <c r="V38" s="705" t="s">
        <v>14</v>
      </c>
      <c r="W38" s="706">
        <f t="shared" si="12"/>
        <v>106</v>
      </c>
      <c r="X38" s="1355"/>
      <c r="Y38" s="3917"/>
      <c r="Z38" s="1356" t="str">
        <f t="shared" si="13"/>
        <v>宗地面积</v>
      </c>
      <c r="AA38" s="1353">
        <f t="shared" si="3"/>
        <v>1</v>
      </c>
      <c r="AB38" s="1353">
        <f t="shared" si="4"/>
        <v>0.96153846153846156</v>
      </c>
      <c r="AC38" s="1353">
        <f t="shared" si="5"/>
        <v>0.94339622641509435</v>
      </c>
    </row>
    <row r="39" spans="1:29" ht="15">
      <c r="A39" s="423"/>
      <c r="B39" s="375" t="s">
        <v>1859</v>
      </c>
      <c r="C39" s="1906" t="s">
        <v>4974</v>
      </c>
      <c r="D39" s="386">
        <v>100</v>
      </c>
      <c r="E39" s="1906" t="s">
        <v>4974</v>
      </c>
      <c r="F39" s="386">
        <f>SUMIF(118:118,E39,119:119)-SUMIF(118:118,C39,119:119)+100</f>
        <v>100</v>
      </c>
      <c r="G39" s="1906" t="s">
        <v>4974</v>
      </c>
      <c r="H39" s="386">
        <f>SUMIF(118:118,G39,119:119)-SUMIF(118:118,C39,119:119)+100</f>
        <v>100</v>
      </c>
      <c r="I39" s="1906" t="s">
        <v>4974</v>
      </c>
      <c r="J39" s="386">
        <f>SUMIF(118:118,I39,119:119)-SUMIF(118:118,C39,119:119)+100</f>
        <v>100</v>
      </c>
      <c r="K39" s="561"/>
      <c r="L39" s="2699"/>
      <c r="M39" s="2693"/>
      <c r="N39" s="2693"/>
      <c r="O39" s="2751"/>
      <c r="P39" s="3917"/>
      <c r="Q39" s="1352" t="str">
        <f t="shared" ref="Q39:Q45" si="14">B39</f>
        <v>宗地形状</v>
      </c>
      <c r="R39" s="705" t="s">
        <v>14</v>
      </c>
      <c r="S39" s="706">
        <f t="shared" si="10"/>
        <v>100</v>
      </c>
      <c r="T39" s="705" t="s">
        <v>14</v>
      </c>
      <c r="U39" s="706">
        <f t="shared" si="11"/>
        <v>100</v>
      </c>
      <c r="V39" s="705" t="s">
        <v>14</v>
      </c>
      <c r="W39" s="706">
        <f t="shared" si="12"/>
        <v>100</v>
      </c>
      <c r="X39" s="1355"/>
      <c r="Y39" s="3917"/>
      <c r="Z39" s="1356" t="str">
        <f t="shared" si="13"/>
        <v>宗地形状</v>
      </c>
      <c r="AA39" s="1353">
        <f t="shared" si="3"/>
        <v>1</v>
      </c>
      <c r="AB39" s="1353">
        <f t="shared" si="4"/>
        <v>1</v>
      </c>
      <c r="AC39" s="1353">
        <f t="shared" si="5"/>
        <v>1</v>
      </c>
    </row>
    <row r="40" spans="1:29" ht="15">
      <c r="A40" s="423"/>
      <c r="B40" s="375" t="s">
        <v>1860</v>
      </c>
      <c r="C40" s="1906" t="s">
        <v>4975</v>
      </c>
      <c r="D40" s="386">
        <v>100</v>
      </c>
      <c r="E40" s="1906" t="s">
        <v>4975</v>
      </c>
      <c r="F40" s="386">
        <f>SUMIF(120:120,E40,121:121)-SUMIF(120:120,C40,121:121)+100</f>
        <v>100</v>
      </c>
      <c r="G40" s="1906" t="s">
        <v>4975</v>
      </c>
      <c r="H40" s="386">
        <f>SUMIF(120:120,G40,121:121)-SUMIF(120:120,C40,121:121)+100</f>
        <v>100</v>
      </c>
      <c r="I40" s="1906" t="s">
        <v>4975</v>
      </c>
      <c r="J40" s="386">
        <f>SUMIF(120:120,I40,121:121)-SUMIF(120:120,C40,121:121)+100</f>
        <v>100</v>
      </c>
      <c r="K40" s="561"/>
      <c r="L40" s="2699"/>
      <c r="M40" s="2693"/>
      <c r="N40" s="2693"/>
      <c r="O40" s="2751"/>
      <c r="P40" s="3917"/>
      <c r="Q40" s="1352" t="str">
        <f t="shared" si="14"/>
        <v>临街宽度及深度</v>
      </c>
      <c r="R40" s="705" t="s">
        <v>14</v>
      </c>
      <c r="S40" s="706">
        <f t="shared" si="10"/>
        <v>100</v>
      </c>
      <c r="T40" s="705" t="s">
        <v>14</v>
      </c>
      <c r="U40" s="706">
        <f t="shared" si="11"/>
        <v>100</v>
      </c>
      <c r="V40" s="705" t="s">
        <v>14</v>
      </c>
      <c r="W40" s="706">
        <f t="shared" si="12"/>
        <v>100</v>
      </c>
      <c r="X40" s="1355"/>
      <c r="Y40" s="3917"/>
      <c r="Z40" s="1356" t="str">
        <f t="shared" si="13"/>
        <v>临街宽度及深度</v>
      </c>
      <c r="AA40" s="1353">
        <f t="shared" si="3"/>
        <v>1</v>
      </c>
      <c r="AB40" s="1353">
        <f t="shared" si="4"/>
        <v>1</v>
      </c>
      <c r="AC40" s="1353">
        <f t="shared" si="5"/>
        <v>1</v>
      </c>
    </row>
    <row r="41" spans="1:29" s="108" customFormat="1" ht="15">
      <c r="A41" s="424"/>
      <c r="B41" s="375" t="s">
        <v>1861</v>
      </c>
      <c r="C41" s="1980" t="s">
        <v>3826</v>
      </c>
      <c r="D41" s="127">
        <v>100</v>
      </c>
      <c r="E41" s="1980" t="s">
        <v>4976</v>
      </c>
      <c r="F41" s="386">
        <f>SUMIF(122:122,E41,123:123)-SUMIF(122:122,C41,123:123)+100</f>
        <v>100</v>
      </c>
      <c r="G41" s="1980" t="s">
        <v>4976</v>
      </c>
      <c r="H41" s="386">
        <f>SUMIF(122:122,G41,123:123)-SUMIF(122:122,C41,123:123)+100</f>
        <v>100</v>
      </c>
      <c r="I41" s="1980" t="s">
        <v>4976</v>
      </c>
      <c r="J41" s="386">
        <f>SUMIF(122:122,I41,123:123)-SUMIF(122:122,C41,123:123)+100</f>
        <v>100</v>
      </c>
      <c r="K41" s="561"/>
      <c r="L41" s="2694"/>
      <c r="M41" s="2695"/>
      <c r="N41" s="2695"/>
      <c r="O41" s="2749"/>
      <c r="P41" s="3917"/>
      <c r="Q41" s="1352" t="str">
        <f t="shared" si="14"/>
        <v>宗地开发程度</v>
      </c>
      <c r="R41" s="701" t="s">
        <v>14</v>
      </c>
      <c r="S41" s="702">
        <f t="shared" si="10"/>
        <v>100</v>
      </c>
      <c r="T41" s="701" t="s">
        <v>14</v>
      </c>
      <c r="U41" s="702">
        <f t="shared" si="11"/>
        <v>100</v>
      </c>
      <c r="V41" s="701" t="s">
        <v>14</v>
      </c>
      <c r="W41" s="702">
        <f t="shared" si="12"/>
        <v>100</v>
      </c>
      <c r="X41" s="703"/>
      <c r="Y41" s="3917"/>
      <c r="Z41" s="52" t="str">
        <f t="shared" si="13"/>
        <v>宗地开发程度</v>
      </c>
      <c r="AA41" s="704">
        <f t="shared" si="3"/>
        <v>1</v>
      </c>
      <c r="AB41" s="704">
        <f t="shared" si="4"/>
        <v>1</v>
      </c>
      <c r="AC41" s="704">
        <f t="shared" si="5"/>
        <v>1</v>
      </c>
    </row>
    <row r="42" spans="1:29" ht="15">
      <c r="A42" s="423"/>
      <c r="B42" s="375" t="s">
        <v>1862</v>
      </c>
      <c r="C42" s="1906" t="s">
        <v>3428</v>
      </c>
      <c r="D42" s="386">
        <v>100</v>
      </c>
      <c r="E42" s="1906" t="s">
        <v>3428</v>
      </c>
      <c r="F42" s="386">
        <f>SUMIF(124:124,E42,125:125)-SUMIF(124:124,C42,125:125)+100</f>
        <v>100</v>
      </c>
      <c r="G42" s="1906" t="s">
        <v>3428</v>
      </c>
      <c r="H42" s="386">
        <f>SUMIF(124:124,G42,125:125)-SUMIF(124:124,C42,125:125)+100</f>
        <v>100</v>
      </c>
      <c r="I42" s="1906" t="s">
        <v>3428</v>
      </c>
      <c r="J42" s="386">
        <f>SUMIF(124:124,I42,125:125)-SUMIF(124:124,C42,125:125)+100</f>
        <v>100</v>
      </c>
      <c r="K42" s="561"/>
      <c r="L42" s="2699"/>
      <c r="M42" s="2693"/>
      <c r="N42" s="2693"/>
      <c r="O42" s="2751"/>
      <c r="P42" s="3917" t="s">
        <v>1680</v>
      </c>
      <c r="Q42" s="1352" t="str">
        <f t="shared" si="14"/>
        <v>工程地质条件</v>
      </c>
      <c r="R42" s="705" t="s">
        <v>14</v>
      </c>
      <c r="S42" s="706">
        <f t="shared" si="10"/>
        <v>100</v>
      </c>
      <c r="T42" s="705" t="s">
        <v>14</v>
      </c>
      <c r="U42" s="706">
        <f t="shared" si="11"/>
        <v>100</v>
      </c>
      <c r="V42" s="705" t="s">
        <v>14</v>
      </c>
      <c r="W42" s="706">
        <f t="shared" si="12"/>
        <v>100</v>
      </c>
      <c r="X42" s="1355"/>
      <c r="Y42" s="3917" t="s">
        <v>1680</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699"/>
      <c r="M43" s="2693"/>
      <c r="N43" s="2693"/>
      <c r="O43" s="2751"/>
      <c r="P43" s="3917"/>
      <c r="Q43" s="1352">
        <f t="shared" si="14"/>
        <v>111</v>
      </c>
      <c r="R43" s="705" t="s">
        <v>14</v>
      </c>
      <c r="S43" s="706">
        <f t="shared" si="10"/>
        <v>100</v>
      </c>
      <c r="T43" s="705" t="s">
        <v>14</v>
      </c>
      <c r="U43" s="706">
        <f t="shared" si="11"/>
        <v>100</v>
      </c>
      <c r="V43" s="705" t="s">
        <v>14</v>
      </c>
      <c r="W43" s="706">
        <f t="shared" si="12"/>
        <v>100</v>
      </c>
      <c r="X43" s="1355"/>
      <c r="Y43" s="391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699"/>
      <c r="M44" s="2693"/>
      <c r="N44" s="2693"/>
      <c r="O44" s="2751"/>
      <c r="P44" s="3917"/>
      <c r="Q44" s="1352">
        <f t="shared" si="14"/>
        <v>111</v>
      </c>
      <c r="R44" s="705" t="s">
        <v>14</v>
      </c>
      <c r="S44" s="706">
        <f t="shared" si="10"/>
        <v>100</v>
      </c>
      <c r="T44" s="705" t="s">
        <v>14</v>
      </c>
      <c r="U44" s="706">
        <f t="shared" si="11"/>
        <v>100</v>
      </c>
      <c r="V44" s="705" t="s">
        <v>14</v>
      </c>
      <c r="W44" s="706">
        <f t="shared" si="12"/>
        <v>100</v>
      </c>
      <c r="X44" s="1355"/>
      <c r="Y44" s="3917"/>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698"/>
      <c r="M45" s="2700"/>
      <c r="N45" s="2700"/>
      <c r="O45" s="2752"/>
      <c r="P45" s="3917"/>
      <c r="Q45" s="1352">
        <f t="shared" si="14"/>
        <v>111</v>
      </c>
      <c r="R45" s="708" t="s">
        <v>14</v>
      </c>
      <c r="S45" s="709">
        <f t="shared" si="10"/>
        <v>100</v>
      </c>
      <c r="T45" s="708" t="s">
        <v>14</v>
      </c>
      <c r="U45" s="709">
        <f t="shared" si="11"/>
        <v>100</v>
      </c>
      <c r="V45" s="708" t="s">
        <v>14</v>
      </c>
      <c r="W45" s="709">
        <f t="shared" si="12"/>
        <v>100</v>
      </c>
      <c r="X45" s="710"/>
      <c r="Y45" s="3917"/>
      <c r="Z45" s="711">
        <f t="shared" si="13"/>
        <v>111</v>
      </c>
      <c r="AA45" s="1353">
        <f t="shared" si="3"/>
        <v>1</v>
      </c>
      <c r="AB45" s="1353">
        <f t="shared" si="4"/>
        <v>1</v>
      </c>
      <c r="AC45" s="1353">
        <f t="shared" si="5"/>
        <v>1</v>
      </c>
    </row>
    <row r="46" spans="1:29" ht="15">
      <c r="A46" s="430" t="s">
        <v>1828</v>
      </c>
      <c r="B46" s="1982" t="s">
        <v>1863</v>
      </c>
      <c r="C46" s="630" t="s">
        <v>0</v>
      </c>
      <c r="D46" s="432"/>
      <c r="E46" s="433">
        <v>28065</v>
      </c>
      <c r="F46" s="434"/>
      <c r="G46" s="435">
        <v>31358</v>
      </c>
      <c r="H46" s="436"/>
      <c r="I46" s="433">
        <v>23078</v>
      </c>
      <c r="J46" s="436"/>
      <c r="K46" s="714"/>
      <c r="L46" s="2701"/>
      <c r="M46" s="2702"/>
      <c r="N46" s="2693"/>
      <c r="O46" s="2702"/>
      <c r="P46" s="3905" t="str">
        <f>A46</f>
        <v>成交单价</v>
      </c>
      <c r="Q46" s="3905"/>
      <c r="R46" s="3939">
        <f>E46</f>
        <v>28065</v>
      </c>
      <c r="S46" s="3939"/>
      <c r="T46" s="3939">
        <f>G46</f>
        <v>31358</v>
      </c>
      <c r="U46" s="3939"/>
      <c r="V46" s="3939">
        <f>I46</f>
        <v>23078</v>
      </c>
      <c r="W46" s="3939"/>
      <c r="X46" s="690"/>
      <c r="Y46" s="712"/>
      <c r="Z46" s="690"/>
      <c r="AA46" s="690"/>
      <c r="AB46" s="690"/>
      <c r="AC46" s="690"/>
    </row>
    <row r="47" spans="1:29" ht="15.75" thickBot="1">
      <c r="A47" s="437" t="s">
        <v>1777</v>
      </c>
      <c r="B47" s="631"/>
      <c r="C47" s="440">
        <f>R48</f>
        <v>19616</v>
      </c>
      <c r="D47" s="2317" t="s">
        <v>2122</v>
      </c>
      <c r="E47" s="440">
        <f>R47</f>
        <v>20147</v>
      </c>
      <c r="F47" s="2318"/>
      <c r="G47" s="439">
        <f>T47</f>
        <v>22912</v>
      </c>
      <c r="H47" s="2318"/>
      <c r="I47" s="440">
        <f>V47</f>
        <v>15788</v>
      </c>
      <c r="J47" s="2318"/>
      <c r="K47" s="2320">
        <f>F47+H47+J47</f>
        <v>0</v>
      </c>
      <c r="L47" s="2701"/>
      <c r="M47" s="2702"/>
      <c r="N47" s="2702"/>
      <c r="O47" s="2702"/>
      <c r="P47" s="3905" t="str">
        <f>A47</f>
        <v>比较价值（元/平方米）</v>
      </c>
      <c r="Q47" s="3905"/>
      <c r="R47" s="3977">
        <f>ROUND(PRODUCT(R46,AA7:AA45),0)</f>
        <v>20147</v>
      </c>
      <c r="S47" s="3977"/>
      <c r="T47" s="3977">
        <f>ROUND(PRODUCT(T46,AB7:AB45),0)</f>
        <v>22912</v>
      </c>
      <c r="U47" s="3977"/>
      <c r="V47" s="3977">
        <f>ROUND(PRODUCT(V46,AC7:AC45),0)</f>
        <v>15788</v>
      </c>
      <c r="W47" s="3977"/>
      <c r="X47" s="690"/>
      <c r="Y47" s="690"/>
      <c r="Z47" s="690"/>
      <c r="AA47" s="690"/>
      <c r="AB47" s="690"/>
      <c r="AC47" s="690"/>
    </row>
    <row r="48" spans="1:29" ht="15.75" thickBot="1">
      <c r="A48" s="441" t="s">
        <v>1864</v>
      </c>
      <c r="B48" s="442"/>
      <c r="C48" s="443">
        <f>R48</f>
        <v>19616</v>
      </c>
      <c r="D48" s="443"/>
      <c r="E48" s="443"/>
      <c r="F48" s="443"/>
      <c r="G48" s="443"/>
      <c r="H48" s="443"/>
      <c r="I48" s="443"/>
      <c r="J48" s="443"/>
      <c r="K48" s="715"/>
      <c r="L48" s="2701"/>
      <c r="M48" s="2702"/>
      <c r="N48" s="2702"/>
      <c r="O48" s="2702"/>
      <c r="P48" s="3959" t="str">
        <f>A48</f>
        <v>估价对象XX用房的比较价值（楼面单价，元/平方米）</v>
      </c>
      <c r="Q48" s="3960"/>
      <c r="R48" s="3976">
        <f>ROUND(IF(D47="简单平均",AVERAGE(R47:W47),R47*F47+T47*H47+V47*J47),0)</f>
        <v>19616</v>
      </c>
      <c r="S48" s="3976"/>
      <c r="T48" s="3976"/>
      <c r="U48" s="3976"/>
      <c r="V48" s="3976"/>
      <c r="W48" s="3976"/>
      <c r="X48" s="690"/>
      <c r="Y48" s="690"/>
      <c r="Z48" s="690"/>
      <c r="AA48" s="690"/>
      <c r="AB48" s="690"/>
      <c r="AC48" s="690"/>
    </row>
    <row r="49" spans="1:29">
      <c r="A49" s="2702"/>
      <c r="B49" s="2702"/>
      <c r="C49" s="2702"/>
      <c r="D49" s="2702"/>
      <c r="E49" s="2702"/>
      <c r="F49" s="2702"/>
      <c r="G49" s="2706"/>
      <c r="H49" s="2702"/>
      <c r="I49" s="2702"/>
      <c r="J49" s="2702"/>
      <c r="K49" s="2707"/>
      <c r="L49" s="2703"/>
      <c r="M49" s="2702"/>
      <c r="N49" s="2702"/>
      <c r="O49" s="2702"/>
      <c r="P49" s="2702"/>
      <c r="Q49" s="2702"/>
      <c r="R49" s="2702"/>
      <c r="S49" s="2702"/>
      <c r="T49" s="2702"/>
      <c r="U49" s="2702"/>
      <c r="V49" s="2702"/>
      <c r="W49" s="2702"/>
      <c r="X49" s="2702"/>
      <c r="Y49" s="2702"/>
      <c r="Z49" s="2702"/>
      <c r="AA49" s="2702"/>
      <c r="AB49" s="2702"/>
      <c r="AC49" s="2702"/>
    </row>
    <row r="50" spans="1:29">
      <c r="A50" s="2702"/>
      <c r="B50" s="2702"/>
      <c r="C50" s="2702"/>
      <c r="D50" s="2702"/>
      <c r="E50" s="2702"/>
      <c r="F50" s="2702"/>
      <c r="G50" s="2702"/>
      <c r="H50" s="2702"/>
      <c r="I50" s="2702"/>
      <c r="J50" s="2702"/>
      <c r="K50" s="2707"/>
      <c r="L50" s="2703"/>
      <c r="M50" s="2702"/>
      <c r="N50" s="2702"/>
      <c r="O50" s="2702"/>
      <c r="P50" s="2702"/>
      <c r="Q50" s="2702"/>
      <c r="R50" s="2702"/>
      <c r="S50" s="2702"/>
      <c r="T50" s="2702"/>
      <c r="U50" s="2702"/>
      <c r="V50" s="2702"/>
      <c r="W50" s="2702"/>
      <c r="X50" s="2702"/>
      <c r="Y50" s="2702"/>
      <c r="Z50" s="2702"/>
      <c r="AA50" s="2702"/>
      <c r="AB50" s="2702"/>
      <c r="AC50" s="2702"/>
    </row>
    <row r="51" spans="1:29" ht="13.5" customHeight="1">
      <c r="A51" s="2702"/>
      <c r="B51" s="2702"/>
      <c r="C51" s="446" t="s">
        <v>1779</v>
      </c>
      <c r="D51" s="447"/>
      <c r="E51" s="448">
        <f>IF(E46&lt;E47,E47/E46-1,E46/E47-1)</f>
        <v>0.39301136645654444</v>
      </c>
      <c r="F51" s="449" t="str">
        <f>IF(OR(E51&gt;=0.3,E51&lt;=-0.3),"超过30%","")</f>
        <v>超过30%</v>
      </c>
      <c r="G51" s="448">
        <f>IF(G46&lt;G47,G47/G46-1,G46/G47-1)</f>
        <v>0.3686277932960893</v>
      </c>
      <c r="H51" s="449" t="str">
        <f>IF(OR(G51&gt;=0.3,G51&lt;=-0.3),"超过30%","")</f>
        <v>超过30%</v>
      </c>
      <c r="I51" s="448">
        <f>IF(I46&lt;I47,I47/I46-1,I46/I47-1)</f>
        <v>0.46174309602229546</v>
      </c>
      <c r="J51" s="449" t="str">
        <f>IF(OR(I51&gt;=0.3,I51&lt;=-0.3),"超过30%","")</f>
        <v>超过30%</v>
      </c>
      <c r="K51" s="2707"/>
      <c r="L51" s="2703"/>
      <c r="M51" s="2702"/>
      <c r="N51" s="2702"/>
      <c r="O51" s="2702"/>
      <c r="P51" s="2702"/>
      <c r="Q51" s="2702"/>
      <c r="R51" s="2702"/>
      <c r="S51" s="2702"/>
      <c r="T51" s="2702"/>
      <c r="U51" s="2702"/>
      <c r="V51" s="2702"/>
      <c r="W51" s="2702"/>
      <c r="X51" s="2702"/>
      <c r="Y51" s="2702"/>
      <c r="Z51" s="2702"/>
      <c r="AA51" s="2702"/>
      <c r="AB51" s="2702"/>
      <c r="AC51" s="2702"/>
    </row>
    <row r="52" spans="1:29" ht="13.5" customHeight="1">
      <c r="A52" s="2702"/>
      <c r="B52" s="2702"/>
      <c r="C52" s="446" t="s">
        <v>1780</v>
      </c>
      <c r="D52" s="450"/>
      <c r="E52" s="448">
        <f>IF(E47&lt;G47,G47/E47-1,E47/G47-1)</f>
        <v>0.13724127661686603</v>
      </c>
      <c r="F52" s="449" t="str">
        <f>IF(OR(E52&gt;=0.2,E52&lt;=-0.2),"超过20%","")</f>
        <v/>
      </c>
      <c r="G52" s="448">
        <f>IF(G47&lt;I47,I47/G47-1,G47/I47-1)</f>
        <v>0.45122878135292632</v>
      </c>
      <c r="H52" s="449" t="str">
        <f>IF(OR(G52&gt;=0.2,G52&lt;=-0.2),"超过20%","")</f>
        <v>超过20%</v>
      </c>
      <c r="I52" s="448">
        <f>IF(I47&lt;E47,E47/I47-1,I47/E47-1)</f>
        <v>0.27609576893843424</v>
      </c>
      <c r="J52" s="449" t="str">
        <f>IF(OR(I52&gt;=0.2,I52&lt;=-0.2),"超过20%","")</f>
        <v>超过20%</v>
      </c>
      <c r="K52" s="2707"/>
      <c r="L52" s="2703"/>
      <c r="M52" s="2702"/>
      <c r="N52" s="2702"/>
      <c r="O52" s="2702"/>
      <c r="P52" s="2702"/>
      <c r="Q52" s="2702"/>
      <c r="R52" s="2702"/>
      <c r="S52" s="2702"/>
      <c r="T52" s="2702"/>
      <c r="U52" s="2702"/>
      <c r="V52" s="2702"/>
      <c r="W52" s="2702"/>
      <c r="X52" s="2702"/>
      <c r="Y52" s="2702"/>
      <c r="Z52" s="2702"/>
      <c r="AA52" s="2702"/>
      <c r="AB52" s="2702"/>
      <c r="AC52" s="2702"/>
    </row>
    <row r="53" spans="1:29" s="451" customFormat="1" ht="13.5" customHeight="1">
      <c r="A53" s="2705"/>
      <c r="B53" s="2705"/>
      <c r="C53" s="446" t="s">
        <v>1781</v>
      </c>
      <c r="D53" s="450"/>
      <c r="E53" s="448">
        <f>IF(E46&lt;G46,G46/E46-1,E46/G46-1)</f>
        <v>0.1173347585961162</v>
      </c>
      <c r="F53" s="449" t="str">
        <f>IF(OR(E53&gt;=0.3,E53&lt;=-0.3),"超过30%","")</f>
        <v/>
      </c>
      <c r="G53" s="448">
        <f>IF(G46&lt;I46,I46/G46-1,G46/I46-1)</f>
        <v>0.35878325678135026</v>
      </c>
      <c r="H53" s="449" t="str">
        <f>IF(OR(G53&gt;=0.3,G53&lt;=-0.3),"超过30%","")</f>
        <v>超过30%</v>
      </c>
      <c r="I53" s="448">
        <f>IF(I46&lt;E46,E46/I46-1,I46/E46-1)</f>
        <v>0.21609324898171423</v>
      </c>
      <c r="J53" s="449" t="str">
        <f>IF(OR(I53&gt;=0.3,I53&lt;=-0.3),"超过30%","")</f>
        <v/>
      </c>
      <c r="K53" s="2710"/>
      <c r="L53" s="2704"/>
      <c r="M53" s="2705"/>
      <c r="N53" s="2705"/>
      <c r="O53" s="2705"/>
      <c r="P53" s="2705"/>
      <c r="Q53" s="2705"/>
      <c r="R53" s="2705"/>
      <c r="S53" s="2705"/>
      <c r="T53" s="2705"/>
      <c r="U53" s="2705"/>
      <c r="V53" s="2705"/>
      <c r="W53" s="2705"/>
      <c r="X53" s="2705"/>
      <c r="Y53" s="2705"/>
      <c r="Z53" s="2705"/>
      <c r="AA53" s="2705"/>
      <c r="AB53" s="2705"/>
      <c r="AC53" s="2705"/>
    </row>
    <row r="54" spans="1:29" s="451" customFormat="1" ht="15" thickBot="1">
      <c r="A54" s="2705"/>
      <c r="B54" s="2708"/>
      <c r="C54" s="693"/>
      <c r="D54" s="691"/>
      <c r="E54" s="691"/>
      <c r="F54" s="691"/>
      <c r="G54" s="691"/>
      <c r="H54" s="691"/>
      <c r="I54" s="691"/>
      <c r="J54" s="691"/>
      <c r="K54" s="2710"/>
      <c r="L54" s="2704"/>
      <c r="M54" s="2705"/>
      <c r="N54" s="2705"/>
      <c r="O54" s="2705"/>
      <c r="P54" s="2705"/>
      <c r="Q54" s="2705"/>
      <c r="R54" s="2705"/>
      <c r="S54" s="2705"/>
      <c r="T54" s="2705"/>
      <c r="U54" s="2705"/>
      <c r="V54" s="2705"/>
      <c r="W54" s="2705"/>
      <c r="X54" s="2705"/>
      <c r="Y54" s="2705"/>
      <c r="Z54" s="2705"/>
      <c r="AA54" s="2705"/>
      <c r="AB54" s="2705"/>
      <c r="AC54" s="2705"/>
    </row>
    <row r="55" spans="1:29" ht="27" customHeight="1">
      <c r="A55" s="632" t="s">
        <v>1865</v>
      </c>
      <c r="B55" s="633" t="s">
        <v>1866</v>
      </c>
      <c r="C55" s="1983" t="s">
        <v>1867</v>
      </c>
      <c r="D55" s="1984" t="s">
        <v>1868</v>
      </c>
      <c r="E55" s="634" t="s">
        <v>1869</v>
      </c>
      <c r="F55" s="890" t="s">
        <v>1870</v>
      </c>
      <c r="G55" s="3922" t="s">
        <v>1871</v>
      </c>
      <c r="H55" s="3971"/>
      <c r="I55" s="135" t="s">
        <v>1872</v>
      </c>
      <c r="J55" s="1985">
        <f>项目基本情况!F35</f>
        <v>0</v>
      </c>
      <c r="K55" s="1986" t="s">
        <v>1873</v>
      </c>
      <c r="L55" s="2703"/>
      <c r="M55" s="2702"/>
      <c r="N55" s="2702"/>
      <c r="O55" s="2702"/>
      <c r="P55" s="2702"/>
      <c r="Q55" s="2702"/>
      <c r="R55" s="2702"/>
      <c r="S55" s="2702"/>
      <c r="T55" s="2702"/>
      <c r="U55" s="2702"/>
      <c r="V55" s="2702"/>
      <c r="W55" s="2702"/>
      <c r="X55" s="2702"/>
      <c r="Y55" s="2702"/>
      <c r="Z55" s="2702"/>
      <c r="AA55" s="2702"/>
      <c r="AB55" s="2702"/>
      <c r="AC55" s="2702"/>
    </row>
    <row r="56" spans="1:29" s="640" customFormat="1">
      <c r="A56" s="636" t="s">
        <v>1874</v>
      </c>
      <c r="B56" s="637">
        <f>C48</f>
        <v>19616</v>
      </c>
      <c r="C56" s="638">
        <v>1</v>
      </c>
      <c r="D56" s="944">
        <v>1</v>
      </c>
      <c r="E56" s="638">
        <f>'数据-汇总表'!E8+'数据-汇总表'!E9</f>
        <v>42571.529999999977</v>
      </c>
      <c r="F56" s="886">
        <f t="shared" ref="F56:F64" si="15">ROUND(B56*E56/10000,0)</f>
        <v>83508</v>
      </c>
      <c r="G56" s="3904"/>
      <c r="H56" s="3905"/>
      <c r="I56" s="891">
        <v>1</v>
      </c>
      <c r="J56" s="894">
        <v>1</v>
      </c>
      <c r="K56" s="2705"/>
      <c r="L56" s="2759"/>
      <c r="M56" s="2759"/>
      <c r="N56" s="2759"/>
      <c r="O56" s="2759"/>
      <c r="P56" s="2759"/>
      <c r="Q56" s="2759"/>
      <c r="R56" s="2759"/>
      <c r="S56" s="2759"/>
      <c r="T56" s="2759"/>
      <c r="U56" s="2759"/>
      <c r="V56" s="2759"/>
      <c r="W56" s="2759"/>
      <c r="X56" s="2759"/>
      <c r="Y56" s="2759"/>
      <c r="Z56" s="2759"/>
      <c r="AA56" s="2759"/>
      <c r="AB56" s="2759"/>
      <c r="AC56" s="2759"/>
    </row>
    <row r="57" spans="1:29" s="640" customFormat="1">
      <c r="A57" s="641" t="s">
        <v>1875</v>
      </c>
      <c r="B57" s="218">
        <f>ROUND($C$48*C57*D57,0)</f>
        <v>2942</v>
      </c>
      <c r="C57" s="171">
        <f t="shared" ref="C57:C64" si="16">IF($C$55="北京市系数",I57,J57)</f>
        <v>0.6</v>
      </c>
      <c r="D57" s="945">
        <v>0.25</v>
      </c>
      <c r="E57" s="642"/>
      <c r="F57" s="886">
        <f t="shared" si="15"/>
        <v>0</v>
      </c>
      <c r="G57" s="2983" t="s">
        <v>1876</v>
      </c>
      <c r="H57" s="887" t="str">
        <f>项目基本情况!B37</f>
        <v>三级</v>
      </c>
      <c r="I57" s="891">
        <f>SUMIF(修正!A57:A68,H57,修正!B57:B68)</f>
        <v>0.6</v>
      </c>
      <c r="J57" s="895"/>
      <c r="K57" s="2702"/>
      <c r="L57" s="2759"/>
      <c r="M57" s="2759"/>
      <c r="N57" s="2759"/>
      <c r="O57" s="2759"/>
      <c r="P57" s="2759"/>
      <c r="Q57" s="2759"/>
      <c r="R57" s="2759"/>
      <c r="S57" s="2759"/>
      <c r="T57" s="2759"/>
      <c r="U57" s="2759"/>
      <c r="V57" s="2759"/>
      <c r="W57" s="2759"/>
      <c r="X57" s="2759"/>
      <c r="Y57" s="2759"/>
      <c r="Z57" s="2759"/>
      <c r="AA57" s="2759"/>
      <c r="AB57" s="2759"/>
      <c r="AC57" s="2759"/>
    </row>
    <row r="58" spans="1:29" s="640" customFormat="1">
      <c r="A58" s="641" t="s">
        <v>1877</v>
      </c>
      <c r="B58" s="218">
        <f t="shared" ref="B58:B64" si="17">ROUND($C$48*C58*D58,0)</f>
        <v>1471</v>
      </c>
      <c r="C58" s="171">
        <f t="shared" si="16"/>
        <v>0.3</v>
      </c>
      <c r="D58" s="945">
        <v>0.25</v>
      </c>
      <c r="E58" s="642"/>
      <c r="F58" s="886">
        <f t="shared" si="15"/>
        <v>0</v>
      </c>
      <c r="G58" s="2984"/>
      <c r="H58" s="887" t="str">
        <f>项目基本情况!B37</f>
        <v>三级</v>
      </c>
      <c r="I58" s="891">
        <f>SUMIF(修正!A57:A68,H58,修正!C57:C68)</f>
        <v>0.3</v>
      </c>
      <c r="J58" s="895"/>
      <c r="K58" s="2705"/>
      <c r="L58" s="2759"/>
      <c r="M58" s="2759"/>
      <c r="N58" s="2759"/>
      <c r="O58" s="2759"/>
      <c r="P58" s="2759"/>
      <c r="Q58" s="2759"/>
      <c r="R58" s="2759"/>
      <c r="S58" s="2759"/>
      <c r="T58" s="2759"/>
      <c r="U58" s="2759"/>
      <c r="V58" s="2759"/>
      <c r="W58" s="2759"/>
      <c r="X58" s="2759"/>
      <c r="Y58" s="2759"/>
      <c r="Z58" s="2759"/>
      <c r="AA58" s="2759"/>
      <c r="AB58" s="2759"/>
      <c r="AC58" s="2759"/>
    </row>
    <row r="59" spans="1:29" s="640" customFormat="1">
      <c r="A59" s="641" t="s">
        <v>1878</v>
      </c>
      <c r="B59" s="218">
        <f t="shared" si="17"/>
        <v>1226</v>
      </c>
      <c r="C59" s="171">
        <f t="shared" si="16"/>
        <v>0.25</v>
      </c>
      <c r="D59" s="945">
        <v>0.25</v>
      </c>
      <c r="E59" s="642"/>
      <c r="F59" s="886">
        <f t="shared" si="15"/>
        <v>0</v>
      </c>
      <c r="G59" s="2984"/>
      <c r="H59" s="887" t="str">
        <f>项目基本情况!B37</f>
        <v>三级</v>
      </c>
      <c r="I59" s="891">
        <f>SUMIF(修正!A57:A68,H59,修正!D57:D68)</f>
        <v>0.25</v>
      </c>
      <c r="J59" s="895"/>
      <c r="K59" s="2702"/>
      <c r="L59" s="2759"/>
      <c r="M59" s="2759"/>
      <c r="N59" s="2759"/>
      <c r="O59" s="2759"/>
      <c r="P59" s="2759"/>
      <c r="Q59" s="2759"/>
      <c r="R59" s="2759"/>
      <c r="S59" s="2759"/>
      <c r="T59" s="2759"/>
      <c r="U59" s="2759"/>
      <c r="V59" s="2759"/>
      <c r="W59" s="2759"/>
      <c r="X59" s="2759"/>
      <c r="Y59" s="2759"/>
      <c r="Z59" s="2759"/>
      <c r="AA59" s="2759"/>
      <c r="AB59" s="2759"/>
      <c r="AC59" s="2759"/>
    </row>
    <row r="60" spans="1:29" s="640" customFormat="1">
      <c r="A60" s="641" t="s">
        <v>1879</v>
      </c>
      <c r="B60" s="218">
        <f t="shared" si="17"/>
        <v>1226</v>
      </c>
      <c r="C60" s="171">
        <f t="shared" si="16"/>
        <v>0.25</v>
      </c>
      <c r="D60" s="945">
        <v>0.25</v>
      </c>
      <c r="E60" s="217">
        <f>'数据-汇总表'!E11</f>
        <v>0</v>
      </c>
      <c r="F60" s="886">
        <f t="shared" si="15"/>
        <v>0</v>
      </c>
      <c r="G60" s="1987" t="s">
        <v>1880</v>
      </c>
      <c r="H60" s="887" t="str">
        <f>项目基本情况!C37</f>
        <v>三级</v>
      </c>
      <c r="I60" s="891">
        <f>SUMIF(修正!A57:A68,H60,修正!E57:E68)</f>
        <v>0.25</v>
      </c>
      <c r="J60" s="895"/>
      <c r="K60" s="2702"/>
      <c r="L60" s="2759"/>
      <c r="M60" s="2759"/>
      <c r="N60" s="2759"/>
      <c r="O60" s="2759"/>
      <c r="P60" s="2759"/>
      <c r="Q60" s="2759"/>
      <c r="R60" s="2759"/>
      <c r="S60" s="2759"/>
      <c r="T60" s="2759"/>
      <c r="U60" s="2759"/>
      <c r="V60" s="2759"/>
      <c r="W60" s="2759"/>
      <c r="X60" s="2759"/>
      <c r="Y60" s="2759"/>
      <c r="Z60" s="2759"/>
      <c r="AA60" s="2759"/>
      <c r="AB60" s="2759"/>
      <c r="AC60" s="2759"/>
    </row>
    <row r="61" spans="1:29" s="640" customFormat="1">
      <c r="A61" s="641" t="s">
        <v>1881</v>
      </c>
      <c r="B61" s="218">
        <f t="shared" si="17"/>
        <v>1226</v>
      </c>
      <c r="C61" s="171">
        <f t="shared" si="16"/>
        <v>0.25</v>
      </c>
      <c r="D61" s="945">
        <v>0.25</v>
      </c>
      <c r="E61" s="217">
        <f>'数据-汇总表'!E12</f>
        <v>0</v>
      </c>
      <c r="F61" s="886">
        <f t="shared" si="15"/>
        <v>0</v>
      </c>
      <c r="G61" s="892" t="s">
        <v>1882</v>
      </c>
      <c r="H61" s="887" t="str">
        <f>IF(G61="商业",项目基本情况!B37,IF(G61="办公",项目基本情况!C37,IF(G61="住宅",项目基本情况!D37,项目基本情况!E37)))</f>
        <v>三级</v>
      </c>
      <c r="I61" s="891">
        <f>SUMIF(修正!A57:A68,H61,修正!F57:F68)</f>
        <v>0.25</v>
      </c>
      <c r="J61" s="895"/>
      <c r="K61" s="2705"/>
      <c r="L61" s="2759"/>
      <c r="M61" s="2759"/>
      <c r="N61" s="2759"/>
      <c r="O61" s="2759"/>
      <c r="P61" s="2759"/>
      <c r="Q61" s="2759"/>
      <c r="R61" s="2759"/>
      <c r="S61" s="2759"/>
      <c r="T61" s="2759"/>
      <c r="U61" s="2759"/>
      <c r="V61" s="2759"/>
      <c r="W61" s="2759"/>
      <c r="X61" s="2759"/>
      <c r="Y61" s="2759"/>
      <c r="Z61" s="2759"/>
      <c r="AA61" s="2759"/>
      <c r="AB61" s="2759"/>
      <c r="AC61" s="2759"/>
    </row>
    <row r="62" spans="1:29" s="640" customFormat="1">
      <c r="A62" s="641" t="s">
        <v>1883</v>
      </c>
      <c r="B62" s="218">
        <f t="shared" si="17"/>
        <v>736</v>
      </c>
      <c r="C62" s="171">
        <f t="shared" si="16"/>
        <v>0.15</v>
      </c>
      <c r="D62" s="945">
        <v>0.25</v>
      </c>
      <c r="E62" s="217">
        <f>'数据-汇总表'!E13</f>
        <v>6149.2</v>
      </c>
      <c r="F62" s="886">
        <f t="shared" si="15"/>
        <v>453</v>
      </c>
      <c r="G62" s="892" t="s">
        <v>4986</v>
      </c>
      <c r="H62" s="887" t="str">
        <f>IF(G62="商业",项目基本情况!B37,IF(G62="办公",项目基本情况!C37,IF(G62="住宅",项目基本情况!D37,项目基本情况!E37)))</f>
        <v>三级</v>
      </c>
      <c r="I62" s="891">
        <f>SUMIF(修正!A57:A68,H62,修正!G57:G68)</f>
        <v>0.15</v>
      </c>
      <c r="J62" s="895"/>
      <c r="K62" s="2702"/>
      <c r="L62" s="2759"/>
      <c r="M62" s="2759"/>
      <c r="N62" s="2759"/>
      <c r="O62" s="2759"/>
      <c r="P62" s="2759"/>
      <c r="Q62" s="2759"/>
      <c r="R62" s="2759"/>
      <c r="S62" s="2759"/>
      <c r="T62" s="2759"/>
      <c r="U62" s="2759"/>
      <c r="V62" s="2759"/>
      <c r="W62" s="2759"/>
      <c r="X62" s="2759"/>
      <c r="Y62" s="2759"/>
      <c r="Z62" s="2759"/>
      <c r="AA62" s="2759"/>
      <c r="AB62" s="2759"/>
      <c r="AC62" s="2759"/>
    </row>
    <row r="63" spans="1:29" s="640" customFormat="1">
      <c r="A63" s="641" t="s">
        <v>1885</v>
      </c>
      <c r="B63" s="218">
        <f t="shared" si="17"/>
        <v>736</v>
      </c>
      <c r="C63" s="171">
        <f t="shared" si="16"/>
        <v>0.15</v>
      </c>
      <c r="D63" s="945">
        <v>0.25</v>
      </c>
      <c r="E63" s="217">
        <f>'数据-汇总表'!E14</f>
        <v>0</v>
      </c>
      <c r="F63" s="886">
        <f t="shared" si="15"/>
        <v>0</v>
      </c>
      <c r="G63" s="1987" t="s">
        <v>1876</v>
      </c>
      <c r="H63" s="887" t="str">
        <f>项目基本情况!B37</f>
        <v>三级</v>
      </c>
      <c r="I63" s="891">
        <f>SUMIF(修正!A57:A68,H63,修正!G57:G68)</f>
        <v>0.15</v>
      </c>
      <c r="J63" s="895"/>
      <c r="K63" s="2705"/>
      <c r="L63" s="2759"/>
      <c r="M63" s="2759"/>
      <c r="N63" s="2759"/>
      <c r="O63" s="2759"/>
      <c r="P63" s="2759"/>
      <c r="Q63" s="2759"/>
      <c r="R63" s="2759"/>
      <c r="S63" s="2759"/>
      <c r="T63" s="2759"/>
      <c r="U63" s="2759"/>
      <c r="V63" s="2759"/>
      <c r="W63" s="2759"/>
      <c r="X63" s="2759"/>
      <c r="Y63" s="2759"/>
      <c r="Z63" s="2759"/>
      <c r="AA63" s="2759"/>
      <c r="AB63" s="2759"/>
      <c r="AC63" s="2759"/>
    </row>
    <row r="64" spans="1:29" s="640" customFormat="1" ht="15" thickBot="1">
      <c r="A64" s="641" t="s">
        <v>1886</v>
      </c>
      <c r="B64" s="218">
        <f t="shared" si="17"/>
        <v>736</v>
      </c>
      <c r="C64" s="171">
        <f t="shared" si="16"/>
        <v>0.15</v>
      </c>
      <c r="D64" s="945">
        <v>0.25</v>
      </c>
      <c r="E64" s="217">
        <f>'数据-汇总表'!E15</f>
        <v>0</v>
      </c>
      <c r="F64" s="886">
        <f t="shared" si="15"/>
        <v>0</v>
      </c>
      <c r="G64" s="1988" t="s">
        <v>1880</v>
      </c>
      <c r="H64" s="897" t="str">
        <f>项目基本情况!C37</f>
        <v>三级</v>
      </c>
      <c r="I64" s="893">
        <f>SUMIF(修正!A57:A68,H64,修正!G57:G68)</f>
        <v>0.15</v>
      </c>
      <c r="J64" s="896"/>
      <c r="K64" s="2702"/>
      <c r="L64" s="2759"/>
      <c r="M64" s="2759"/>
      <c r="N64" s="2759"/>
      <c r="O64" s="2759"/>
      <c r="P64" s="2759"/>
      <c r="Q64" s="2759"/>
      <c r="R64" s="2759"/>
      <c r="S64" s="2759"/>
      <c r="T64" s="2759"/>
      <c r="U64" s="2759"/>
      <c r="V64" s="2759"/>
      <c r="W64" s="2759"/>
      <c r="X64" s="2759"/>
      <c r="Y64" s="2759"/>
      <c r="Z64" s="2759"/>
      <c r="AA64" s="2759"/>
      <c r="AB64" s="2759"/>
      <c r="AC64" s="2759"/>
    </row>
    <row r="65" spans="1:29" s="640" customFormat="1" ht="13.5" thickBot="1">
      <c r="A65" s="643" t="s">
        <v>1887</v>
      </c>
      <c r="B65" s="644" t="s">
        <v>22</v>
      </c>
      <c r="C65" s="644" t="s">
        <v>23</v>
      </c>
      <c r="D65" s="644" t="s">
        <v>392</v>
      </c>
      <c r="E65" s="644">
        <f>IF(B46="楼面地价",SUM(E56:E64),'数据-汇总表'!D3)</f>
        <v>48720.729999999974</v>
      </c>
      <c r="F65" s="645">
        <f>IF(B46="楼面地价",SUM(F56:F64),ROUND(C48*E65/10000,0))</f>
        <v>83961</v>
      </c>
      <c r="G65" s="717"/>
      <c r="H65" s="717"/>
      <c r="I65" s="717"/>
      <c r="J65" s="717"/>
      <c r="K65" s="2760"/>
      <c r="L65" s="2759"/>
      <c r="M65" s="2759"/>
      <c r="N65" s="2759"/>
      <c r="O65" s="2759"/>
      <c r="P65" s="2759"/>
      <c r="Q65" s="2759"/>
      <c r="R65" s="2759"/>
      <c r="S65" s="2759"/>
      <c r="T65" s="2759"/>
      <c r="U65" s="2759"/>
      <c r="V65" s="2759"/>
      <c r="W65" s="2759"/>
      <c r="X65" s="2759"/>
      <c r="Y65" s="2759"/>
      <c r="Z65" s="2759"/>
      <c r="AA65" s="2759"/>
      <c r="AB65" s="2759"/>
      <c r="AC65" s="2759"/>
    </row>
    <row r="66" spans="1:29">
      <c r="A66" s="690"/>
      <c r="B66" s="692"/>
      <c r="C66" s="693"/>
      <c r="D66" s="690"/>
      <c r="E66" s="690"/>
      <c r="F66" s="690"/>
      <c r="G66" s="690"/>
      <c r="H66" s="690"/>
      <c r="I66" s="690"/>
      <c r="J66" s="927"/>
      <c r="K66" s="888"/>
      <c r="L66" s="889"/>
      <c r="M66" s="927"/>
      <c r="N66" s="927"/>
      <c r="O66" s="927"/>
      <c r="P66" s="2702"/>
      <c r="Q66" s="2702"/>
      <c r="R66" s="2702"/>
      <c r="S66" s="2702"/>
      <c r="T66" s="2702"/>
      <c r="U66" s="2702"/>
      <c r="V66" s="2702"/>
      <c r="W66" s="2702"/>
      <c r="X66" s="2702"/>
      <c r="Y66" s="2702"/>
      <c r="Z66" s="2702"/>
      <c r="AA66" s="2702"/>
      <c r="AB66" s="2702"/>
      <c r="AC66" s="2702"/>
    </row>
    <row r="67" spans="1:29">
      <c r="A67" s="690"/>
      <c r="B67" s="692"/>
      <c r="C67" s="692" t="str">
        <f>YEAR(C7)&amp;"-"&amp;MONTH(C7)&amp;"-1"</f>
        <v>2023-12-1</v>
      </c>
      <c r="D67" s="692">
        <f>EDATE(C67,-3)</f>
        <v>45170</v>
      </c>
      <c r="E67" s="692">
        <f>EDATE(D67,-3)</f>
        <v>45078</v>
      </c>
      <c r="F67" s="692">
        <f t="shared" ref="F67:O67" si="18">EDATE(E67,-3)</f>
        <v>44986</v>
      </c>
      <c r="G67" s="692">
        <f t="shared" si="18"/>
        <v>44896</v>
      </c>
      <c r="H67" s="692">
        <f t="shared" si="18"/>
        <v>44805</v>
      </c>
      <c r="I67" s="692">
        <f t="shared" si="18"/>
        <v>44713</v>
      </c>
      <c r="J67" s="692">
        <f t="shared" si="18"/>
        <v>44621</v>
      </c>
      <c r="K67" s="692">
        <f t="shared" si="18"/>
        <v>44531</v>
      </c>
      <c r="L67" s="692">
        <f t="shared" si="18"/>
        <v>44440</v>
      </c>
      <c r="M67" s="692">
        <f t="shared" si="18"/>
        <v>44348</v>
      </c>
      <c r="N67" s="692">
        <f t="shared" si="18"/>
        <v>44256</v>
      </c>
      <c r="O67" s="692">
        <f t="shared" si="18"/>
        <v>44166</v>
      </c>
      <c r="P67" s="2702"/>
      <c r="Q67" s="2702"/>
      <c r="R67" s="2702"/>
      <c r="S67" s="2702"/>
      <c r="T67" s="2702"/>
      <c r="U67" s="2702"/>
      <c r="V67" s="2702"/>
      <c r="W67" s="2702"/>
      <c r="X67" s="2702"/>
      <c r="Y67" s="2702"/>
      <c r="Z67" s="2702"/>
      <c r="AA67" s="2702"/>
      <c r="AB67" s="2702"/>
      <c r="AC67" s="2702"/>
    </row>
    <row r="68" spans="1:29" ht="21.75" thickBot="1">
      <c r="A68" s="694" t="s">
        <v>1782</v>
      </c>
      <c r="B68" s="690"/>
      <c r="C68" s="695"/>
      <c r="D68" s="695"/>
      <c r="E68" s="695"/>
      <c r="F68" s="696"/>
      <c r="G68" s="696"/>
      <c r="H68" s="695"/>
      <c r="I68" s="695"/>
      <c r="J68" s="940"/>
      <c r="K68" s="941"/>
      <c r="L68" s="942"/>
      <c r="M68" s="940"/>
      <c r="N68" s="2746"/>
      <c r="O68" s="2746"/>
      <c r="P68" s="2746"/>
      <c r="Q68" s="2716"/>
      <c r="R68" s="2702"/>
      <c r="S68" s="2702"/>
      <c r="T68" s="2702"/>
      <c r="U68" s="2702"/>
      <c r="V68" s="2702"/>
      <c r="W68" s="2702"/>
      <c r="X68" s="2702"/>
      <c r="Y68" s="2702"/>
      <c r="Z68" s="2702"/>
      <c r="AA68" s="2702"/>
      <c r="AB68" s="2702"/>
      <c r="AC68" s="2702"/>
    </row>
    <row r="69" spans="1:29" s="457" customFormat="1" ht="15">
      <c r="A69" s="1989" t="s">
        <v>1888</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18" t="s">
        <v>4978</v>
      </c>
      <c r="Q69" s="2718" t="s">
        <v>4979</v>
      </c>
      <c r="R69" s="2718" t="s">
        <v>4980</v>
      </c>
      <c r="S69" s="2718"/>
      <c r="T69" s="2718"/>
      <c r="U69" s="2718"/>
      <c r="V69" s="2718"/>
      <c r="W69" s="2718"/>
      <c r="X69" s="2718"/>
      <c r="Y69" s="2718"/>
      <c r="Z69" s="2718"/>
      <c r="AA69" s="2718"/>
      <c r="AB69" s="2718"/>
      <c r="AC69" s="2718"/>
    </row>
    <row r="70" spans="1:29" s="108" customFormat="1" ht="30" customHeight="1">
      <c r="A70" s="1990" t="s">
        <v>1889</v>
      </c>
      <c r="B70" s="288" t="str">
        <f>"北京市平均增长率"&amp;TEXT(SUMIF(基准地价修正!N25:N29,A70,基准地价修正!P25:P29),"0.00%")</f>
        <v>北京市平均增长率0.00%</v>
      </c>
      <c r="C70" s="552">
        <v>100</v>
      </c>
      <c r="D70" s="544">
        <v>99.5</v>
      </c>
      <c r="E70" s="544">
        <v>99</v>
      </c>
      <c r="F70" s="544">
        <v>98.5</v>
      </c>
      <c r="G70" s="544">
        <v>98</v>
      </c>
      <c r="H70" s="544">
        <v>97.5</v>
      </c>
      <c r="I70" s="544">
        <v>97</v>
      </c>
      <c r="J70" s="544">
        <v>96.5</v>
      </c>
      <c r="K70" s="544">
        <v>96</v>
      </c>
      <c r="L70" s="544">
        <v>95.5</v>
      </c>
      <c r="M70" s="1178">
        <v>95</v>
      </c>
      <c r="N70" s="544">
        <v>94.5</v>
      </c>
      <c r="O70" s="1179">
        <v>94</v>
      </c>
      <c r="P70" s="2716">
        <v>93.5</v>
      </c>
      <c r="Q70" s="2638">
        <v>93</v>
      </c>
      <c r="R70" s="2638">
        <v>92.5</v>
      </c>
      <c r="S70" s="2638"/>
      <c r="T70" s="2638"/>
      <c r="U70" s="2638"/>
      <c r="V70" s="2638"/>
      <c r="W70" s="2638"/>
      <c r="X70" s="2638"/>
      <c r="Y70" s="2638"/>
      <c r="Z70" s="2638"/>
      <c r="AA70" s="2638"/>
      <c r="AB70" s="2638"/>
      <c r="AC70" s="2638"/>
    </row>
    <row r="71" spans="1:29" s="108" customFormat="1" ht="15.75" thickBot="1">
      <c r="A71" s="464" t="s">
        <v>1700</v>
      </c>
      <c r="B71" s="465"/>
      <c r="C71" s="466"/>
      <c r="D71" s="467"/>
      <c r="E71" s="467"/>
      <c r="F71" s="467"/>
      <c r="G71" s="467"/>
      <c r="H71" s="467"/>
      <c r="I71" s="467"/>
      <c r="J71" s="467"/>
      <c r="K71" s="467"/>
      <c r="L71" s="467"/>
      <c r="M71" s="468"/>
      <c r="N71" s="467"/>
      <c r="O71" s="943"/>
      <c r="P71" s="2716"/>
      <c r="Q71" s="2716"/>
      <c r="R71" s="2638"/>
      <c r="S71" s="2638"/>
      <c r="T71" s="2638"/>
      <c r="U71" s="2638"/>
      <c r="V71" s="2638"/>
      <c r="W71" s="2638"/>
      <c r="X71" s="2638"/>
      <c r="Y71" s="2638"/>
      <c r="Z71" s="2638"/>
      <c r="AA71" s="2638"/>
      <c r="AB71" s="2638"/>
      <c r="AC71" s="2638"/>
    </row>
    <row r="72" spans="1:29" s="108" customFormat="1" ht="15">
      <c r="A72" s="470" t="s">
        <v>1665</v>
      </c>
      <c r="B72" s="459"/>
      <c r="C72" s="471" t="s">
        <v>1760</v>
      </c>
      <c r="D72" s="472"/>
      <c r="E72" s="472"/>
      <c r="F72" s="472"/>
      <c r="G72" s="472"/>
      <c r="H72" s="472"/>
      <c r="I72" s="472"/>
      <c r="J72" s="472"/>
      <c r="K72" s="472"/>
      <c r="L72" s="473"/>
      <c r="M72" s="474"/>
      <c r="N72" s="2729"/>
      <c r="O72" s="2729"/>
      <c r="P72" s="2754"/>
      <c r="Q72" s="2716"/>
      <c r="R72" s="2638"/>
      <c r="S72" s="2638"/>
      <c r="T72" s="2638"/>
      <c r="U72" s="2638"/>
      <c r="V72" s="2638"/>
      <c r="W72" s="2638"/>
      <c r="X72" s="2638"/>
      <c r="Y72" s="2638"/>
      <c r="Z72" s="2638"/>
      <c r="AA72" s="2638"/>
      <c r="AB72" s="2638"/>
      <c r="AC72" s="2638"/>
    </row>
    <row r="73" spans="1:29" s="108" customFormat="1" ht="15.75" thickBot="1">
      <c r="A73" s="470"/>
      <c r="B73" s="459"/>
      <c r="C73" s="587">
        <v>100</v>
      </c>
      <c r="D73" s="461"/>
      <c r="E73" s="461"/>
      <c r="F73" s="461"/>
      <c r="G73" s="461"/>
      <c r="H73" s="461"/>
      <c r="I73" s="461"/>
      <c r="J73" s="461"/>
      <c r="K73" s="461"/>
      <c r="L73" s="461"/>
      <c r="M73" s="463"/>
      <c r="N73" s="2729"/>
      <c r="O73" s="2729"/>
      <c r="P73" s="2716"/>
      <c r="Q73" s="2716"/>
      <c r="R73" s="2638"/>
      <c r="S73" s="2638"/>
      <c r="T73" s="2638"/>
      <c r="U73" s="2638"/>
      <c r="V73" s="2638"/>
      <c r="W73" s="2638"/>
      <c r="X73" s="2638"/>
      <c r="Y73" s="2638"/>
      <c r="Z73" s="2638"/>
      <c r="AA73" s="2638"/>
      <c r="AB73" s="2638"/>
      <c r="AC73" s="2638"/>
    </row>
    <row r="74" spans="1:29" ht="28.5">
      <c r="A74" s="476" t="s">
        <v>1703</v>
      </c>
      <c r="B74" s="477" t="s">
        <v>1669</v>
      </c>
      <c r="C74" s="479" t="s">
        <v>4981</v>
      </c>
      <c r="D74" s="479" t="s">
        <v>4972</v>
      </c>
      <c r="E74" s="479" t="s">
        <v>4982</v>
      </c>
      <c r="F74" s="3590" t="s">
        <v>4983</v>
      </c>
      <c r="G74" s="479"/>
      <c r="H74" s="479"/>
      <c r="I74" s="479"/>
      <c r="J74" s="479"/>
      <c r="K74" s="480"/>
      <c r="L74" s="481"/>
      <c r="M74" s="482"/>
      <c r="N74" s="2730"/>
      <c r="O74" s="2730"/>
      <c r="P74" s="2755"/>
      <c r="Q74" s="2716"/>
      <c r="R74" s="2702"/>
      <c r="S74" s="2702"/>
      <c r="T74" s="2702"/>
      <c r="U74" s="2702"/>
      <c r="V74" s="2702"/>
      <c r="W74" s="2702"/>
      <c r="X74" s="2702"/>
      <c r="Y74" s="2702"/>
      <c r="Z74" s="2702"/>
      <c r="AA74" s="2702"/>
      <c r="AB74" s="2702"/>
      <c r="AC74" s="2702"/>
    </row>
    <row r="75" spans="1:29" ht="15.75" thickBot="1">
      <c r="A75" s="483"/>
      <c r="B75" s="484"/>
      <c r="C75" s="485">
        <v>100</v>
      </c>
      <c r="D75" s="485">
        <v>100</v>
      </c>
      <c r="E75" s="485">
        <v>95</v>
      </c>
      <c r="F75" s="485">
        <v>100</v>
      </c>
      <c r="G75" s="485"/>
      <c r="H75" s="485"/>
      <c r="I75" s="485"/>
      <c r="J75" s="485"/>
      <c r="K75" s="485"/>
      <c r="L75" s="485"/>
      <c r="M75" s="486"/>
      <c r="N75" s="2731"/>
      <c r="O75" s="2731"/>
      <c r="P75" s="2755"/>
      <c r="Q75" s="2716"/>
      <c r="R75" s="2702"/>
      <c r="S75" s="2702"/>
      <c r="T75" s="2702"/>
      <c r="U75" s="2702"/>
      <c r="V75" s="2702"/>
      <c r="W75" s="2702"/>
      <c r="X75" s="2702"/>
      <c r="Y75" s="2702"/>
      <c r="Z75" s="2702"/>
      <c r="AA75" s="2702"/>
      <c r="AB75" s="2702"/>
      <c r="AC75" s="2702"/>
    </row>
    <row r="76" spans="1:29" ht="27.75" thickTop="1">
      <c r="A76" s="483"/>
      <c r="B76" s="487" t="s">
        <v>1672</v>
      </c>
      <c r="C76" s="488"/>
      <c r="D76" s="488"/>
      <c r="E76" s="488"/>
      <c r="F76" s="488"/>
      <c r="G76" s="488"/>
      <c r="H76" s="488"/>
      <c r="I76" s="488"/>
      <c r="J76" s="488"/>
      <c r="K76" s="489"/>
      <c r="L76" s="490"/>
      <c r="M76" s="491"/>
      <c r="N76" s="2730"/>
      <c r="O76" s="2730"/>
      <c r="P76" s="2755"/>
      <c r="Q76" s="2716"/>
      <c r="R76" s="2702"/>
      <c r="S76" s="2702"/>
      <c r="T76" s="2702"/>
      <c r="U76" s="2702"/>
      <c r="V76" s="2702"/>
      <c r="W76" s="2702"/>
      <c r="X76" s="2702"/>
      <c r="Y76" s="2702"/>
      <c r="Z76" s="2702"/>
      <c r="AA76" s="2702"/>
      <c r="AB76" s="2702"/>
      <c r="AC76" s="2702"/>
    </row>
    <row r="77" spans="1:29" ht="15.75" thickBot="1">
      <c r="A77" s="483"/>
      <c r="B77" s="492"/>
      <c r="C77" s="493"/>
      <c r="D77" s="493"/>
      <c r="E77" s="493"/>
      <c r="F77" s="493"/>
      <c r="G77" s="493"/>
      <c r="H77" s="493"/>
      <c r="I77" s="493"/>
      <c r="J77" s="493"/>
      <c r="K77" s="493"/>
      <c r="L77" s="493"/>
      <c r="M77" s="494"/>
      <c r="N77" s="2731"/>
      <c r="O77" s="2731"/>
      <c r="P77" s="2755"/>
      <c r="Q77" s="2716"/>
      <c r="R77" s="2702"/>
      <c r="S77" s="2702"/>
      <c r="T77" s="2702"/>
      <c r="U77" s="2702"/>
      <c r="V77" s="2702"/>
      <c r="W77" s="2702"/>
      <c r="X77" s="2702"/>
      <c r="Y77" s="2702"/>
      <c r="Z77" s="2702"/>
      <c r="AA77" s="2702"/>
      <c r="AB77" s="2702"/>
      <c r="AC77" s="2702"/>
    </row>
    <row r="78" spans="1:29" ht="15.75" thickTop="1">
      <c r="A78" s="483"/>
      <c r="B78" s="495" t="s">
        <v>1673</v>
      </c>
      <c r="C78" s="496" t="str">
        <f>C79&amp;"（含）"&amp;"-"&amp;D79</f>
        <v>0（含）-5</v>
      </c>
      <c r="D78" s="496" t="str">
        <f t="shared" ref="D78:L78" si="20">D79&amp;"（含）"&amp;"-"&amp;E79</f>
        <v>5（含）-10</v>
      </c>
      <c r="E78" s="496" t="str">
        <f t="shared" si="20"/>
        <v>10（含）-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31"/>
      <c r="O78" s="2731"/>
      <c r="P78" s="2755"/>
      <c r="Q78" s="2716"/>
      <c r="R78" s="2702"/>
      <c r="S78" s="2702"/>
      <c r="T78" s="2702"/>
      <c r="U78" s="2702"/>
      <c r="V78" s="2702"/>
      <c r="W78" s="2702"/>
      <c r="X78" s="2702"/>
      <c r="Y78" s="2702"/>
      <c r="Z78" s="2702"/>
      <c r="AA78" s="2702"/>
      <c r="AB78" s="2702"/>
      <c r="AC78" s="2702"/>
    </row>
    <row r="79" spans="1:29" ht="15">
      <c r="A79" s="483"/>
      <c r="B79" s="497"/>
      <c r="C79" s="498">
        <v>0</v>
      </c>
      <c r="D79" s="498">
        <v>5</v>
      </c>
      <c r="E79" s="498">
        <v>10</v>
      </c>
      <c r="F79" s="498"/>
      <c r="G79" s="498"/>
      <c r="H79" s="498"/>
      <c r="I79" s="498"/>
      <c r="J79" s="498"/>
      <c r="K79" s="499"/>
      <c r="L79" s="500"/>
      <c r="M79" s="501"/>
      <c r="N79" s="2730"/>
      <c r="O79" s="2730"/>
      <c r="P79" s="2755"/>
      <c r="Q79" s="2716"/>
      <c r="R79" s="2702"/>
      <c r="S79" s="2702"/>
      <c r="T79" s="2702"/>
      <c r="U79" s="2702"/>
      <c r="V79" s="2702"/>
      <c r="W79" s="2702"/>
      <c r="X79" s="2702"/>
      <c r="Y79" s="2702"/>
      <c r="Z79" s="2702"/>
      <c r="AA79" s="2702"/>
      <c r="AB79" s="2702"/>
      <c r="AC79" s="270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31"/>
      <c r="O80" s="2731"/>
      <c r="P80" s="2755"/>
      <c r="Q80" s="2716"/>
      <c r="R80" s="2702"/>
      <c r="S80" s="2702"/>
      <c r="T80" s="2702"/>
      <c r="U80" s="2702"/>
      <c r="V80" s="2702"/>
      <c r="W80" s="2702"/>
      <c r="X80" s="2702"/>
      <c r="Y80" s="2702"/>
      <c r="Z80" s="2702"/>
      <c r="AA80" s="2702"/>
      <c r="AB80" s="2702"/>
      <c r="AC80" s="2702"/>
    </row>
    <row r="81" spans="1:29" s="422" customFormat="1" ht="15.75" thickTop="1">
      <c r="A81" s="502"/>
      <c r="B81" s="487" t="str">
        <f>B12</f>
        <v>配建</v>
      </c>
      <c r="C81" s="503"/>
      <c r="D81" s="503"/>
      <c r="E81" s="503"/>
      <c r="F81" s="503"/>
      <c r="G81" s="503"/>
      <c r="H81" s="504"/>
      <c r="I81" s="504"/>
      <c r="J81" s="504"/>
      <c r="K81" s="504"/>
      <c r="L81" s="505"/>
      <c r="M81" s="506"/>
      <c r="N81" s="2732"/>
      <c r="O81" s="2732"/>
      <c r="P81" s="2756"/>
      <c r="Q81" s="2723"/>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31"/>
      <c r="O82" s="2731"/>
      <c r="P82" s="2756"/>
      <c r="Q82" s="2723"/>
      <c r="R82" s="2724"/>
      <c r="S82" s="2724"/>
      <c r="T82" s="2724"/>
      <c r="U82" s="2724"/>
      <c r="V82" s="2724"/>
      <c r="W82" s="2724"/>
      <c r="X82" s="2724"/>
      <c r="Y82" s="2724"/>
      <c r="Z82" s="2724"/>
      <c r="AA82" s="2724"/>
      <c r="AB82" s="2724"/>
      <c r="AC82" s="2724"/>
    </row>
    <row r="83" spans="1:29" s="422" customFormat="1" ht="15.75" thickTop="1">
      <c r="A83" s="502"/>
      <c r="B83" s="487">
        <f>B13</f>
        <v>111</v>
      </c>
      <c r="C83" s="503"/>
      <c r="D83" s="503"/>
      <c r="E83" s="503"/>
      <c r="F83" s="503"/>
      <c r="G83" s="503"/>
      <c r="H83" s="504"/>
      <c r="I83" s="504"/>
      <c r="J83" s="504"/>
      <c r="K83" s="504"/>
      <c r="L83" s="505"/>
      <c r="M83" s="506"/>
      <c r="N83" s="2732"/>
      <c r="O83" s="2732"/>
      <c r="P83" s="2700"/>
      <c r="Q83" s="2726"/>
      <c r="R83" s="2724"/>
      <c r="S83" s="2724"/>
      <c r="T83" s="2724"/>
      <c r="U83" s="2724"/>
      <c r="V83" s="2724"/>
      <c r="W83" s="2724"/>
      <c r="X83" s="2724"/>
      <c r="Y83" s="2724"/>
      <c r="Z83" s="2724"/>
      <c r="AA83" s="2724"/>
      <c r="AB83" s="2724"/>
      <c r="AC83" s="2724"/>
    </row>
    <row r="84" spans="1:29" s="422" customFormat="1" ht="15.75" thickBot="1">
      <c r="A84" s="502"/>
      <c r="B84" s="492"/>
      <c r="C84" s="509"/>
      <c r="D84" s="509"/>
      <c r="E84" s="509"/>
      <c r="F84" s="509"/>
      <c r="G84" s="509"/>
      <c r="H84" s="511"/>
      <c r="I84" s="511"/>
      <c r="J84" s="511"/>
      <c r="K84" s="511"/>
      <c r="L84" s="511"/>
      <c r="M84" s="512"/>
      <c r="N84" s="2732"/>
      <c r="O84" s="2732"/>
      <c r="P84" s="2756"/>
      <c r="Q84" s="2723"/>
      <c r="R84" s="2724"/>
      <c r="S84" s="2724"/>
      <c r="T84" s="2724"/>
      <c r="U84" s="2724"/>
      <c r="V84" s="2724"/>
      <c r="W84" s="2724"/>
      <c r="X84" s="2724"/>
      <c r="Y84" s="2724"/>
      <c r="Z84" s="2724"/>
      <c r="AA84" s="2724"/>
      <c r="AB84" s="2724"/>
      <c r="AC84" s="2724"/>
    </row>
    <row r="85" spans="1:29" s="422" customFormat="1" ht="15.75" thickTop="1">
      <c r="A85" s="502"/>
      <c r="B85" s="495">
        <f>B14</f>
        <v>111</v>
      </c>
      <c r="C85" s="472"/>
      <c r="D85" s="472"/>
      <c r="E85" s="472"/>
      <c r="F85" s="472"/>
      <c r="G85" s="472"/>
      <c r="H85" s="513"/>
      <c r="I85" s="513"/>
      <c r="J85" s="513"/>
      <c r="K85" s="513"/>
      <c r="L85" s="514"/>
      <c r="M85" s="515"/>
      <c r="N85" s="2732"/>
      <c r="O85" s="2732"/>
      <c r="P85" s="2761"/>
      <c r="Q85" s="2723"/>
      <c r="R85" s="2724"/>
      <c r="S85" s="2724"/>
      <c r="T85" s="2724"/>
      <c r="U85" s="2724"/>
      <c r="V85" s="2724"/>
      <c r="W85" s="2724"/>
      <c r="X85" s="2724"/>
      <c r="Y85" s="2724"/>
      <c r="Z85" s="2724"/>
      <c r="AA85" s="2724"/>
      <c r="AB85" s="2724"/>
      <c r="AC85" s="2724"/>
    </row>
    <row r="86" spans="1:29" s="422" customFormat="1" ht="15.75" thickBot="1">
      <c r="A86" s="517"/>
      <c r="B86" s="518"/>
      <c r="C86" s="519"/>
      <c r="D86" s="519"/>
      <c r="E86" s="519"/>
      <c r="F86" s="519"/>
      <c r="G86" s="519"/>
      <c r="H86" s="520"/>
      <c r="I86" s="520"/>
      <c r="J86" s="520"/>
      <c r="K86" s="520"/>
      <c r="L86" s="520"/>
      <c r="M86" s="521"/>
      <c r="N86" s="2732"/>
      <c r="O86" s="2732"/>
      <c r="P86" s="2756"/>
      <c r="Q86" s="2723"/>
      <c r="R86" s="2724"/>
      <c r="S86" s="2724"/>
      <c r="T86" s="2724"/>
      <c r="U86" s="2724"/>
      <c r="V86" s="2724"/>
      <c r="W86" s="2724"/>
      <c r="X86" s="2724"/>
      <c r="Y86" s="2724"/>
      <c r="Z86" s="2724"/>
      <c r="AA86" s="2724"/>
      <c r="AB86" s="2724"/>
      <c r="AC86" s="2724"/>
    </row>
    <row r="87" spans="1:29">
      <c r="A87" s="476" t="s">
        <v>1674</v>
      </c>
      <c r="B87" s="477" t="s">
        <v>1704</v>
      </c>
      <c r="C87" s="522" t="s">
        <v>1705</v>
      </c>
      <c r="D87" s="522" t="s">
        <v>1706</v>
      </c>
      <c r="E87" s="522" t="s">
        <v>1707</v>
      </c>
      <c r="F87" s="522" t="s">
        <v>1708</v>
      </c>
      <c r="G87" s="522" t="s">
        <v>1709</v>
      </c>
      <c r="H87" s="478"/>
      <c r="I87" s="478"/>
      <c r="J87" s="478"/>
      <c r="K87" s="523"/>
      <c r="L87" s="524"/>
      <c r="M87" s="525"/>
      <c r="N87" s="2730"/>
      <c r="O87" s="2730"/>
      <c r="P87" s="2757"/>
      <c r="Q87" s="2716"/>
      <c r="R87" s="2702"/>
      <c r="S87" s="2702"/>
      <c r="T87" s="2702"/>
      <c r="U87" s="2702"/>
      <c r="V87" s="2702"/>
      <c r="W87" s="2702"/>
      <c r="X87" s="2702"/>
      <c r="Y87" s="2702"/>
      <c r="Z87" s="2702"/>
      <c r="AA87" s="2702"/>
      <c r="AB87" s="2702"/>
      <c r="AC87" s="270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31"/>
      <c r="O88" s="2731"/>
      <c r="P88" s="2755"/>
      <c r="Q88" s="2716"/>
      <c r="R88" s="2702"/>
      <c r="S88" s="2702"/>
      <c r="T88" s="2702"/>
      <c r="U88" s="2702"/>
      <c r="V88" s="2702"/>
      <c r="W88" s="2702"/>
      <c r="X88" s="2702"/>
      <c r="Y88" s="2702"/>
      <c r="Z88" s="2702"/>
      <c r="AA88" s="2702"/>
      <c r="AB88" s="2702"/>
      <c r="AC88" s="2702"/>
    </row>
    <row r="89" spans="1:29" ht="15.75" thickTop="1">
      <c r="A89" s="483"/>
      <c r="B89" s="487" t="s">
        <v>1890</v>
      </c>
      <c r="C89" s="527" t="s">
        <v>1705</v>
      </c>
      <c r="D89" s="527" t="s">
        <v>1706</v>
      </c>
      <c r="E89" s="527" t="s">
        <v>1707</v>
      </c>
      <c r="F89" s="527" t="s">
        <v>1708</v>
      </c>
      <c r="G89" s="527" t="s">
        <v>1709</v>
      </c>
      <c r="H89" s="488"/>
      <c r="I89" s="488"/>
      <c r="J89" s="488"/>
      <c r="K89" s="489"/>
      <c r="L89" s="490"/>
      <c r="M89" s="491"/>
      <c r="N89" s="2730"/>
      <c r="O89" s="2730"/>
      <c r="P89" s="2755"/>
      <c r="Q89" s="2716"/>
      <c r="R89" s="2702"/>
      <c r="S89" s="2702"/>
      <c r="T89" s="2702"/>
      <c r="U89" s="2702"/>
      <c r="V89" s="2702"/>
      <c r="W89" s="2702"/>
      <c r="X89" s="2702"/>
      <c r="Y89" s="2702"/>
      <c r="Z89" s="2702"/>
      <c r="AA89" s="2702"/>
      <c r="AB89" s="2702"/>
      <c r="AC89" s="270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31"/>
      <c r="O90" s="2731"/>
      <c r="P90" s="2755"/>
      <c r="Q90" s="2716"/>
      <c r="R90" s="2702"/>
      <c r="S90" s="2702"/>
      <c r="T90" s="2702"/>
      <c r="U90" s="2702"/>
      <c r="V90" s="2702"/>
      <c r="W90" s="2702"/>
      <c r="X90" s="2702"/>
      <c r="Y90" s="2702"/>
      <c r="Z90" s="2702"/>
      <c r="AA90" s="2702"/>
      <c r="AB90" s="2702"/>
      <c r="AC90" s="2702"/>
    </row>
    <row r="91" spans="1:29" ht="15.75" thickTop="1">
      <c r="A91" s="483"/>
      <c r="B91" s="487" t="s">
        <v>1805</v>
      </c>
      <c r="C91" s="527" t="s">
        <v>1705</v>
      </c>
      <c r="D91" s="527" t="s">
        <v>1706</v>
      </c>
      <c r="E91" s="527" t="s">
        <v>1707</v>
      </c>
      <c r="F91" s="527" t="s">
        <v>1708</v>
      </c>
      <c r="G91" s="527" t="s">
        <v>1709</v>
      </c>
      <c r="H91" s="488"/>
      <c r="I91" s="488"/>
      <c r="J91" s="488"/>
      <c r="K91" s="489"/>
      <c r="L91" s="490"/>
      <c r="M91" s="491"/>
      <c r="N91" s="2730"/>
      <c r="O91" s="2730"/>
      <c r="P91" s="2755"/>
      <c r="Q91" s="2716"/>
      <c r="R91" s="2702"/>
      <c r="S91" s="2702"/>
      <c r="T91" s="2702"/>
      <c r="U91" s="2702"/>
      <c r="V91" s="2702"/>
      <c r="W91" s="2702"/>
      <c r="X91" s="2702"/>
      <c r="Y91" s="2702"/>
      <c r="Z91" s="2702"/>
      <c r="AA91" s="2702"/>
      <c r="AB91" s="2702"/>
      <c r="AC91" s="270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31"/>
      <c r="O92" s="2731"/>
      <c r="P92" s="2755"/>
      <c r="Q92" s="2716"/>
      <c r="R92" s="2702"/>
      <c r="S92" s="2702"/>
      <c r="T92" s="2702"/>
      <c r="U92" s="2702"/>
      <c r="V92" s="2702"/>
      <c r="W92" s="2702"/>
      <c r="X92" s="2702"/>
      <c r="Y92" s="2702"/>
      <c r="Z92" s="2702"/>
      <c r="AA92" s="2702"/>
      <c r="AB92" s="2702"/>
      <c r="AC92" s="2702"/>
    </row>
    <row r="93" spans="1:29" ht="15.75" thickTop="1">
      <c r="A93" s="483"/>
      <c r="B93" s="487" t="s">
        <v>1710</v>
      </c>
      <c r="C93" s="527" t="s">
        <v>1705</v>
      </c>
      <c r="D93" s="527" t="s">
        <v>1706</v>
      </c>
      <c r="E93" s="527" t="s">
        <v>1707</v>
      </c>
      <c r="F93" s="527" t="s">
        <v>1708</v>
      </c>
      <c r="G93" s="527" t="s">
        <v>1709</v>
      </c>
      <c r="H93" s="488"/>
      <c r="I93" s="488"/>
      <c r="J93" s="488"/>
      <c r="K93" s="489"/>
      <c r="L93" s="490"/>
      <c r="M93" s="491"/>
      <c r="N93" s="2730"/>
      <c r="O93" s="2730"/>
      <c r="P93" s="2755"/>
      <c r="Q93" s="2716"/>
      <c r="R93" s="2702"/>
      <c r="S93" s="2702"/>
      <c r="T93" s="2702"/>
      <c r="U93" s="2702"/>
      <c r="V93" s="2702"/>
      <c r="W93" s="2702"/>
      <c r="X93" s="2702"/>
      <c r="Y93" s="2702"/>
      <c r="Z93" s="2702"/>
      <c r="AA93" s="2702"/>
      <c r="AB93" s="2702"/>
      <c r="AC93" s="270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31"/>
      <c r="O94" s="2731"/>
      <c r="P94" s="2755"/>
      <c r="Q94" s="2716"/>
      <c r="R94" s="2702"/>
      <c r="S94" s="2702"/>
      <c r="T94" s="2702"/>
      <c r="U94" s="2702"/>
      <c r="V94" s="2702"/>
      <c r="W94" s="2702"/>
      <c r="X94" s="2702"/>
      <c r="Y94" s="2702"/>
      <c r="Z94" s="2702"/>
      <c r="AA94" s="2702"/>
      <c r="AB94" s="2702"/>
      <c r="AC94" s="2702"/>
    </row>
    <row r="95" spans="1:29" s="108" customFormat="1" ht="15.75" thickTop="1">
      <c r="A95" s="528"/>
      <c r="B95" s="487" t="s">
        <v>1891</v>
      </c>
      <c r="C95" s="527" t="s">
        <v>1705</v>
      </c>
      <c r="D95" s="527" t="s">
        <v>1706</v>
      </c>
      <c r="E95" s="527" t="s">
        <v>1707</v>
      </c>
      <c r="F95" s="527" t="s">
        <v>1708</v>
      </c>
      <c r="G95" s="527" t="s">
        <v>1709</v>
      </c>
      <c r="H95" s="527"/>
      <c r="I95" s="527"/>
      <c r="J95" s="527"/>
      <c r="K95" s="527"/>
      <c r="L95" s="646"/>
      <c r="M95" s="570"/>
      <c r="N95" s="2729"/>
      <c r="O95" s="2729"/>
      <c r="P95" s="2755"/>
      <c r="Q95" s="2716"/>
      <c r="R95" s="2638"/>
      <c r="S95" s="2638"/>
      <c r="T95" s="2638"/>
      <c r="U95" s="2638"/>
      <c r="V95" s="2638"/>
      <c r="W95" s="2638"/>
      <c r="X95" s="2638"/>
      <c r="Y95" s="2638"/>
      <c r="Z95" s="2638"/>
      <c r="AA95" s="2638"/>
      <c r="AB95" s="2638"/>
      <c r="AC95" s="263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31"/>
      <c r="O96" s="2731"/>
      <c r="P96" s="2755"/>
      <c r="Q96" s="2716"/>
      <c r="R96" s="2638"/>
      <c r="S96" s="2638"/>
      <c r="T96" s="2638"/>
      <c r="U96" s="2638"/>
      <c r="V96" s="2638"/>
      <c r="W96" s="2638"/>
      <c r="X96" s="2638"/>
      <c r="Y96" s="2638"/>
      <c r="Z96" s="2638"/>
      <c r="AA96" s="2638"/>
      <c r="AB96" s="2638"/>
      <c r="AC96" s="2638"/>
    </row>
    <row r="97" spans="1:29" s="108" customFormat="1" ht="27.75" thickTop="1">
      <c r="A97" s="528"/>
      <c r="B97" s="487" t="s">
        <v>1892</v>
      </c>
      <c r="C97" s="522" t="s">
        <v>1705</v>
      </c>
      <c r="D97" s="522" t="s">
        <v>1706</v>
      </c>
      <c r="E97" s="522" t="s">
        <v>1707</v>
      </c>
      <c r="F97" s="522" t="s">
        <v>1708</v>
      </c>
      <c r="G97" s="522" t="s">
        <v>1709</v>
      </c>
      <c r="H97" s="527"/>
      <c r="I97" s="527"/>
      <c r="J97" s="527"/>
      <c r="K97" s="527"/>
      <c r="L97" s="527"/>
      <c r="M97" s="570"/>
      <c r="N97" s="2729"/>
      <c r="O97" s="2729"/>
      <c r="P97" s="2755"/>
      <c r="Q97" s="2716"/>
      <c r="R97" s="2638"/>
      <c r="S97" s="2638"/>
      <c r="T97" s="2638"/>
      <c r="U97" s="2638"/>
      <c r="V97" s="2638"/>
      <c r="W97" s="2638"/>
      <c r="X97" s="2638"/>
      <c r="Y97" s="2638"/>
      <c r="Z97" s="2638"/>
      <c r="AA97" s="2638"/>
      <c r="AB97" s="2638"/>
      <c r="AC97" s="263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31"/>
      <c r="O98" s="2731"/>
      <c r="P98" s="2755"/>
      <c r="Q98" s="2716"/>
      <c r="R98" s="2638"/>
      <c r="S98" s="2638"/>
      <c r="T98" s="2638"/>
      <c r="U98" s="2638"/>
      <c r="V98" s="2638"/>
      <c r="W98" s="2638"/>
      <c r="X98" s="2638"/>
      <c r="Y98" s="2638"/>
      <c r="Z98" s="2638"/>
      <c r="AA98" s="2638"/>
      <c r="AB98" s="2638"/>
      <c r="AC98" s="2638"/>
    </row>
    <row r="99" spans="1:29" s="422" customFormat="1" ht="15.75" thickTop="1">
      <c r="A99" s="502"/>
      <c r="B99" s="487" t="s">
        <v>1762</v>
      </c>
      <c r="C99" s="522" t="s">
        <v>1705</v>
      </c>
      <c r="D99" s="522" t="s">
        <v>1706</v>
      </c>
      <c r="E99" s="522" t="s">
        <v>1707</v>
      </c>
      <c r="F99" s="522" t="s">
        <v>1708</v>
      </c>
      <c r="G99" s="522" t="s">
        <v>1709</v>
      </c>
      <c r="H99" s="549"/>
      <c r="I99" s="549"/>
      <c r="J99" s="549"/>
      <c r="K99" s="549"/>
      <c r="L99" s="550"/>
      <c r="M99" s="551"/>
      <c r="N99" s="2732"/>
      <c r="O99" s="2732"/>
      <c r="P99" s="2756"/>
      <c r="Q99" s="2723"/>
      <c r="R99" s="2724"/>
      <c r="S99" s="2724"/>
      <c r="T99" s="2724"/>
      <c r="U99" s="2724"/>
      <c r="V99" s="2724"/>
      <c r="W99" s="2724"/>
      <c r="X99" s="2724"/>
      <c r="Y99" s="2724"/>
      <c r="Z99" s="2724"/>
      <c r="AA99" s="2724"/>
      <c r="AB99" s="2724"/>
      <c r="AC99" s="272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32"/>
      <c r="O100" s="2732"/>
      <c r="P100" s="2756"/>
      <c r="Q100" s="2723"/>
      <c r="R100" s="2724"/>
      <c r="S100" s="2724"/>
      <c r="T100" s="2724"/>
      <c r="U100" s="2724"/>
      <c r="V100" s="2724"/>
      <c r="W100" s="2724"/>
      <c r="X100" s="2724"/>
      <c r="Y100" s="2724"/>
      <c r="Z100" s="2724"/>
      <c r="AA100" s="2724"/>
      <c r="AB100" s="2724"/>
      <c r="AC100" s="2724"/>
    </row>
    <row r="101" spans="1:29" s="422" customFormat="1" ht="15.75" thickTop="1">
      <c r="A101" s="502"/>
      <c r="B101" s="495" t="s">
        <v>1763</v>
      </c>
      <c r="C101" s="608" t="s">
        <v>1783</v>
      </c>
      <c r="D101" s="608" t="s">
        <v>1784</v>
      </c>
      <c r="E101" s="608" t="s">
        <v>1785</v>
      </c>
      <c r="F101" s="608" t="s">
        <v>1786</v>
      </c>
      <c r="G101" s="608" t="s">
        <v>1787</v>
      </c>
      <c r="H101" s="549"/>
      <c r="I101" s="549"/>
      <c r="J101" s="549"/>
      <c r="K101" s="549"/>
      <c r="L101" s="549"/>
      <c r="M101" s="1132"/>
      <c r="N101" s="2732"/>
      <c r="O101" s="2732"/>
      <c r="P101" s="2756"/>
      <c r="Q101" s="2723"/>
      <c r="R101" s="2724"/>
      <c r="S101" s="2724"/>
      <c r="T101" s="2724"/>
      <c r="U101" s="2724"/>
      <c r="V101" s="2724"/>
      <c r="W101" s="2724"/>
      <c r="X101" s="2724"/>
      <c r="Y101" s="2724"/>
      <c r="Z101" s="2724"/>
      <c r="AA101" s="2724"/>
      <c r="AB101" s="2724"/>
      <c r="AC101" s="272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32"/>
      <c r="O102" s="2732"/>
      <c r="P102" s="2756"/>
      <c r="Q102" s="2723"/>
      <c r="R102" s="2724"/>
      <c r="S102" s="2724"/>
      <c r="T102" s="2724"/>
      <c r="U102" s="2724"/>
      <c r="V102" s="2724"/>
      <c r="W102" s="2724"/>
      <c r="X102" s="2724"/>
      <c r="Y102" s="2724"/>
      <c r="Z102" s="2724"/>
      <c r="AA102" s="2724"/>
      <c r="AB102" s="2724"/>
      <c r="AC102" s="2724"/>
    </row>
    <row r="103" spans="1:29" ht="15.75" thickTop="1">
      <c r="A103" s="483"/>
      <c r="B103" s="487" t="str">
        <f>B31</f>
        <v>临街状况</v>
      </c>
      <c r="C103" s="488" t="s">
        <v>1893</v>
      </c>
      <c r="D103" s="488" t="s">
        <v>1894</v>
      </c>
      <c r="E103" s="488" t="s">
        <v>1895</v>
      </c>
      <c r="F103" s="488" t="s">
        <v>1896</v>
      </c>
      <c r="G103" s="488"/>
      <c r="H103" s="488"/>
      <c r="I103" s="488"/>
      <c r="J103" s="488"/>
      <c r="K103" s="489"/>
      <c r="L103" s="490"/>
      <c r="M103" s="491"/>
      <c r="N103" s="2730"/>
      <c r="O103" s="2730"/>
      <c r="P103" s="2755"/>
      <c r="Q103" s="2716"/>
      <c r="R103" s="2702"/>
      <c r="S103" s="2702"/>
      <c r="T103" s="2702"/>
      <c r="U103" s="2702"/>
      <c r="V103" s="2702"/>
      <c r="W103" s="2702"/>
      <c r="X103" s="2702"/>
      <c r="Y103" s="2702"/>
      <c r="Z103" s="2702"/>
      <c r="AA103" s="2702"/>
      <c r="AB103" s="2702"/>
      <c r="AC103" s="270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31"/>
      <c r="O104" s="2731"/>
      <c r="P104" s="2755"/>
      <c r="Q104" s="2716"/>
      <c r="R104" s="2702"/>
      <c r="S104" s="2702"/>
      <c r="T104" s="2702"/>
      <c r="U104" s="2702"/>
      <c r="V104" s="2702"/>
      <c r="W104" s="2702"/>
      <c r="X104" s="2702"/>
      <c r="Y104" s="2702"/>
      <c r="Z104" s="2702"/>
      <c r="AA104" s="2702"/>
      <c r="AB104" s="2702"/>
      <c r="AC104" s="2702"/>
    </row>
    <row r="105" spans="1:29" ht="27.75" thickTop="1">
      <c r="A105" s="483"/>
      <c r="B105" s="487" t="s">
        <v>1799</v>
      </c>
      <c r="C105" s="503"/>
      <c r="D105" s="503"/>
      <c r="E105" s="503"/>
      <c r="F105" s="503"/>
      <c r="G105" s="503"/>
      <c r="H105" s="532"/>
      <c r="I105" s="532"/>
      <c r="J105" s="532"/>
      <c r="K105" s="533"/>
      <c r="L105" s="534"/>
      <c r="M105" s="535"/>
      <c r="N105" s="2730"/>
      <c r="O105" s="2730"/>
      <c r="P105" s="2755"/>
      <c r="Q105" s="2716"/>
      <c r="R105" s="2702"/>
      <c r="S105" s="2702"/>
      <c r="T105" s="2702"/>
      <c r="U105" s="2702"/>
      <c r="V105" s="2702"/>
      <c r="W105" s="2702"/>
      <c r="X105" s="2702"/>
      <c r="Y105" s="2702"/>
      <c r="Z105" s="2702"/>
      <c r="AA105" s="2702"/>
      <c r="AB105" s="2702"/>
      <c r="AC105" s="270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31"/>
      <c r="O106" s="2731"/>
      <c r="P106" s="2755"/>
      <c r="Q106" s="2716"/>
      <c r="R106" s="2702"/>
      <c r="S106" s="2702"/>
      <c r="T106" s="2702"/>
      <c r="U106" s="2702"/>
      <c r="V106" s="2702"/>
      <c r="W106" s="2702"/>
      <c r="X106" s="2702"/>
      <c r="Y106" s="2702"/>
      <c r="Z106" s="2702"/>
      <c r="AA106" s="2702"/>
      <c r="AB106" s="2702"/>
      <c r="AC106" s="2702"/>
    </row>
    <row r="107" spans="1:29" ht="15.75" thickTop="1">
      <c r="A107" s="483"/>
      <c r="B107" s="487" t="s">
        <v>1857</v>
      </c>
      <c r="C107" s="532"/>
      <c r="D107" s="532"/>
      <c r="E107" s="532"/>
      <c r="F107" s="532"/>
      <c r="G107" s="532"/>
      <c r="H107" s="532"/>
      <c r="I107" s="532"/>
      <c r="J107" s="532"/>
      <c r="K107" s="533"/>
      <c r="L107" s="534"/>
      <c r="M107" s="535"/>
      <c r="N107" s="2730"/>
      <c r="O107" s="2730"/>
      <c r="P107" s="2755"/>
      <c r="Q107" s="2716"/>
      <c r="R107" s="2702"/>
      <c r="S107" s="2702"/>
      <c r="T107" s="2702"/>
      <c r="U107" s="2702"/>
      <c r="V107" s="2702"/>
      <c r="W107" s="2702"/>
      <c r="X107" s="2702"/>
      <c r="Y107" s="2702"/>
      <c r="Z107" s="2702"/>
      <c r="AA107" s="2702"/>
      <c r="AB107" s="2702"/>
      <c r="AC107" s="270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31"/>
      <c r="O108" s="2731"/>
      <c r="P108" s="2755"/>
      <c r="Q108" s="2716"/>
      <c r="R108" s="2702"/>
      <c r="S108" s="2702"/>
      <c r="T108" s="2702"/>
      <c r="U108" s="2702"/>
      <c r="V108" s="2702"/>
      <c r="W108" s="2702"/>
      <c r="X108" s="2702"/>
      <c r="Y108" s="2702"/>
      <c r="Z108" s="2702"/>
      <c r="AA108" s="2702"/>
      <c r="AB108" s="2702"/>
      <c r="AC108" s="2702"/>
    </row>
    <row r="109" spans="1:29" ht="15.75" thickTop="1">
      <c r="A109" s="483"/>
      <c r="B109" s="495">
        <f>B35</f>
        <v>111</v>
      </c>
      <c r="C109" s="503"/>
      <c r="D109" s="503"/>
      <c r="E109" s="503"/>
      <c r="F109" s="503"/>
      <c r="G109" s="536"/>
      <c r="H109" s="536"/>
      <c r="I109" s="536"/>
      <c r="J109" s="536"/>
      <c r="K109" s="537"/>
      <c r="L109" s="538"/>
      <c r="M109" s="539"/>
      <c r="N109" s="2730"/>
      <c r="O109" s="2730"/>
      <c r="P109" s="2755"/>
      <c r="Q109" s="2716"/>
      <c r="R109" s="2702"/>
      <c r="S109" s="2702"/>
      <c r="T109" s="2702"/>
      <c r="U109" s="2702"/>
      <c r="V109" s="2702"/>
      <c r="W109" s="2702"/>
      <c r="X109" s="2702"/>
      <c r="Y109" s="2702"/>
      <c r="Z109" s="2702"/>
      <c r="AA109" s="2702"/>
      <c r="AB109" s="2702"/>
      <c r="AC109" s="2702"/>
    </row>
    <row r="110" spans="1:29" ht="15.75" thickBot="1">
      <c r="A110" s="483"/>
      <c r="B110" s="518"/>
      <c r="C110" s="509"/>
      <c r="D110" s="509"/>
      <c r="E110" s="509"/>
      <c r="F110" s="509"/>
      <c r="G110" s="540"/>
      <c r="H110" s="540"/>
      <c r="I110" s="540"/>
      <c r="J110" s="540"/>
      <c r="K110" s="540"/>
      <c r="L110" s="540"/>
      <c r="M110" s="541"/>
      <c r="N110" s="2731"/>
      <c r="O110" s="2731"/>
      <c r="P110" s="2755"/>
      <c r="Q110" s="2716"/>
      <c r="R110" s="2702"/>
      <c r="S110" s="2702"/>
      <c r="T110" s="2702"/>
      <c r="U110" s="2702"/>
      <c r="V110" s="2702"/>
      <c r="W110" s="2702"/>
      <c r="X110" s="2702"/>
      <c r="Y110" s="2702"/>
      <c r="Z110" s="2702"/>
      <c r="AA110" s="2702"/>
      <c r="AB110" s="2702"/>
      <c r="AC110" s="2702"/>
    </row>
    <row r="111" spans="1:29" ht="15" thickTop="1">
      <c r="A111" s="623"/>
      <c r="B111" s="487">
        <f>B36</f>
        <v>111</v>
      </c>
      <c r="C111" s="472"/>
      <c r="D111" s="472"/>
      <c r="E111" s="472"/>
      <c r="F111" s="472"/>
      <c r="G111" s="532"/>
      <c r="H111" s="532"/>
      <c r="I111" s="532"/>
      <c r="J111" s="532"/>
      <c r="K111" s="533"/>
      <c r="L111" s="534"/>
      <c r="M111" s="535"/>
      <c r="N111" s="2730"/>
      <c r="O111" s="2730"/>
      <c r="P111" s="2755"/>
      <c r="Q111" s="2716"/>
      <c r="R111" s="2702"/>
      <c r="S111" s="2702"/>
      <c r="T111" s="2702"/>
      <c r="U111" s="2702"/>
      <c r="V111" s="2702"/>
      <c r="W111" s="2702"/>
      <c r="X111" s="2702"/>
      <c r="Y111" s="2702"/>
      <c r="Z111" s="2702"/>
      <c r="AA111" s="2702"/>
      <c r="AB111" s="2702"/>
      <c r="AC111" s="2702"/>
    </row>
    <row r="112" spans="1:29" ht="15.75" thickBot="1">
      <c r="A112" s="483"/>
      <c r="B112" s="492"/>
      <c r="C112" s="519"/>
      <c r="D112" s="519"/>
      <c r="E112" s="519"/>
      <c r="F112" s="519"/>
      <c r="G112" s="485"/>
      <c r="H112" s="485"/>
      <c r="I112" s="485"/>
      <c r="J112" s="485"/>
      <c r="K112" s="485"/>
      <c r="L112" s="485"/>
      <c r="M112" s="486"/>
      <c r="N112" s="2731"/>
      <c r="O112" s="2731"/>
      <c r="P112" s="2755"/>
      <c r="Q112" s="2716"/>
      <c r="R112" s="2702"/>
      <c r="S112" s="2702"/>
      <c r="T112" s="2702"/>
      <c r="U112" s="2702"/>
      <c r="V112" s="2702"/>
      <c r="W112" s="2702"/>
      <c r="X112" s="2702"/>
      <c r="Y112" s="2702"/>
      <c r="Z112" s="2702"/>
      <c r="AA112" s="2702"/>
      <c r="AB112" s="2702"/>
      <c r="AC112" s="2702"/>
    </row>
    <row r="113" spans="1:29" s="422" customFormat="1" ht="15" thickTop="1">
      <c r="A113" s="542"/>
      <c r="B113" s="543">
        <f>B37</f>
        <v>111</v>
      </c>
      <c r="C113" s="544"/>
      <c r="D113" s="544"/>
      <c r="E113" s="544"/>
      <c r="F113" s="544"/>
      <c r="G113" s="544"/>
      <c r="H113" s="544"/>
      <c r="I113" s="544"/>
      <c r="J113" s="545"/>
      <c r="K113" s="545"/>
      <c r="L113" s="546"/>
      <c r="M113" s="547"/>
      <c r="N113" s="2732"/>
      <c r="O113" s="2732"/>
      <c r="P113" s="2756"/>
      <c r="Q113" s="2723"/>
      <c r="R113" s="2724"/>
      <c r="S113" s="2724"/>
      <c r="T113" s="2724"/>
      <c r="U113" s="2724"/>
      <c r="V113" s="2724"/>
      <c r="W113" s="2724"/>
      <c r="X113" s="2724"/>
      <c r="Y113" s="2724"/>
      <c r="Z113" s="2724"/>
      <c r="AA113" s="2724"/>
      <c r="AB113" s="2724"/>
      <c r="AC113" s="2724"/>
    </row>
    <row r="114" spans="1:29" s="422" customFormat="1" ht="15.75" thickBot="1">
      <c r="A114" s="502"/>
      <c r="B114" s="495"/>
      <c r="C114" s="461"/>
      <c r="D114" s="625"/>
      <c r="E114" s="625"/>
      <c r="F114" s="625"/>
      <c r="G114" s="625"/>
      <c r="H114" s="625"/>
      <c r="I114" s="625"/>
      <c r="J114" s="625"/>
      <c r="K114" s="625"/>
      <c r="L114" s="625"/>
      <c r="M114" s="647"/>
      <c r="N114" s="2731"/>
      <c r="O114" s="2731"/>
      <c r="P114" s="2756"/>
      <c r="Q114" s="2723"/>
      <c r="R114" s="2724"/>
      <c r="S114" s="2724"/>
      <c r="T114" s="2724"/>
      <c r="U114" s="2724"/>
      <c r="V114" s="2724"/>
      <c r="W114" s="2724"/>
      <c r="X114" s="2724"/>
      <c r="Y114" s="2724"/>
      <c r="Z114" s="2724"/>
      <c r="AA114" s="2724"/>
      <c r="AB114" s="2724"/>
      <c r="AC114" s="2724"/>
    </row>
    <row r="115" spans="1:29" ht="28.5">
      <c r="A115" s="476" t="s">
        <v>1678</v>
      </c>
      <c r="B115" s="477" t="s">
        <v>1897</v>
      </c>
      <c r="C115" s="478" t="str">
        <f>C116&amp;"(含)"&amp;"-"&amp;D116</f>
        <v>0(含)-20000</v>
      </c>
      <c r="D115" s="478" t="str">
        <f t="shared" ref="D115:M115" si="25">D116&amp;"(含)"&amp;"-"&amp;E116</f>
        <v>20000(含)-40000</v>
      </c>
      <c r="E115" s="478" t="str">
        <f t="shared" si="25"/>
        <v>40000(含)-60000</v>
      </c>
      <c r="F115" s="478" t="str">
        <f t="shared" si="25"/>
        <v>60000(含)-80000</v>
      </c>
      <c r="G115" s="478" t="str">
        <f t="shared" si="25"/>
        <v>80000(含)-200000</v>
      </c>
      <c r="H115" s="478" t="str">
        <f t="shared" si="25"/>
        <v>200000(含)-</v>
      </c>
      <c r="I115" s="478" t="str">
        <f t="shared" si="25"/>
        <v>(含)-</v>
      </c>
      <c r="J115" s="478" t="str">
        <f t="shared" si="25"/>
        <v>(含)-</v>
      </c>
      <c r="K115" s="478" t="str">
        <f t="shared" si="25"/>
        <v>(含)-</v>
      </c>
      <c r="L115" s="478" t="str">
        <f t="shared" si="25"/>
        <v>(含)-</v>
      </c>
      <c r="M115" s="478" t="str">
        <f t="shared" si="25"/>
        <v>(含)-</v>
      </c>
      <c r="N115" s="2730"/>
      <c r="O115" s="2730"/>
      <c r="P115" s="2755"/>
      <c r="Q115" s="2716"/>
      <c r="R115" s="2702"/>
      <c r="S115" s="2702"/>
      <c r="T115" s="2702"/>
      <c r="U115" s="2702"/>
      <c r="V115" s="2702"/>
      <c r="W115" s="2702"/>
      <c r="X115" s="2702"/>
      <c r="Y115" s="2702"/>
      <c r="Z115" s="2702"/>
      <c r="AA115" s="2702"/>
      <c r="AB115" s="2702"/>
      <c r="AC115" s="2702"/>
    </row>
    <row r="116" spans="1:29" ht="15">
      <c r="A116" s="483"/>
      <c r="B116" s="495"/>
      <c r="C116" s="544">
        <v>0</v>
      </c>
      <c r="D116" s="544">
        <v>20000</v>
      </c>
      <c r="E116" s="544">
        <v>40000</v>
      </c>
      <c r="F116" s="544">
        <v>60000</v>
      </c>
      <c r="G116" s="544">
        <v>80000</v>
      </c>
      <c r="H116" s="544">
        <v>200000</v>
      </c>
      <c r="I116" s="544"/>
      <c r="J116" s="545"/>
      <c r="K116" s="545"/>
      <c r="L116" s="546"/>
      <c r="M116" s="547"/>
      <c r="N116" s="2730"/>
      <c r="O116" s="2730"/>
      <c r="P116" s="2755"/>
      <c r="Q116" s="2716"/>
      <c r="R116" s="2702"/>
      <c r="S116" s="2702"/>
      <c r="T116" s="2702"/>
      <c r="U116" s="2702"/>
      <c r="V116" s="2702"/>
      <c r="W116" s="2702"/>
      <c r="X116" s="2702"/>
      <c r="Y116" s="2702"/>
      <c r="Z116" s="2702"/>
      <c r="AA116" s="2702"/>
      <c r="AB116" s="2702"/>
      <c r="AC116" s="2702"/>
    </row>
    <row r="117" spans="1:29" ht="15.75" thickBot="1">
      <c r="A117" s="483"/>
      <c r="B117" s="492"/>
      <c r="C117" s="540">
        <v>100</v>
      </c>
      <c r="D117" s="540">
        <f>C117+2</f>
        <v>102</v>
      </c>
      <c r="E117" s="540">
        <f>D117+2</f>
        <v>104</v>
      </c>
      <c r="F117" s="540">
        <f>E117+2</f>
        <v>106</v>
      </c>
      <c r="G117" s="540">
        <f>F117+2</f>
        <v>108</v>
      </c>
      <c r="H117" s="540"/>
      <c r="I117" s="540"/>
      <c r="J117" s="540"/>
      <c r="K117" s="540"/>
      <c r="L117" s="540"/>
      <c r="M117" s="541"/>
      <c r="N117" s="2731"/>
      <c r="O117" s="2731"/>
      <c r="P117" s="2755"/>
      <c r="Q117" s="2716"/>
      <c r="R117" s="2702"/>
      <c r="S117" s="2702"/>
      <c r="T117" s="2702"/>
      <c r="U117" s="2702"/>
      <c r="V117" s="2702"/>
      <c r="W117" s="2702"/>
      <c r="X117" s="2702"/>
      <c r="Y117" s="2702"/>
      <c r="Z117" s="2702"/>
      <c r="AA117" s="2702"/>
      <c r="AB117" s="2702"/>
      <c r="AC117" s="2702"/>
    </row>
    <row r="118" spans="1:29" ht="15" thickTop="1">
      <c r="A118" s="548"/>
      <c r="B118" s="487" t="s">
        <v>1898</v>
      </c>
      <c r="C118" s="532"/>
      <c r="D118" s="532"/>
      <c r="E118" s="532"/>
      <c r="F118" s="532"/>
      <c r="G118" s="532"/>
      <c r="H118" s="532"/>
      <c r="I118" s="532"/>
      <c r="J118" s="532"/>
      <c r="K118" s="533"/>
      <c r="L118" s="534"/>
      <c r="M118" s="535"/>
      <c r="N118" s="2730"/>
      <c r="O118" s="2730"/>
      <c r="P118" s="2755"/>
      <c r="Q118" s="2716"/>
      <c r="R118" s="2702"/>
      <c r="S118" s="2702"/>
      <c r="T118" s="2702"/>
      <c r="U118" s="2702"/>
      <c r="V118" s="2702"/>
      <c r="W118" s="2702"/>
      <c r="X118" s="2702"/>
      <c r="Y118" s="2702"/>
      <c r="Z118" s="2702"/>
      <c r="AA118" s="2702"/>
      <c r="AB118" s="2702"/>
      <c r="AC118" s="270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31"/>
      <c r="O119" s="2731"/>
      <c r="P119" s="2755"/>
      <c r="Q119" s="2716"/>
      <c r="R119" s="2702"/>
      <c r="S119" s="2702"/>
      <c r="T119" s="2702"/>
      <c r="U119" s="2702"/>
      <c r="V119" s="2702"/>
      <c r="W119" s="2702"/>
      <c r="X119" s="2702"/>
      <c r="Y119" s="2702"/>
      <c r="Z119" s="2702"/>
      <c r="AA119" s="2702"/>
      <c r="AB119" s="2702"/>
      <c r="AC119" s="2702"/>
    </row>
    <row r="120" spans="1:29" ht="15" thickTop="1">
      <c r="A120" s="548"/>
      <c r="B120" s="487" t="s">
        <v>1899</v>
      </c>
      <c r="C120" s="503"/>
      <c r="D120" s="503"/>
      <c r="E120" s="503"/>
      <c r="F120" s="532"/>
      <c r="G120" s="532"/>
      <c r="H120" s="532"/>
      <c r="I120" s="532"/>
      <c r="J120" s="532"/>
      <c r="K120" s="533"/>
      <c r="L120" s="534"/>
      <c r="M120" s="535"/>
      <c r="N120" s="2730"/>
      <c r="O120" s="2730"/>
      <c r="P120" s="2755"/>
      <c r="Q120" s="2716"/>
      <c r="R120" s="2702"/>
      <c r="S120" s="2702"/>
      <c r="T120" s="2702"/>
      <c r="U120" s="2702"/>
      <c r="V120" s="2702"/>
      <c r="W120" s="2702"/>
      <c r="X120" s="2702"/>
      <c r="Y120" s="2702"/>
      <c r="Z120" s="2702"/>
      <c r="AA120" s="2702"/>
      <c r="AB120" s="2702"/>
      <c r="AC120" s="270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31"/>
      <c r="O121" s="2731"/>
      <c r="P121" s="2755"/>
      <c r="Q121" s="2716"/>
      <c r="R121" s="2702"/>
      <c r="S121" s="2702"/>
      <c r="T121" s="2702"/>
      <c r="U121" s="2702"/>
      <c r="V121" s="2702"/>
      <c r="W121" s="2702"/>
      <c r="X121" s="2702"/>
      <c r="Y121" s="2702"/>
      <c r="Z121" s="2702"/>
      <c r="AA121" s="2702"/>
      <c r="AB121" s="2702"/>
      <c r="AC121" s="2702"/>
    </row>
    <row r="122" spans="1:29" s="422" customFormat="1" ht="15" thickTop="1">
      <c r="A122" s="542"/>
      <c r="B122" s="487" t="s">
        <v>1900</v>
      </c>
      <c r="C122" s="503" t="s">
        <v>3826</v>
      </c>
      <c r="D122" s="503" t="s">
        <v>4482</v>
      </c>
      <c r="E122" s="503" t="s">
        <v>4984</v>
      </c>
      <c r="F122" s="503" t="s">
        <v>4985</v>
      </c>
      <c r="G122" s="503" t="s">
        <v>4976</v>
      </c>
      <c r="H122" s="532"/>
      <c r="I122" s="532"/>
      <c r="J122" s="532"/>
      <c r="K122" s="533"/>
      <c r="L122" s="534"/>
      <c r="M122" s="535"/>
      <c r="N122" s="2732"/>
      <c r="O122" s="2732"/>
      <c r="P122" s="2756"/>
      <c r="Q122" s="2723"/>
      <c r="R122" s="2724"/>
      <c r="S122" s="2724"/>
      <c r="T122" s="2724"/>
      <c r="U122" s="2724"/>
      <c r="V122" s="2724"/>
      <c r="W122" s="2724"/>
      <c r="X122" s="2724"/>
      <c r="Y122" s="2724"/>
      <c r="Z122" s="2724"/>
      <c r="AA122" s="2724"/>
      <c r="AB122" s="2724"/>
      <c r="AC122" s="272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32"/>
      <c r="O123" s="2732"/>
      <c r="P123" s="2756"/>
      <c r="Q123" s="2723"/>
      <c r="R123" s="2724"/>
      <c r="S123" s="2724"/>
      <c r="T123" s="2724"/>
      <c r="U123" s="2724"/>
      <c r="V123" s="2724"/>
      <c r="W123" s="2724"/>
      <c r="X123" s="2724"/>
      <c r="Y123" s="2724"/>
      <c r="Z123" s="2724"/>
      <c r="AA123" s="2724"/>
      <c r="AB123" s="2724"/>
      <c r="AC123" s="2724"/>
    </row>
    <row r="124" spans="1:29" ht="15" thickTop="1">
      <c r="A124" s="548"/>
      <c r="B124" s="487" t="s">
        <v>1901</v>
      </c>
      <c r="C124" s="503"/>
      <c r="D124" s="503"/>
      <c r="E124" s="532"/>
      <c r="F124" s="532"/>
      <c r="G124" s="532"/>
      <c r="H124" s="532"/>
      <c r="I124" s="532"/>
      <c r="J124" s="532"/>
      <c r="K124" s="533"/>
      <c r="L124" s="534"/>
      <c r="M124" s="535"/>
      <c r="N124" s="2730"/>
      <c r="O124" s="2730"/>
      <c r="P124" s="2755"/>
      <c r="Q124" s="2716"/>
      <c r="R124" s="2702"/>
      <c r="S124" s="2702"/>
      <c r="T124" s="2702"/>
      <c r="U124" s="2702"/>
      <c r="V124" s="2702"/>
      <c r="W124" s="2702"/>
      <c r="X124" s="2702"/>
      <c r="Y124" s="2702"/>
      <c r="Z124" s="2702"/>
      <c r="AA124" s="2702"/>
      <c r="AB124" s="2702"/>
      <c r="AC124" s="270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31"/>
      <c r="O125" s="2731"/>
      <c r="P125" s="2755"/>
      <c r="Q125" s="2716"/>
      <c r="R125" s="2702"/>
      <c r="S125" s="2702"/>
      <c r="T125" s="2702"/>
      <c r="U125" s="2702"/>
      <c r="V125" s="2702"/>
      <c r="W125" s="2702"/>
      <c r="X125" s="2702"/>
      <c r="Y125" s="2702"/>
      <c r="Z125" s="2702"/>
      <c r="AA125" s="2702"/>
      <c r="AB125" s="2702"/>
      <c r="AC125" s="2702"/>
    </row>
    <row r="126" spans="1:29" ht="15" thickTop="1">
      <c r="A126" s="548"/>
      <c r="B126" s="487">
        <f>B43</f>
        <v>111</v>
      </c>
      <c r="C126" s="503"/>
      <c r="D126" s="503"/>
      <c r="E126" s="503"/>
      <c r="F126" s="503"/>
      <c r="G126" s="503"/>
      <c r="H126" s="532"/>
      <c r="I126" s="532"/>
      <c r="J126" s="532"/>
      <c r="K126" s="533"/>
      <c r="L126" s="534"/>
      <c r="M126" s="535"/>
      <c r="N126" s="2730"/>
      <c r="O126" s="2730"/>
      <c r="P126" s="2755"/>
      <c r="Q126" s="2716"/>
      <c r="R126" s="2702"/>
      <c r="S126" s="2702"/>
      <c r="T126" s="2702"/>
      <c r="U126" s="2702"/>
      <c r="V126" s="2702"/>
      <c r="W126" s="2702"/>
      <c r="X126" s="2702"/>
      <c r="Y126" s="2702"/>
      <c r="Z126" s="2702"/>
      <c r="AA126" s="2702"/>
      <c r="AB126" s="2702"/>
      <c r="AC126" s="2702"/>
    </row>
    <row r="127" spans="1:29" ht="15.75" thickBot="1">
      <c r="A127" s="483"/>
      <c r="B127" s="492"/>
      <c r="C127" s="509"/>
      <c r="D127" s="509"/>
      <c r="E127" s="509"/>
      <c r="F127" s="509"/>
      <c r="G127" s="485"/>
      <c r="H127" s="485"/>
      <c r="I127" s="485"/>
      <c r="J127" s="485"/>
      <c r="K127" s="485"/>
      <c r="L127" s="485"/>
      <c r="M127" s="486"/>
      <c r="N127" s="2731"/>
      <c r="O127" s="2731"/>
      <c r="P127" s="2755"/>
      <c r="Q127" s="2716"/>
      <c r="R127" s="2702"/>
      <c r="S127" s="2702"/>
      <c r="T127" s="2702"/>
      <c r="U127" s="2702"/>
      <c r="V127" s="2702"/>
      <c r="W127" s="2702"/>
      <c r="X127" s="2702"/>
      <c r="Y127" s="2702"/>
      <c r="Z127" s="2702"/>
      <c r="AA127" s="2702"/>
      <c r="AB127" s="2702"/>
      <c r="AC127" s="2702"/>
    </row>
    <row r="128" spans="1:29" ht="15" thickTop="1">
      <c r="A128" s="548"/>
      <c r="B128" s="487">
        <f>B44</f>
        <v>111</v>
      </c>
      <c r="C128" s="472"/>
      <c r="D128" s="472"/>
      <c r="E128" s="472"/>
      <c r="F128" s="472"/>
      <c r="G128" s="532"/>
      <c r="H128" s="532"/>
      <c r="I128" s="532"/>
      <c r="J128" s="532"/>
      <c r="K128" s="533"/>
      <c r="L128" s="534"/>
      <c r="M128" s="535"/>
      <c r="N128" s="2730"/>
      <c r="O128" s="2730"/>
      <c r="P128" s="2755"/>
      <c r="Q128" s="2716"/>
      <c r="R128" s="2702"/>
      <c r="S128" s="2702"/>
      <c r="T128" s="2702"/>
      <c r="U128" s="2702"/>
      <c r="V128" s="2702"/>
      <c r="W128" s="2702"/>
      <c r="X128" s="2702"/>
      <c r="Y128" s="2702"/>
      <c r="Z128" s="2702"/>
      <c r="AA128" s="2702"/>
      <c r="AB128" s="2702"/>
      <c r="AC128" s="2702"/>
    </row>
    <row r="129" spans="1:29" ht="15.75" thickBot="1">
      <c r="A129" s="483"/>
      <c r="B129" s="492"/>
      <c r="C129" s="519"/>
      <c r="D129" s="519"/>
      <c r="E129" s="519"/>
      <c r="F129" s="519"/>
      <c r="G129" s="485"/>
      <c r="H129" s="485"/>
      <c r="I129" s="485"/>
      <c r="J129" s="485"/>
      <c r="K129" s="485"/>
      <c r="L129" s="485"/>
      <c r="M129" s="486"/>
      <c r="N129" s="2731"/>
      <c r="O129" s="2731"/>
      <c r="P129" s="2755"/>
      <c r="Q129" s="2716"/>
      <c r="R129" s="2702"/>
      <c r="S129" s="2702"/>
      <c r="T129" s="2702"/>
      <c r="U129" s="2702"/>
      <c r="V129" s="2702"/>
      <c r="W129" s="2702"/>
      <c r="X129" s="2702"/>
      <c r="Y129" s="2702"/>
      <c r="Z129" s="2702"/>
      <c r="AA129" s="2702"/>
      <c r="AB129" s="2702"/>
      <c r="AC129" s="2702"/>
    </row>
    <row r="130" spans="1:29" s="422" customFormat="1" ht="15" thickTop="1">
      <c r="A130" s="542"/>
      <c r="B130" s="487">
        <f>B45</f>
        <v>111</v>
      </c>
      <c r="C130" s="472"/>
      <c r="D130" s="472"/>
      <c r="E130" s="472"/>
      <c r="F130" s="472"/>
      <c r="G130" s="504"/>
      <c r="H130" s="504"/>
      <c r="I130" s="504"/>
      <c r="J130" s="504"/>
      <c r="K130" s="504"/>
      <c r="L130" s="505"/>
      <c r="M130" s="506"/>
      <c r="N130" s="2732"/>
      <c r="O130" s="2732"/>
      <c r="P130" s="2756"/>
      <c r="Q130" s="2723"/>
      <c r="R130" s="2724"/>
      <c r="S130" s="2724"/>
      <c r="T130" s="2724"/>
      <c r="U130" s="2724"/>
      <c r="V130" s="2724"/>
      <c r="W130" s="2724"/>
      <c r="X130" s="2724"/>
      <c r="Y130" s="2724"/>
      <c r="Z130" s="2724"/>
      <c r="AA130" s="2724"/>
      <c r="AB130" s="2724"/>
      <c r="AC130" s="2724"/>
    </row>
    <row r="131" spans="1:29" s="422" customFormat="1" ht="15.75" thickBot="1">
      <c r="A131" s="517"/>
      <c r="B131" s="648"/>
      <c r="C131" s="519"/>
      <c r="D131" s="519"/>
      <c r="E131" s="519"/>
      <c r="F131" s="519"/>
      <c r="G131" s="540"/>
      <c r="H131" s="540"/>
      <c r="I131" s="540"/>
      <c r="J131" s="540"/>
      <c r="K131" s="540"/>
      <c r="L131" s="540"/>
      <c r="M131" s="541"/>
      <c r="N131" s="2732"/>
      <c r="O131" s="2732"/>
      <c r="P131" s="2756"/>
      <c r="Q131" s="2723"/>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23" priority="18" stopIfTrue="1" operator="containsText" text="超过">
      <formula>NOT(ISERROR(SEARCH("超过",F51)))</formula>
    </cfRule>
  </conditionalFormatting>
  <conditionalFormatting sqref="J53">
    <cfRule type="containsText" dxfId="22" priority="17" stopIfTrue="1" operator="containsText" text="超过">
      <formula>NOT(ISERROR(SEARCH("超过",J53)))</formula>
    </cfRule>
  </conditionalFormatting>
  <conditionalFormatting sqref="H53">
    <cfRule type="containsText" dxfId="21" priority="16" stopIfTrue="1" operator="containsText" text="超过">
      <formula>NOT(ISERROR(SEARCH("超过",H53)))</formula>
    </cfRule>
  </conditionalFormatting>
  <conditionalFormatting sqref="F53">
    <cfRule type="containsText" dxfId="20" priority="15" stopIfTrue="1" operator="containsText" text="超过">
      <formula>NOT(ISERROR(SEARCH("超过",F53)))</formula>
    </cfRule>
  </conditionalFormatting>
  <conditionalFormatting sqref="F52 H52 J52">
    <cfRule type="containsText" dxfId="19" priority="14" stopIfTrue="1" operator="containsText" text="超过">
      <formula>NOT(ISERROR(SEARCH("超过",F52)))</formula>
    </cfRule>
  </conditionalFormatting>
  <conditionalFormatting sqref="E51">
    <cfRule type="expression" dxfId="18" priority="13" stopIfTrue="1">
      <formula>$F$51="超过30%"</formula>
    </cfRule>
  </conditionalFormatting>
  <conditionalFormatting sqref="G53">
    <cfRule type="expression" dxfId="17" priority="12" stopIfTrue="1">
      <formula>$H$53="超过30%"</formula>
    </cfRule>
  </conditionalFormatting>
  <conditionalFormatting sqref="E52">
    <cfRule type="expression" dxfId="16" priority="11" stopIfTrue="1">
      <formula>$F$52="超过20%"</formula>
    </cfRule>
  </conditionalFormatting>
  <conditionalFormatting sqref="E53">
    <cfRule type="expression" dxfId="15" priority="10" stopIfTrue="1">
      <formula>$F$53="超过30%"</formula>
    </cfRule>
  </conditionalFormatting>
  <conditionalFormatting sqref="G51">
    <cfRule type="expression" dxfId="14" priority="9" stopIfTrue="1">
      <formula>$H$53+$H$51="超过30%"</formula>
    </cfRule>
  </conditionalFormatting>
  <conditionalFormatting sqref="G52">
    <cfRule type="expression" dxfId="13" priority="8" stopIfTrue="1">
      <formula>$H$52="超过20%"</formula>
    </cfRule>
  </conditionalFormatting>
  <conditionalFormatting sqref="I51">
    <cfRule type="expression" dxfId="12" priority="7" stopIfTrue="1">
      <formula>$J$51="超过30%"</formula>
    </cfRule>
  </conditionalFormatting>
  <conditionalFormatting sqref="I52">
    <cfRule type="expression" dxfId="11" priority="6" stopIfTrue="1">
      <formula>$J$52="超过20%"</formula>
    </cfRule>
  </conditionalFormatting>
  <conditionalFormatting sqref="I53">
    <cfRule type="expression" dxfId="10" priority="5" stopIfTrue="1">
      <formula>$J$53="超过30%"</formula>
    </cfRule>
  </conditionalFormatting>
  <conditionalFormatting sqref="F47">
    <cfRule type="expression" dxfId="9" priority="4">
      <formula>$D$47="简单平均"</formula>
    </cfRule>
  </conditionalFormatting>
  <conditionalFormatting sqref="H47">
    <cfRule type="expression" dxfId="8" priority="3">
      <formula>$D$47="简单平均"</formula>
    </cfRule>
  </conditionalFormatting>
  <conditionalFormatting sqref="J47">
    <cfRule type="expression" dxfId="7" priority="2">
      <formula>$D$47="简单平均"</formula>
    </cfRule>
  </conditionalFormatting>
  <conditionalFormatting sqref="F7:F45 H7:H45 J7:J45">
    <cfRule type="cellIs" dxfId="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57"/>
  <sheetViews>
    <sheetView workbookViewId="0">
      <selection activeCell="I42" sqref="I42"/>
    </sheetView>
  </sheetViews>
  <sheetFormatPr defaultRowHeight="13.5"/>
  <cols>
    <col min="1" max="1" width="28.75" style="3643" customWidth="1"/>
    <col min="2" max="7" width="28.75" style="3643" hidden="1" customWidth="1"/>
    <col min="8" max="8" width="15.875" style="3643" customWidth="1"/>
    <col min="9" max="13" width="9" style="3643"/>
    <col min="14" max="28" width="0" style="3643" hidden="1" customWidth="1"/>
    <col min="29" max="29" width="11.625" style="3644" bestFit="1" customWidth="1"/>
    <col min="30" max="30" width="0" style="3643" hidden="1" customWidth="1"/>
    <col min="31" max="34" width="9" style="3643"/>
    <col min="35" max="37" width="0" style="3643" hidden="1" customWidth="1"/>
    <col min="38" max="38" width="9" style="3643"/>
    <col min="39" max="39" width="0" style="3643" hidden="1" customWidth="1"/>
    <col min="40" max="40" width="9" style="3643"/>
    <col min="41" max="41" width="0" style="3643" hidden="1" customWidth="1"/>
    <col min="42" max="42" width="9" style="3643"/>
    <col min="43" max="43" width="0" style="3643" hidden="1" customWidth="1"/>
    <col min="44" max="46" width="9" style="3643"/>
    <col min="47" max="52" width="0" style="3643" hidden="1" customWidth="1"/>
    <col min="53" max="16384" width="9" style="3643"/>
  </cols>
  <sheetData>
    <row r="1" spans="1:52">
      <c r="A1" s="3643" t="s">
        <v>4489</v>
      </c>
      <c r="B1" s="3643" t="s">
        <v>4490</v>
      </c>
      <c r="C1" s="3643" t="s">
        <v>4491</v>
      </c>
      <c r="D1" s="3643" t="s">
        <v>4492</v>
      </c>
      <c r="E1" s="3643" t="s">
        <v>4493</v>
      </c>
      <c r="F1" s="3643" t="s">
        <v>4494</v>
      </c>
      <c r="G1" s="3643" t="s">
        <v>4495</v>
      </c>
      <c r="H1" s="3643" t="s">
        <v>4496</v>
      </c>
      <c r="I1" s="3643" t="s">
        <v>4497</v>
      </c>
      <c r="J1" s="3643" t="s">
        <v>4498</v>
      </c>
      <c r="K1" s="3643" t="s">
        <v>4499</v>
      </c>
      <c r="L1" s="3643" t="s">
        <v>4500</v>
      </c>
      <c r="M1" s="3643" t="s">
        <v>4501</v>
      </c>
      <c r="N1" s="3643" t="s">
        <v>4502</v>
      </c>
      <c r="O1" s="3643" t="s">
        <v>4503</v>
      </c>
      <c r="P1" s="3643" t="s">
        <v>4504</v>
      </c>
      <c r="Q1" s="3643" t="s">
        <v>4505</v>
      </c>
      <c r="R1" s="3643" t="s">
        <v>4506</v>
      </c>
      <c r="S1" s="3643" t="s">
        <v>4507</v>
      </c>
      <c r="T1" s="3643" t="s">
        <v>4508</v>
      </c>
      <c r="U1" s="3643" t="s">
        <v>4509</v>
      </c>
      <c r="V1" s="3643" t="s">
        <v>4510</v>
      </c>
      <c r="W1" s="3643" t="s">
        <v>4511</v>
      </c>
      <c r="X1" s="3643" t="s">
        <v>4512</v>
      </c>
      <c r="Y1" s="3643" t="s">
        <v>4513</v>
      </c>
      <c r="Z1" s="3643" t="s">
        <v>4514</v>
      </c>
      <c r="AA1" s="3643" t="s">
        <v>4515</v>
      </c>
      <c r="AB1" s="3643" t="s">
        <v>4516</v>
      </c>
      <c r="AC1" s="3644" t="s">
        <v>4517</v>
      </c>
      <c r="AD1" s="3643" t="s">
        <v>4518</v>
      </c>
      <c r="AE1" s="3643" t="s">
        <v>4519</v>
      </c>
      <c r="AF1" s="3643" t="s">
        <v>4520</v>
      </c>
      <c r="AG1" s="3643" t="s">
        <v>4521</v>
      </c>
      <c r="AH1" s="3643" t="s">
        <v>4522</v>
      </c>
      <c r="AI1" s="3643" t="s">
        <v>4523</v>
      </c>
      <c r="AJ1" s="3643" t="s">
        <v>4524</v>
      </c>
      <c r="AK1" s="3643" t="s">
        <v>4525</v>
      </c>
      <c r="AL1" s="3643" t="s">
        <v>4526</v>
      </c>
      <c r="AM1" s="3643" t="s">
        <v>4527</v>
      </c>
      <c r="AN1" s="3643" t="s">
        <v>4528</v>
      </c>
      <c r="AO1" s="3643" t="s">
        <v>4529</v>
      </c>
      <c r="AP1" s="3643" t="s">
        <v>4530</v>
      </c>
      <c r="AQ1" s="3643" t="s">
        <v>4531</v>
      </c>
      <c r="AR1" s="3643" t="s">
        <v>4532</v>
      </c>
      <c r="AS1" s="3643" t="s">
        <v>4533</v>
      </c>
      <c r="AT1" s="3643" t="s">
        <v>4534</v>
      </c>
      <c r="AU1" s="3643" t="s">
        <v>4535</v>
      </c>
      <c r="AV1" s="3643" t="s">
        <v>4536</v>
      </c>
      <c r="AW1" s="3643" t="s">
        <v>4537</v>
      </c>
      <c r="AX1" s="3643" t="s">
        <v>4538</v>
      </c>
      <c r="AY1" s="3643" t="s">
        <v>4539</v>
      </c>
      <c r="AZ1" s="3643" t="s">
        <v>4540</v>
      </c>
    </row>
    <row r="2" spans="1:52">
      <c r="A2" s="3643" t="s">
        <v>4541</v>
      </c>
      <c r="B2" s="3643" t="s">
        <v>3367</v>
      </c>
      <c r="C2" s="3643" t="s">
        <v>4542</v>
      </c>
      <c r="D2" s="3643" t="s">
        <v>4543</v>
      </c>
      <c r="E2" s="3643" t="s">
        <v>4544</v>
      </c>
      <c r="F2" s="3643" t="s">
        <v>4545</v>
      </c>
      <c r="G2" s="3643" t="s">
        <v>4546</v>
      </c>
      <c r="H2" s="3643" t="s">
        <v>4547</v>
      </c>
      <c r="I2" s="3643">
        <v>10610.35</v>
      </c>
      <c r="J2" s="3643">
        <v>47747</v>
      </c>
      <c r="K2" s="3643">
        <v>4.5</v>
      </c>
      <c r="L2" s="3643" t="s">
        <v>4548</v>
      </c>
      <c r="M2" s="3643" t="s">
        <v>4549</v>
      </c>
      <c r="N2" s="3643" t="s">
        <v>4550</v>
      </c>
      <c r="O2" s="3643" t="s">
        <v>4551</v>
      </c>
      <c r="P2" s="3643" t="s">
        <v>4552</v>
      </c>
      <c r="Q2" s="3643" t="s">
        <v>4552</v>
      </c>
      <c r="R2" s="3643" t="s">
        <v>4552</v>
      </c>
      <c r="S2" s="3643" t="s">
        <v>4552</v>
      </c>
      <c r="T2" s="3643" t="s">
        <v>4552</v>
      </c>
      <c r="U2" s="3643" t="s">
        <v>4552</v>
      </c>
      <c r="V2" s="3643" t="s">
        <v>4552</v>
      </c>
      <c r="W2" s="3643" t="s">
        <v>4552</v>
      </c>
      <c r="X2" s="3643">
        <v>0</v>
      </c>
      <c r="Y2" s="3643">
        <v>0</v>
      </c>
      <c r="Z2" s="3643">
        <v>45079.000497685185</v>
      </c>
      <c r="AA2" s="3643">
        <v>45102.000497685185</v>
      </c>
      <c r="AB2" s="3643">
        <v>45114.000497685185</v>
      </c>
      <c r="AC2" s="3644">
        <v>45114.000497685185</v>
      </c>
      <c r="AD2" s="3643" t="s">
        <v>4553</v>
      </c>
      <c r="AE2" s="3643" t="s">
        <v>4554</v>
      </c>
      <c r="AF2" s="3643" t="s">
        <v>4555</v>
      </c>
      <c r="AG2" s="3643" t="s">
        <v>4556</v>
      </c>
      <c r="AH2" s="3643" t="s">
        <v>4557</v>
      </c>
      <c r="AI2" s="3643">
        <v>134000</v>
      </c>
      <c r="AJ2" s="3643">
        <v>27000</v>
      </c>
      <c r="AK2" s="3643" t="s">
        <v>4558</v>
      </c>
      <c r="AL2" s="3643">
        <v>134000</v>
      </c>
      <c r="AM2" s="3643">
        <v>8419.4500000000007</v>
      </c>
      <c r="AN2" s="3643">
        <v>8419.4500000000007</v>
      </c>
      <c r="AO2" s="3643">
        <v>28065</v>
      </c>
      <c r="AP2" s="3643">
        <v>28065</v>
      </c>
      <c r="AQ2" s="3643" t="s">
        <v>4552</v>
      </c>
      <c r="AR2" s="3643" t="s">
        <v>4552</v>
      </c>
      <c r="AS2" s="3643">
        <v>0</v>
      </c>
      <c r="AT2" s="3643" t="s">
        <v>4559</v>
      </c>
      <c r="AU2" s="3643" t="s">
        <v>4551</v>
      </c>
      <c r="AV2" s="3643" t="s">
        <v>4552</v>
      </c>
      <c r="AW2" s="3643" t="s">
        <v>4551</v>
      </c>
      <c r="AX2" s="3643" t="s">
        <v>4552</v>
      </c>
      <c r="AY2" s="3643" t="s">
        <v>4552</v>
      </c>
      <c r="AZ2" s="3643" t="s">
        <v>4552</v>
      </c>
    </row>
    <row r="3" spans="1:52">
      <c r="A3" s="3645" t="s">
        <v>4560</v>
      </c>
      <c r="B3" s="3643" t="s">
        <v>3367</v>
      </c>
      <c r="C3" s="3643" t="s">
        <v>4561</v>
      </c>
      <c r="D3" s="3643" t="s">
        <v>4543</v>
      </c>
      <c r="E3" s="3643" t="s">
        <v>4562</v>
      </c>
      <c r="F3" s="3643" t="s">
        <v>4563</v>
      </c>
      <c r="G3" s="3643" t="s">
        <v>4564</v>
      </c>
      <c r="H3" s="3643" t="s">
        <v>4547</v>
      </c>
      <c r="I3" s="3643">
        <v>51788.13</v>
      </c>
      <c r="J3" s="3643">
        <v>184800</v>
      </c>
      <c r="K3" s="3643" t="s">
        <v>4565</v>
      </c>
      <c r="L3" s="3643" t="s">
        <v>4548</v>
      </c>
      <c r="M3" s="3643" t="s">
        <v>4549</v>
      </c>
      <c r="N3" s="3643" t="s">
        <v>4550</v>
      </c>
      <c r="O3" s="3643" t="s">
        <v>4551</v>
      </c>
      <c r="P3" s="3643" t="s">
        <v>4552</v>
      </c>
      <c r="Q3" s="3643" t="s">
        <v>4566</v>
      </c>
      <c r="R3" s="3643" t="s">
        <v>4552</v>
      </c>
      <c r="S3" s="3643" t="s">
        <v>4552</v>
      </c>
      <c r="T3" s="3643" t="s">
        <v>4552</v>
      </c>
      <c r="U3" s="3643" t="s">
        <v>4552</v>
      </c>
      <c r="V3" s="3643">
        <v>0</v>
      </c>
      <c r="W3" s="3643">
        <v>0</v>
      </c>
      <c r="X3" s="3643">
        <v>0</v>
      </c>
      <c r="Y3" s="3643">
        <v>0</v>
      </c>
      <c r="Z3" s="3643">
        <v>44133.000497685185</v>
      </c>
      <c r="AA3" s="3643">
        <v>44153.000497685185</v>
      </c>
      <c r="AB3" s="3643">
        <v>44167.000497685185</v>
      </c>
      <c r="AC3" s="3644">
        <v>44167.000497685185</v>
      </c>
      <c r="AD3" s="3643" t="s">
        <v>4567</v>
      </c>
      <c r="AE3" s="3643" t="s">
        <v>4554</v>
      </c>
      <c r="AF3" s="3643" t="s">
        <v>4568</v>
      </c>
      <c r="AG3" s="3643" t="s">
        <v>4569</v>
      </c>
      <c r="AH3" s="3643" t="s">
        <v>4570</v>
      </c>
      <c r="AI3" s="3643">
        <v>570500</v>
      </c>
      <c r="AJ3" s="3643">
        <v>115000</v>
      </c>
      <c r="AK3" s="3643" t="s">
        <v>4571</v>
      </c>
      <c r="AL3" s="3643">
        <v>579500</v>
      </c>
      <c r="AM3" s="3643">
        <v>7344.03</v>
      </c>
      <c r="AN3" s="3643">
        <v>7459.88</v>
      </c>
      <c r="AO3" s="3643">
        <v>30871</v>
      </c>
      <c r="AP3" s="3643">
        <v>31358</v>
      </c>
      <c r="AQ3" s="3643" t="s">
        <v>4552</v>
      </c>
      <c r="AR3" s="3643" t="s">
        <v>4552</v>
      </c>
      <c r="AS3" s="3643">
        <v>1.58</v>
      </c>
      <c r="AT3" s="3643" t="s">
        <v>4572</v>
      </c>
      <c r="AU3" s="3643" t="s">
        <v>4551</v>
      </c>
      <c r="AV3" s="3643" t="s">
        <v>4552</v>
      </c>
      <c r="AW3" s="3643" t="s">
        <v>4551</v>
      </c>
      <c r="AX3" s="3643" t="s">
        <v>4552</v>
      </c>
      <c r="AY3" s="3643" t="s">
        <v>4552</v>
      </c>
      <c r="AZ3" s="3643" t="s">
        <v>4552</v>
      </c>
    </row>
    <row r="4" spans="1:52">
      <c r="A4" s="3643" t="s">
        <v>4573</v>
      </c>
      <c r="B4" s="3643" t="s">
        <v>3367</v>
      </c>
      <c r="C4" s="3643" t="s">
        <v>4574</v>
      </c>
      <c r="D4" s="3643" t="s">
        <v>4543</v>
      </c>
      <c r="E4" s="3643" t="s">
        <v>4544</v>
      </c>
      <c r="F4" s="3643" t="s">
        <v>4575</v>
      </c>
      <c r="G4" s="3643" t="s">
        <v>4576</v>
      </c>
      <c r="H4" s="3643" t="s">
        <v>4547</v>
      </c>
      <c r="I4" s="3643">
        <v>62796.800000000003</v>
      </c>
      <c r="J4" s="3643">
        <v>275500</v>
      </c>
      <c r="K4" s="3643">
        <v>4.3899999999999997</v>
      </c>
      <c r="L4" s="3643" t="s">
        <v>4548</v>
      </c>
      <c r="M4" s="3643" t="s">
        <v>4549</v>
      </c>
      <c r="N4" s="3643" t="s">
        <v>4550</v>
      </c>
      <c r="O4" s="3643" t="s">
        <v>4551</v>
      </c>
      <c r="P4" s="3643" t="s">
        <v>4552</v>
      </c>
      <c r="Q4" s="3643" t="s">
        <v>4552</v>
      </c>
      <c r="R4" s="3643" t="s">
        <v>4552</v>
      </c>
      <c r="S4" s="3643" t="s">
        <v>4552</v>
      </c>
      <c r="T4" s="3643" t="s">
        <v>4552</v>
      </c>
      <c r="U4" s="3643" t="s">
        <v>4552</v>
      </c>
      <c r="V4" s="3643" t="s">
        <v>4552</v>
      </c>
      <c r="W4" s="3643" t="s">
        <v>4552</v>
      </c>
      <c r="X4" s="3643">
        <v>0</v>
      </c>
      <c r="Y4" s="3643">
        <v>0</v>
      </c>
      <c r="Z4" s="3643">
        <v>44946.000497685185</v>
      </c>
      <c r="AA4" s="3643">
        <v>44966.000497685185</v>
      </c>
      <c r="AB4" s="3643">
        <v>44980.000497685185</v>
      </c>
      <c r="AC4" s="3644">
        <v>44980.000497685185</v>
      </c>
      <c r="AD4" s="3643" t="s">
        <v>4577</v>
      </c>
      <c r="AE4" s="3643" t="s">
        <v>4554</v>
      </c>
      <c r="AF4" s="3643" t="s">
        <v>4578</v>
      </c>
      <c r="AG4" s="3643" t="s">
        <v>4579</v>
      </c>
      <c r="AH4" s="3643" t="s">
        <v>4570</v>
      </c>
      <c r="AI4" s="3643">
        <v>635800</v>
      </c>
      <c r="AJ4" s="3643">
        <v>127500</v>
      </c>
      <c r="AK4" s="3643" t="s">
        <v>4580</v>
      </c>
      <c r="AL4" s="3643">
        <v>635800</v>
      </c>
      <c r="AM4" s="3643">
        <v>6749.81</v>
      </c>
      <c r="AN4" s="3643">
        <v>6749.81</v>
      </c>
      <c r="AO4" s="3643">
        <v>23078</v>
      </c>
      <c r="AP4" s="3643">
        <v>23078</v>
      </c>
      <c r="AQ4" s="3643" t="s">
        <v>4552</v>
      </c>
      <c r="AR4" s="3643" t="s">
        <v>4552</v>
      </c>
      <c r="AS4" s="3643">
        <v>0</v>
      </c>
      <c r="AT4" s="3643" t="s">
        <v>4559</v>
      </c>
      <c r="AU4" s="3643" t="s">
        <v>4551</v>
      </c>
      <c r="AV4" s="3643" t="s">
        <v>4552</v>
      </c>
      <c r="AW4" s="3643" t="s">
        <v>4551</v>
      </c>
      <c r="AX4" s="3643" t="s">
        <v>4552</v>
      </c>
      <c r="AY4" s="3643" t="s">
        <v>4552</v>
      </c>
      <c r="AZ4" s="3643" t="s">
        <v>4552</v>
      </c>
    </row>
    <row r="6" spans="1:52">
      <c r="A6" s="3643" t="s">
        <v>4489</v>
      </c>
      <c r="B6" s="3643" t="s">
        <v>4490</v>
      </c>
      <c r="C6" s="3643" t="s">
        <v>4491</v>
      </c>
      <c r="D6" s="3643" t="s">
        <v>4492</v>
      </c>
      <c r="E6" s="3643" t="s">
        <v>4493</v>
      </c>
      <c r="F6" s="3643" t="s">
        <v>4494</v>
      </c>
      <c r="G6" s="3643" t="s">
        <v>4495</v>
      </c>
      <c r="H6" s="3643" t="s">
        <v>4496</v>
      </c>
      <c r="I6" s="3643" t="s">
        <v>4497</v>
      </c>
      <c r="J6" s="3643" t="s">
        <v>4498</v>
      </c>
      <c r="K6" s="3643" t="s">
        <v>4499</v>
      </c>
      <c r="L6" s="3643" t="s">
        <v>4500</v>
      </c>
      <c r="M6" s="3643" t="s">
        <v>4501</v>
      </c>
      <c r="N6" s="3643" t="s">
        <v>4502</v>
      </c>
      <c r="O6" s="3643" t="s">
        <v>4503</v>
      </c>
      <c r="P6" s="3643" t="s">
        <v>4504</v>
      </c>
      <c r="Q6" s="3643" t="s">
        <v>4505</v>
      </c>
      <c r="R6" s="3643" t="s">
        <v>4506</v>
      </c>
      <c r="S6" s="3643" t="s">
        <v>4507</v>
      </c>
      <c r="T6" s="3643" t="s">
        <v>4508</v>
      </c>
      <c r="U6" s="3643" t="s">
        <v>4509</v>
      </c>
      <c r="V6" s="3643" t="s">
        <v>4510</v>
      </c>
      <c r="W6" s="3643" t="s">
        <v>4511</v>
      </c>
      <c r="X6" s="3643" t="s">
        <v>4512</v>
      </c>
      <c r="Y6" s="3643" t="s">
        <v>4513</v>
      </c>
      <c r="Z6" s="3643" t="s">
        <v>4514</v>
      </c>
      <c r="AA6" s="3643" t="s">
        <v>4515</v>
      </c>
      <c r="AB6" s="3643" t="s">
        <v>4516</v>
      </c>
      <c r="AC6" s="3644" t="s">
        <v>4517</v>
      </c>
      <c r="AD6" s="3643" t="s">
        <v>4518</v>
      </c>
      <c r="AE6" s="3643" t="s">
        <v>4519</v>
      </c>
      <c r="AF6" s="3643" t="s">
        <v>4520</v>
      </c>
      <c r="AG6" s="3643" t="s">
        <v>4521</v>
      </c>
      <c r="AH6" s="3643" t="s">
        <v>4522</v>
      </c>
      <c r="AI6" s="3643" t="s">
        <v>4523</v>
      </c>
      <c r="AJ6" s="3643" t="s">
        <v>4524</v>
      </c>
      <c r="AK6" s="3643" t="s">
        <v>4525</v>
      </c>
      <c r="AL6" s="3643" t="s">
        <v>4526</v>
      </c>
      <c r="AM6" s="3643" t="s">
        <v>4527</v>
      </c>
      <c r="AN6" s="3643" t="s">
        <v>4528</v>
      </c>
      <c r="AO6" s="3643" t="s">
        <v>4529</v>
      </c>
      <c r="AP6" s="3643" t="s">
        <v>4530</v>
      </c>
      <c r="AQ6" s="3643" t="s">
        <v>4531</v>
      </c>
      <c r="AR6" s="3643" t="s">
        <v>4532</v>
      </c>
      <c r="AS6" s="3643" t="s">
        <v>4533</v>
      </c>
      <c r="AT6" s="3643" t="s">
        <v>4534</v>
      </c>
      <c r="AU6" s="3643" t="s">
        <v>4535</v>
      </c>
      <c r="AV6" s="3643" t="s">
        <v>4536</v>
      </c>
      <c r="AW6" s="3643" t="s">
        <v>4537</v>
      </c>
      <c r="AX6" s="3643" t="s">
        <v>4538</v>
      </c>
      <c r="AY6" s="3643" t="s">
        <v>4539</v>
      </c>
      <c r="AZ6" s="3643" t="s">
        <v>4540</v>
      </c>
    </row>
    <row r="7" spans="1:52">
      <c r="A7" s="3643" t="s">
        <v>4581</v>
      </c>
      <c r="B7" s="3643" t="s">
        <v>3367</v>
      </c>
      <c r="C7" s="3643" t="s">
        <v>4582</v>
      </c>
      <c r="D7" s="3643" t="s">
        <v>4543</v>
      </c>
      <c r="E7" s="3643" t="s">
        <v>4562</v>
      </c>
      <c r="F7" s="3643" t="s">
        <v>4583</v>
      </c>
      <c r="G7" s="3643" t="s">
        <v>4584</v>
      </c>
      <c r="H7" s="3643" t="s">
        <v>4547</v>
      </c>
      <c r="I7" s="3643">
        <v>49900.54</v>
      </c>
      <c r="J7" s="3643">
        <v>109781.19</v>
      </c>
      <c r="K7" s="3643">
        <v>2.2000000000000002</v>
      </c>
      <c r="L7" s="3643" t="s">
        <v>4548</v>
      </c>
      <c r="M7" s="3643" t="s">
        <v>4585</v>
      </c>
      <c r="N7" s="3643" t="s">
        <v>4550</v>
      </c>
      <c r="O7" s="3643" t="s">
        <v>4551</v>
      </c>
      <c r="P7" s="3643" t="s">
        <v>4552</v>
      </c>
      <c r="Q7" s="3643">
        <v>45</v>
      </c>
      <c r="R7" s="3643" t="s">
        <v>4552</v>
      </c>
      <c r="S7" s="3643" t="s">
        <v>4552</v>
      </c>
      <c r="T7" s="3643" t="s">
        <v>4552</v>
      </c>
      <c r="U7" s="3643" t="s">
        <v>4552</v>
      </c>
      <c r="V7" s="3643" t="s">
        <v>4552</v>
      </c>
      <c r="W7" s="3643" t="s">
        <v>4552</v>
      </c>
      <c r="X7" s="3643">
        <v>0</v>
      </c>
      <c r="Y7" s="3643">
        <v>0</v>
      </c>
      <c r="Z7" s="3643">
        <v>45107.000497685185</v>
      </c>
      <c r="AA7" s="3643">
        <v>45127.000497685185</v>
      </c>
      <c r="AB7" s="3643">
        <v>45141.000497685185</v>
      </c>
      <c r="AC7" s="3644">
        <v>45141.000497685185</v>
      </c>
      <c r="AD7" s="3643" t="s">
        <v>4586</v>
      </c>
      <c r="AE7" s="3643" t="s">
        <v>4554</v>
      </c>
      <c r="AF7" s="3643" t="s">
        <v>4587</v>
      </c>
      <c r="AG7" s="3643" t="s">
        <v>4588</v>
      </c>
      <c r="AH7" s="3643" t="s">
        <v>4552</v>
      </c>
      <c r="AI7" s="3643">
        <v>227000</v>
      </c>
      <c r="AJ7" s="3643">
        <v>46000</v>
      </c>
      <c r="AK7" s="3643" t="s">
        <v>4589</v>
      </c>
      <c r="AL7" s="3643">
        <v>227000</v>
      </c>
      <c r="AM7" s="3643">
        <v>3032.7</v>
      </c>
      <c r="AN7" s="3643">
        <v>3032.7</v>
      </c>
      <c r="AO7" s="3643">
        <v>20677</v>
      </c>
      <c r="AP7" s="3643">
        <v>20677</v>
      </c>
      <c r="AQ7" s="3643" t="s">
        <v>4552</v>
      </c>
      <c r="AR7" s="3643" t="s">
        <v>4552</v>
      </c>
      <c r="AS7" s="3643">
        <v>0</v>
      </c>
      <c r="AT7" s="3643" t="s">
        <v>4559</v>
      </c>
      <c r="AU7" s="3643" t="s">
        <v>4551</v>
      </c>
      <c r="AV7" s="3643" t="s">
        <v>4552</v>
      </c>
      <c r="AW7" s="3643" t="s">
        <v>4551</v>
      </c>
      <c r="AX7" s="3643" t="s">
        <v>4552</v>
      </c>
      <c r="AY7" s="3643" t="s">
        <v>4552</v>
      </c>
      <c r="AZ7" s="3643" t="s">
        <v>4552</v>
      </c>
    </row>
    <row r="8" spans="1:52">
      <c r="A8" s="3643" t="s">
        <v>4590</v>
      </c>
      <c r="B8" s="3643" t="s">
        <v>3367</v>
      </c>
      <c r="C8" s="3643" t="s">
        <v>4591</v>
      </c>
      <c r="D8" s="3643" t="s">
        <v>4543</v>
      </c>
      <c r="E8" s="3643" t="s">
        <v>4592</v>
      </c>
      <c r="F8" s="3643" t="s">
        <v>4593</v>
      </c>
      <c r="G8" s="3643" t="s">
        <v>4594</v>
      </c>
      <c r="H8" s="3643" t="s">
        <v>4547</v>
      </c>
      <c r="I8" s="3643">
        <v>15459.22</v>
      </c>
      <c r="J8" s="3643">
        <v>52599.12</v>
      </c>
      <c r="K8" s="3643" t="s">
        <v>4595</v>
      </c>
      <c r="L8" s="3643" t="s">
        <v>4548</v>
      </c>
      <c r="M8" s="3643" t="s">
        <v>4596</v>
      </c>
      <c r="N8" s="3643" t="s">
        <v>4550</v>
      </c>
      <c r="O8" s="3643" t="s">
        <v>4551</v>
      </c>
      <c r="P8" s="3643" t="s">
        <v>4552</v>
      </c>
      <c r="Q8" s="3643" t="s">
        <v>4597</v>
      </c>
      <c r="R8" s="3643" t="s">
        <v>4552</v>
      </c>
      <c r="S8" s="3643" t="s">
        <v>4552</v>
      </c>
      <c r="T8" s="3643" t="s">
        <v>4552</v>
      </c>
      <c r="U8" s="3643" t="s">
        <v>4552</v>
      </c>
      <c r="V8" s="3643" t="s">
        <v>4552</v>
      </c>
      <c r="W8" s="3643" t="s">
        <v>4552</v>
      </c>
      <c r="X8" s="3643">
        <v>0</v>
      </c>
      <c r="Y8" s="3643">
        <v>0</v>
      </c>
      <c r="Z8" s="3643">
        <v>45079.000497685185</v>
      </c>
      <c r="AA8" s="3643">
        <v>45102.000497685185</v>
      </c>
      <c r="AB8" s="3643">
        <v>45114.000497685185</v>
      </c>
      <c r="AC8" s="3644">
        <v>45114.000497685185</v>
      </c>
      <c r="AD8" s="3643" t="s">
        <v>4598</v>
      </c>
      <c r="AE8" s="3643" t="s">
        <v>4554</v>
      </c>
      <c r="AF8" s="3643" t="s">
        <v>4599</v>
      </c>
      <c r="AG8" s="3643" t="s">
        <v>4600</v>
      </c>
      <c r="AH8" s="3643" t="s">
        <v>4601</v>
      </c>
      <c r="AI8" s="3643">
        <v>53100</v>
      </c>
      <c r="AJ8" s="3643">
        <v>11000</v>
      </c>
      <c r="AK8" s="3643" t="s">
        <v>633</v>
      </c>
      <c r="AL8" s="3643">
        <v>53100</v>
      </c>
      <c r="AM8" s="3643">
        <v>2289.9</v>
      </c>
      <c r="AN8" s="3643">
        <v>2289.9</v>
      </c>
      <c r="AO8" s="3643">
        <v>10095</v>
      </c>
      <c r="AP8" s="3643">
        <v>10095</v>
      </c>
      <c r="AQ8" s="3643" t="s">
        <v>4552</v>
      </c>
      <c r="AR8" s="3643" t="s">
        <v>4552</v>
      </c>
      <c r="AS8" s="3643">
        <v>0</v>
      </c>
      <c r="AT8" s="3643" t="s">
        <v>4602</v>
      </c>
      <c r="AU8" s="3643" t="s">
        <v>4551</v>
      </c>
      <c r="AV8" s="3643" t="s">
        <v>4552</v>
      </c>
      <c r="AW8" s="3643" t="s">
        <v>4551</v>
      </c>
      <c r="AX8" s="3643" t="s">
        <v>4552</v>
      </c>
      <c r="AY8" s="3643" t="s">
        <v>4552</v>
      </c>
      <c r="AZ8" s="3643" t="s">
        <v>4552</v>
      </c>
    </row>
    <row r="9" spans="1:52">
      <c r="A9" s="3643" t="s">
        <v>4541</v>
      </c>
      <c r="B9" s="3643" t="s">
        <v>3367</v>
      </c>
      <c r="C9" s="3643" t="s">
        <v>4542</v>
      </c>
      <c r="D9" s="3643" t="s">
        <v>4543</v>
      </c>
      <c r="E9" s="3643" t="s">
        <v>4544</v>
      </c>
      <c r="F9" s="3643" t="s">
        <v>4545</v>
      </c>
      <c r="G9" s="3643" t="s">
        <v>4546</v>
      </c>
      <c r="H9" s="3643" t="s">
        <v>4547</v>
      </c>
      <c r="I9" s="3643">
        <v>10610.35</v>
      </c>
      <c r="J9" s="3643">
        <v>47747</v>
      </c>
      <c r="K9" s="3643">
        <v>4.5</v>
      </c>
      <c r="L9" s="3643" t="s">
        <v>4548</v>
      </c>
      <c r="M9" s="3643" t="s">
        <v>4549</v>
      </c>
      <c r="N9" s="3643" t="s">
        <v>4550</v>
      </c>
      <c r="O9" s="3643" t="s">
        <v>4551</v>
      </c>
      <c r="P9" s="3643" t="s">
        <v>4552</v>
      </c>
      <c r="Q9" s="3643" t="s">
        <v>4552</v>
      </c>
      <c r="R9" s="3643" t="s">
        <v>4552</v>
      </c>
      <c r="S9" s="3643" t="s">
        <v>4552</v>
      </c>
      <c r="T9" s="3643" t="s">
        <v>4552</v>
      </c>
      <c r="U9" s="3643" t="s">
        <v>4552</v>
      </c>
      <c r="V9" s="3643" t="s">
        <v>4552</v>
      </c>
      <c r="W9" s="3643" t="s">
        <v>4552</v>
      </c>
      <c r="X9" s="3643">
        <v>0</v>
      </c>
      <c r="Y9" s="3643">
        <v>0</v>
      </c>
      <c r="Z9" s="3643">
        <v>45079.000497685185</v>
      </c>
      <c r="AA9" s="3643">
        <v>45102.000497685185</v>
      </c>
      <c r="AB9" s="3643">
        <v>45114.000497685185</v>
      </c>
      <c r="AC9" s="3644">
        <v>45114.000497685185</v>
      </c>
      <c r="AD9" s="3643" t="s">
        <v>4553</v>
      </c>
      <c r="AE9" s="3643" t="s">
        <v>4554</v>
      </c>
      <c r="AF9" s="3643" t="s">
        <v>4555</v>
      </c>
      <c r="AG9" s="3643" t="s">
        <v>4556</v>
      </c>
      <c r="AH9" s="3643" t="s">
        <v>4557</v>
      </c>
      <c r="AI9" s="3643">
        <v>134000</v>
      </c>
      <c r="AJ9" s="3643">
        <v>27000</v>
      </c>
      <c r="AK9" s="3643" t="s">
        <v>4558</v>
      </c>
      <c r="AL9" s="3643">
        <v>134000</v>
      </c>
      <c r="AM9" s="3643">
        <v>8419.4500000000007</v>
      </c>
      <c r="AN9" s="3643">
        <v>8419.4500000000007</v>
      </c>
      <c r="AO9" s="3643">
        <v>28065</v>
      </c>
      <c r="AP9" s="3643">
        <v>28065</v>
      </c>
      <c r="AQ9" s="3643" t="s">
        <v>4552</v>
      </c>
      <c r="AR9" s="3643" t="s">
        <v>4552</v>
      </c>
      <c r="AS9" s="3643">
        <v>0</v>
      </c>
      <c r="AT9" s="3643" t="s">
        <v>4559</v>
      </c>
      <c r="AU9" s="3643" t="s">
        <v>4551</v>
      </c>
      <c r="AV9" s="3643" t="s">
        <v>4552</v>
      </c>
      <c r="AW9" s="3643" t="s">
        <v>4551</v>
      </c>
      <c r="AX9" s="3643" t="s">
        <v>4552</v>
      </c>
      <c r="AY9" s="3643" t="s">
        <v>4552</v>
      </c>
      <c r="AZ9" s="3643" t="s">
        <v>4552</v>
      </c>
    </row>
    <row r="10" spans="1:52">
      <c r="A10" s="3643" t="s">
        <v>4603</v>
      </c>
      <c r="B10" s="3643" t="s">
        <v>3367</v>
      </c>
      <c r="C10" s="3643" t="s">
        <v>4604</v>
      </c>
      <c r="D10" s="3643" t="s">
        <v>4543</v>
      </c>
      <c r="E10" s="3643" t="s">
        <v>4605</v>
      </c>
      <c r="F10" s="3643" t="s">
        <v>4606</v>
      </c>
      <c r="G10" s="3643" t="s">
        <v>4607</v>
      </c>
      <c r="H10" s="3643" t="s">
        <v>4547</v>
      </c>
      <c r="I10" s="3643">
        <v>67829.210000000006</v>
      </c>
      <c r="J10" s="3643">
        <v>298100</v>
      </c>
      <c r="K10" s="3643">
        <v>4.4000000000000004</v>
      </c>
      <c r="L10" s="3643" t="s">
        <v>4548</v>
      </c>
      <c r="M10" s="3643" t="s">
        <v>4608</v>
      </c>
      <c r="N10" s="3643" t="s">
        <v>4550</v>
      </c>
      <c r="O10" s="3643" t="s">
        <v>4551</v>
      </c>
      <c r="P10" s="3643" t="s">
        <v>4552</v>
      </c>
      <c r="Q10" s="3643" t="s">
        <v>4552</v>
      </c>
      <c r="R10" s="3643" t="s">
        <v>4552</v>
      </c>
      <c r="S10" s="3643" t="s">
        <v>4552</v>
      </c>
      <c r="T10" s="3643" t="s">
        <v>4552</v>
      </c>
      <c r="U10" s="3643" t="s">
        <v>4552</v>
      </c>
      <c r="V10" s="3643" t="s">
        <v>4552</v>
      </c>
      <c r="W10" s="3643" t="s">
        <v>4552</v>
      </c>
      <c r="X10" s="3643">
        <v>0</v>
      </c>
      <c r="Y10" s="3643">
        <v>0</v>
      </c>
      <c r="Z10" s="3643">
        <v>45056.000497685185</v>
      </c>
      <c r="AA10" s="3643">
        <v>45076.000497685185</v>
      </c>
      <c r="AB10" s="3643">
        <v>45090.000497685185</v>
      </c>
      <c r="AC10" s="3644">
        <v>45090.000497685185</v>
      </c>
      <c r="AD10" s="3643" t="s">
        <v>4609</v>
      </c>
      <c r="AE10" s="3643" t="s">
        <v>4554</v>
      </c>
      <c r="AF10" s="3643" t="s">
        <v>4610</v>
      </c>
      <c r="AG10" s="3643" t="s">
        <v>4611</v>
      </c>
      <c r="AH10" s="3643" t="s">
        <v>4601</v>
      </c>
      <c r="AI10" s="3643">
        <v>680000</v>
      </c>
      <c r="AJ10" s="3643">
        <v>136000</v>
      </c>
      <c r="AK10" s="3643" t="s">
        <v>4612</v>
      </c>
      <c r="AL10" s="3643">
        <v>680000</v>
      </c>
      <c r="AM10" s="3643">
        <v>6683.45</v>
      </c>
      <c r="AN10" s="3643">
        <v>6683.45</v>
      </c>
      <c r="AO10" s="3643">
        <v>22811</v>
      </c>
      <c r="AP10" s="3643">
        <v>22811</v>
      </c>
      <c r="AQ10" s="3643" t="s">
        <v>4552</v>
      </c>
      <c r="AR10" s="3643" t="s">
        <v>4552</v>
      </c>
      <c r="AS10" s="3643">
        <v>0</v>
      </c>
      <c r="AT10" s="3643" t="s">
        <v>4559</v>
      </c>
      <c r="AU10" s="3643" t="s">
        <v>4551</v>
      </c>
      <c r="AV10" s="3643" t="s">
        <v>4552</v>
      </c>
      <c r="AW10" s="3643" t="s">
        <v>4551</v>
      </c>
      <c r="AX10" s="3643" t="s">
        <v>4552</v>
      </c>
      <c r="AY10" s="3643" t="s">
        <v>4552</v>
      </c>
      <c r="AZ10" s="3643" t="s">
        <v>4552</v>
      </c>
    </row>
    <row r="11" spans="1:52">
      <c r="A11" s="3643" t="s">
        <v>4613</v>
      </c>
      <c r="B11" s="3643" t="s">
        <v>3367</v>
      </c>
      <c r="C11" s="3643" t="s">
        <v>4614</v>
      </c>
      <c r="D11" s="3643" t="s">
        <v>4543</v>
      </c>
      <c r="E11" s="3643" t="s">
        <v>4615</v>
      </c>
      <c r="F11" s="3643" t="s">
        <v>4616</v>
      </c>
      <c r="G11" s="3643" t="s">
        <v>4617</v>
      </c>
      <c r="H11" s="3643" t="s">
        <v>4547</v>
      </c>
      <c r="I11" s="3643">
        <v>101190.07</v>
      </c>
      <c r="J11" s="3643">
        <v>198291</v>
      </c>
      <c r="K11" s="3643" t="s">
        <v>4618</v>
      </c>
      <c r="L11" s="3643" t="s">
        <v>4548</v>
      </c>
      <c r="M11" s="3643" t="s">
        <v>4585</v>
      </c>
      <c r="N11" s="3643" t="s">
        <v>4550</v>
      </c>
      <c r="O11" s="3643" t="s">
        <v>4551</v>
      </c>
      <c r="P11" s="3643">
        <v>0.4</v>
      </c>
      <c r="Q11" s="3643" t="s">
        <v>4619</v>
      </c>
      <c r="R11" s="3643" t="s">
        <v>4552</v>
      </c>
      <c r="S11" s="3643" t="s">
        <v>4552</v>
      </c>
      <c r="T11" s="3643" t="s">
        <v>4552</v>
      </c>
      <c r="U11" s="3643" t="s">
        <v>4552</v>
      </c>
      <c r="V11" s="3643" t="s">
        <v>4552</v>
      </c>
      <c r="W11" s="3643" t="s">
        <v>4552</v>
      </c>
      <c r="X11" s="3643">
        <v>0</v>
      </c>
      <c r="Y11" s="3643">
        <v>0</v>
      </c>
      <c r="Z11" s="3643">
        <v>45054.000497685185</v>
      </c>
      <c r="AA11" s="3643">
        <v>45075.000497685185</v>
      </c>
      <c r="AB11" s="3643">
        <v>45089.000497685185</v>
      </c>
      <c r="AC11" s="3644">
        <v>45089.000497685185</v>
      </c>
      <c r="AD11" s="3643" t="s">
        <v>4620</v>
      </c>
      <c r="AE11" s="3643" t="s">
        <v>4554</v>
      </c>
      <c r="AF11" s="3643" t="s">
        <v>4621</v>
      </c>
      <c r="AG11" s="3643" t="s">
        <v>4622</v>
      </c>
      <c r="AH11" s="3643" t="s">
        <v>4601</v>
      </c>
      <c r="AI11" s="3643">
        <v>100000</v>
      </c>
      <c r="AJ11" s="3643">
        <v>20000</v>
      </c>
      <c r="AK11" s="3643" t="s">
        <v>633</v>
      </c>
      <c r="AL11" s="3643">
        <v>100000</v>
      </c>
      <c r="AM11" s="3643">
        <v>658.83</v>
      </c>
      <c r="AN11" s="3643">
        <v>658.83</v>
      </c>
      <c r="AO11" s="3643">
        <v>5043</v>
      </c>
      <c r="AP11" s="3643">
        <v>5043</v>
      </c>
      <c r="AQ11" s="3643" t="s">
        <v>4552</v>
      </c>
      <c r="AR11" s="3643" t="s">
        <v>4552</v>
      </c>
      <c r="AS11" s="3643">
        <v>0</v>
      </c>
      <c r="AT11" s="3643" t="s">
        <v>4559</v>
      </c>
      <c r="AU11" s="3643" t="s">
        <v>4551</v>
      </c>
      <c r="AV11" s="3643" t="s">
        <v>4552</v>
      </c>
      <c r="AW11" s="3643" t="s">
        <v>4551</v>
      </c>
      <c r="AX11" s="3643" t="s">
        <v>4552</v>
      </c>
      <c r="AY11" s="3643" t="s">
        <v>4552</v>
      </c>
      <c r="AZ11" s="3643" t="s">
        <v>4552</v>
      </c>
    </row>
    <row r="12" spans="1:52">
      <c r="A12" s="3643" t="s">
        <v>4623</v>
      </c>
      <c r="B12" s="3643" t="s">
        <v>3367</v>
      </c>
      <c r="C12" s="3643" t="s">
        <v>4624</v>
      </c>
      <c r="D12" s="3643" t="s">
        <v>4543</v>
      </c>
      <c r="E12" s="3643" t="s">
        <v>4592</v>
      </c>
      <c r="F12" s="3643" t="s">
        <v>4625</v>
      </c>
      <c r="G12" s="3643" t="s">
        <v>4626</v>
      </c>
      <c r="H12" s="3643" t="s">
        <v>4547</v>
      </c>
      <c r="I12" s="3643">
        <v>5500.65</v>
      </c>
      <c r="J12" s="3643">
        <v>15401.81</v>
      </c>
      <c r="K12" s="3643" t="s">
        <v>4627</v>
      </c>
      <c r="L12" s="3643" t="s">
        <v>4548</v>
      </c>
      <c r="M12" s="3643" t="s">
        <v>4549</v>
      </c>
      <c r="N12" s="3643" t="s">
        <v>4550</v>
      </c>
      <c r="O12" s="3643" t="s">
        <v>4551</v>
      </c>
      <c r="P12" s="3643" t="s">
        <v>4552</v>
      </c>
      <c r="Q12" s="3643">
        <v>60</v>
      </c>
      <c r="R12" s="3643" t="s">
        <v>4552</v>
      </c>
      <c r="S12" s="3643" t="s">
        <v>4552</v>
      </c>
      <c r="T12" s="3643" t="s">
        <v>4552</v>
      </c>
      <c r="U12" s="3643" t="s">
        <v>4552</v>
      </c>
      <c r="V12" s="3643" t="s">
        <v>4552</v>
      </c>
      <c r="W12" s="3643" t="s">
        <v>4552</v>
      </c>
      <c r="X12" s="3643">
        <v>0</v>
      </c>
      <c r="Y12" s="3643">
        <v>0</v>
      </c>
      <c r="Z12" s="3643">
        <v>44995.000497685185</v>
      </c>
      <c r="AA12" s="3643">
        <v>45015.000497685185</v>
      </c>
      <c r="AB12" s="3643">
        <v>45030.000497685185</v>
      </c>
      <c r="AC12" s="3644">
        <v>45030.000497685185</v>
      </c>
      <c r="AD12" s="3643" t="s">
        <v>4628</v>
      </c>
      <c r="AE12" s="3643" t="s">
        <v>4554</v>
      </c>
      <c r="AF12" s="3643" t="s">
        <v>4629</v>
      </c>
      <c r="AG12" s="3643" t="s">
        <v>4630</v>
      </c>
      <c r="AH12" s="3643" t="s">
        <v>4552</v>
      </c>
      <c r="AI12" s="3643">
        <v>17000</v>
      </c>
      <c r="AJ12" s="3643">
        <v>4000</v>
      </c>
      <c r="AK12" s="3643" t="s">
        <v>633</v>
      </c>
      <c r="AL12" s="3643">
        <v>17000</v>
      </c>
      <c r="AM12" s="3643">
        <v>2060.36</v>
      </c>
      <c r="AN12" s="3643">
        <v>2060.36</v>
      </c>
      <c r="AO12" s="3643">
        <v>11038</v>
      </c>
      <c r="AP12" s="3643">
        <v>11038</v>
      </c>
      <c r="AQ12" s="3643" t="s">
        <v>4552</v>
      </c>
      <c r="AR12" s="3643" t="s">
        <v>4552</v>
      </c>
      <c r="AS12" s="3643">
        <v>0</v>
      </c>
      <c r="AT12" s="3643" t="s">
        <v>4631</v>
      </c>
      <c r="AU12" s="3643" t="s">
        <v>4551</v>
      </c>
      <c r="AV12" s="3643" t="s">
        <v>4552</v>
      </c>
      <c r="AW12" s="3643" t="s">
        <v>4551</v>
      </c>
      <c r="AX12" s="3643" t="s">
        <v>4552</v>
      </c>
      <c r="AY12" s="3643" t="s">
        <v>4552</v>
      </c>
      <c r="AZ12" s="3643" t="s">
        <v>4552</v>
      </c>
    </row>
    <row r="13" spans="1:52">
      <c r="A13" s="3643" t="s">
        <v>4632</v>
      </c>
      <c r="B13" s="3643" t="s">
        <v>3367</v>
      </c>
      <c r="C13" s="3643" t="s">
        <v>4633</v>
      </c>
      <c r="D13" s="3643" t="s">
        <v>4543</v>
      </c>
      <c r="E13" s="3643" t="s">
        <v>4634</v>
      </c>
      <c r="F13" s="3643" t="s">
        <v>4635</v>
      </c>
      <c r="G13" s="3643" t="s">
        <v>4636</v>
      </c>
      <c r="H13" s="3643" t="s">
        <v>4547</v>
      </c>
      <c r="I13" s="3643">
        <v>82500</v>
      </c>
      <c r="J13" s="3643">
        <v>165000</v>
      </c>
      <c r="K13" s="3643">
        <v>2</v>
      </c>
      <c r="L13" s="3643" t="s">
        <v>4548</v>
      </c>
      <c r="M13" s="3643" t="s">
        <v>4637</v>
      </c>
      <c r="N13" s="3643" t="s">
        <v>4550</v>
      </c>
      <c r="O13" s="3643" t="s">
        <v>4551</v>
      </c>
      <c r="P13" s="3643" t="s">
        <v>4552</v>
      </c>
      <c r="Q13" s="3643" t="s">
        <v>4552</v>
      </c>
      <c r="R13" s="3643" t="s">
        <v>4552</v>
      </c>
      <c r="S13" s="3643" t="s">
        <v>4552</v>
      </c>
      <c r="T13" s="3643" t="s">
        <v>4552</v>
      </c>
      <c r="U13" s="3643" t="s">
        <v>4552</v>
      </c>
      <c r="V13" s="3643" t="s">
        <v>4552</v>
      </c>
      <c r="W13" s="3643" t="s">
        <v>4552</v>
      </c>
      <c r="X13" s="3643">
        <v>0</v>
      </c>
      <c r="Y13" s="3643">
        <v>0</v>
      </c>
      <c r="Z13" s="3643">
        <v>44978.000497685185</v>
      </c>
      <c r="AA13" s="3643">
        <v>44997.000497685185</v>
      </c>
      <c r="AB13" s="3643">
        <v>45012.000497685185</v>
      </c>
      <c r="AC13" s="3644">
        <v>45012.000497685185</v>
      </c>
      <c r="AD13" s="3643" t="s">
        <v>4638</v>
      </c>
      <c r="AE13" s="3643" t="s">
        <v>4554</v>
      </c>
      <c r="AF13" s="3643" t="s">
        <v>4639</v>
      </c>
      <c r="AG13" s="3643" t="s">
        <v>4640</v>
      </c>
      <c r="AH13" s="3643" t="s">
        <v>4641</v>
      </c>
      <c r="AI13" s="3643">
        <v>260700</v>
      </c>
      <c r="AJ13" s="3643">
        <v>78000</v>
      </c>
      <c r="AK13" s="3643" t="s">
        <v>633</v>
      </c>
      <c r="AL13" s="3643">
        <v>260700</v>
      </c>
      <c r="AM13" s="3643">
        <v>2106.67</v>
      </c>
      <c r="AN13" s="3643">
        <v>2106.67</v>
      </c>
      <c r="AO13" s="3643">
        <v>15800</v>
      </c>
      <c r="AP13" s="3643">
        <v>15800</v>
      </c>
      <c r="AQ13" s="3643" t="s">
        <v>4552</v>
      </c>
      <c r="AR13" s="3643" t="s">
        <v>4552</v>
      </c>
      <c r="AS13" s="3643">
        <v>0</v>
      </c>
      <c r="AT13" s="3643">
        <v>40</v>
      </c>
      <c r="AU13" s="3643" t="s">
        <v>4551</v>
      </c>
      <c r="AV13" s="3643" t="s">
        <v>4552</v>
      </c>
      <c r="AW13" s="3643" t="s">
        <v>4551</v>
      </c>
      <c r="AX13" s="3643" t="s">
        <v>4552</v>
      </c>
      <c r="AY13" s="3643" t="s">
        <v>4552</v>
      </c>
      <c r="AZ13" s="3643" t="s">
        <v>4552</v>
      </c>
    </row>
    <row r="14" spans="1:52">
      <c r="A14" s="3643" t="s">
        <v>4573</v>
      </c>
      <c r="B14" s="3643" t="s">
        <v>3367</v>
      </c>
      <c r="C14" s="3643" t="s">
        <v>4574</v>
      </c>
      <c r="D14" s="3643" t="s">
        <v>4543</v>
      </c>
      <c r="E14" s="3643" t="s">
        <v>4544</v>
      </c>
      <c r="F14" s="3643" t="s">
        <v>4575</v>
      </c>
      <c r="G14" s="3643" t="s">
        <v>4576</v>
      </c>
      <c r="H14" s="3643" t="s">
        <v>4547</v>
      </c>
      <c r="I14" s="3643">
        <v>62796.800000000003</v>
      </c>
      <c r="J14" s="3643">
        <v>275500</v>
      </c>
      <c r="K14" s="3643">
        <v>4.3899999999999997</v>
      </c>
      <c r="L14" s="3643" t="s">
        <v>4548</v>
      </c>
      <c r="M14" s="3643" t="s">
        <v>4549</v>
      </c>
      <c r="N14" s="3643" t="s">
        <v>4550</v>
      </c>
      <c r="O14" s="3643" t="s">
        <v>4551</v>
      </c>
      <c r="P14" s="3643" t="s">
        <v>4552</v>
      </c>
      <c r="Q14" s="3643" t="s">
        <v>4552</v>
      </c>
      <c r="R14" s="3643" t="s">
        <v>4552</v>
      </c>
      <c r="S14" s="3643" t="s">
        <v>4552</v>
      </c>
      <c r="T14" s="3643" t="s">
        <v>4552</v>
      </c>
      <c r="U14" s="3643" t="s">
        <v>4552</v>
      </c>
      <c r="V14" s="3643" t="s">
        <v>4552</v>
      </c>
      <c r="W14" s="3643" t="s">
        <v>4552</v>
      </c>
      <c r="X14" s="3643">
        <v>0</v>
      </c>
      <c r="Y14" s="3643">
        <v>0</v>
      </c>
      <c r="Z14" s="3643">
        <v>44946.000497685185</v>
      </c>
      <c r="AA14" s="3643">
        <v>44966.000497685185</v>
      </c>
      <c r="AB14" s="3643">
        <v>44980.000497685185</v>
      </c>
      <c r="AC14" s="3644">
        <v>44980.000497685185</v>
      </c>
      <c r="AD14" s="3643" t="s">
        <v>4577</v>
      </c>
      <c r="AE14" s="3643" t="s">
        <v>4554</v>
      </c>
      <c r="AF14" s="3643" t="s">
        <v>4578</v>
      </c>
      <c r="AG14" s="3643" t="s">
        <v>4579</v>
      </c>
      <c r="AH14" s="3643" t="s">
        <v>4570</v>
      </c>
      <c r="AI14" s="3643">
        <v>635800</v>
      </c>
      <c r="AJ14" s="3643">
        <v>127500</v>
      </c>
      <c r="AK14" s="3643" t="s">
        <v>4580</v>
      </c>
      <c r="AL14" s="3643">
        <v>635800</v>
      </c>
      <c r="AM14" s="3643">
        <v>6749.81</v>
      </c>
      <c r="AN14" s="3643">
        <v>6749.81</v>
      </c>
      <c r="AO14" s="3643">
        <v>23078</v>
      </c>
      <c r="AP14" s="3643">
        <v>23078</v>
      </c>
      <c r="AQ14" s="3643" t="s">
        <v>4552</v>
      </c>
      <c r="AR14" s="3643" t="s">
        <v>4552</v>
      </c>
      <c r="AS14" s="3643">
        <v>0</v>
      </c>
      <c r="AT14" s="3643" t="s">
        <v>4559</v>
      </c>
      <c r="AU14" s="3643" t="s">
        <v>4551</v>
      </c>
      <c r="AV14" s="3643" t="s">
        <v>4552</v>
      </c>
      <c r="AW14" s="3643" t="s">
        <v>4551</v>
      </c>
      <c r="AX14" s="3643" t="s">
        <v>4552</v>
      </c>
      <c r="AY14" s="3643" t="s">
        <v>4552</v>
      </c>
      <c r="AZ14" s="3643" t="s">
        <v>4552</v>
      </c>
    </row>
    <row r="15" spans="1:52">
      <c r="A15" s="3643" t="s">
        <v>4642</v>
      </c>
      <c r="B15" s="3643" t="s">
        <v>3367</v>
      </c>
      <c r="C15" s="3643" t="s">
        <v>4643</v>
      </c>
      <c r="D15" s="3643" t="s">
        <v>4543</v>
      </c>
      <c r="E15" s="3643" t="s">
        <v>4634</v>
      </c>
      <c r="F15" s="3643" t="s">
        <v>4644</v>
      </c>
      <c r="G15" s="3643" t="s">
        <v>4645</v>
      </c>
      <c r="H15" s="3643" t="s">
        <v>4547</v>
      </c>
      <c r="I15" s="3643">
        <v>4800</v>
      </c>
      <c r="J15" s="3643">
        <v>1920</v>
      </c>
      <c r="K15" s="3643" t="s">
        <v>4646</v>
      </c>
      <c r="L15" s="3643" t="s">
        <v>4548</v>
      </c>
      <c r="M15" s="3643" t="s">
        <v>4647</v>
      </c>
      <c r="N15" s="3643" t="s">
        <v>4550</v>
      </c>
      <c r="O15" s="3643" t="s">
        <v>4551</v>
      </c>
      <c r="P15" s="3643" t="s">
        <v>4552</v>
      </c>
      <c r="Q15" s="3643" t="s">
        <v>4552</v>
      </c>
      <c r="R15" s="3643" t="s">
        <v>4552</v>
      </c>
      <c r="S15" s="3643" t="s">
        <v>4552</v>
      </c>
      <c r="T15" s="3643" t="s">
        <v>4552</v>
      </c>
      <c r="U15" s="3643" t="s">
        <v>4552</v>
      </c>
      <c r="V15" s="3643" t="s">
        <v>4552</v>
      </c>
      <c r="W15" s="3643" t="s">
        <v>4552</v>
      </c>
      <c r="X15" s="3643">
        <v>0</v>
      </c>
      <c r="Y15" s="3643">
        <v>0</v>
      </c>
      <c r="Z15" s="3643">
        <v>44911.000497685185</v>
      </c>
      <c r="AA15" s="3643">
        <v>44931.000497685185</v>
      </c>
      <c r="AB15" s="3643">
        <v>44945.000497685185</v>
      </c>
      <c r="AC15" s="3644">
        <v>44945.000497685185</v>
      </c>
      <c r="AD15" s="3643" t="s">
        <v>4648</v>
      </c>
      <c r="AE15" s="3643" t="s">
        <v>4554</v>
      </c>
      <c r="AF15" s="3643" t="s">
        <v>4649</v>
      </c>
      <c r="AG15" s="3643" t="s">
        <v>4552</v>
      </c>
      <c r="AH15" s="3643" t="s">
        <v>4552</v>
      </c>
      <c r="AI15" s="3643">
        <v>5800</v>
      </c>
      <c r="AJ15" s="3643">
        <v>1200</v>
      </c>
      <c r="AK15" s="3643" t="s">
        <v>4650</v>
      </c>
      <c r="AL15" s="3643">
        <v>5800</v>
      </c>
      <c r="AM15" s="3643">
        <v>805.56</v>
      </c>
      <c r="AN15" s="3643">
        <v>805.56</v>
      </c>
      <c r="AO15" s="3643">
        <v>30208</v>
      </c>
      <c r="AP15" s="3643">
        <v>30208</v>
      </c>
      <c r="AQ15" s="3643" t="s">
        <v>4552</v>
      </c>
      <c r="AR15" s="3643" t="s">
        <v>4552</v>
      </c>
      <c r="AS15" s="3643">
        <v>0</v>
      </c>
      <c r="AT15" s="3643" t="s">
        <v>4651</v>
      </c>
      <c r="AU15" s="3643" t="s">
        <v>4551</v>
      </c>
      <c r="AV15" s="3643" t="s">
        <v>4552</v>
      </c>
      <c r="AW15" s="3643" t="s">
        <v>4551</v>
      </c>
      <c r="AX15" s="3643" t="s">
        <v>4552</v>
      </c>
      <c r="AY15" s="3643" t="s">
        <v>4552</v>
      </c>
      <c r="AZ15" s="3643" t="s">
        <v>4552</v>
      </c>
    </row>
    <row r="16" spans="1:52">
      <c r="A16" s="3643" t="s">
        <v>4652</v>
      </c>
      <c r="B16" s="3643" t="s">
        <v>3367</v>
      </c>
      <c r="C16" s="3643" t="s">
        <v>4653</v>
      </c>
      <c r="D16" s="3643" t="s">
        <v>4543</v>
      </c>
      <c r="E16" s="3643" t="s">
        <v>4654</v>
      </c>
      <c r="F16" s="3643" t="s">
        <v>4655</v>
      </c>
      <c r="G16" s="3643" t="s">
        <v>4656</v>
      </c>
      <c r="H16" s="3643" t="s">
        <v>4547</v>
      </c>
      <c r="I16" s="3643">
        <v>46654.62</v>
      </c>
      <c r="J16" s="3643">
        <v>88643.78</v>
      </c>
      <c r="K16" s="3643">
        <v>1.9</v>
      </c>
      <c r="L16" s="3643" t="s">
        <v>4548</v>
      </c>
      <c r="M16" s="3643" t="s">
        <v>4657</v>
      </c>
      <c r="N16" s="3643" t="s">
        <v>4550</v>
      </c>
      <c r="O16" s="3643" t="s">
        <v>4551</v>
      </c>
      <c r="P16" s="3643" t="s">
        <v>4552</v>
      </c>
      <c r="Q16" s="3643" t="s">
        <v>4552</v>
      </c>
      <c r="R16" s="3643" t="s">
        <v>4552</v>
      </c>
      <c r="S16" s="3643" t="s">
        <v>4552</v>
      </c>
      <c r="T16" s="3643" t="s">
        <v>4552</v>
      </c>
      <c r="U16" s="3643" t="s">
        <v>4552</v>
      </c>
      <c r="V16" s="3643" t="s">
        <v>4552</v>
      </c>
      <c r="W16" s="3643" t="s">
        <v>4552</v>
      </c>
      <c r="X16" s="3643">
        <v>0</v>
      </c>
      <c r="Y16" s="3643">
        <v>0</v>
      </c>
      <c r="Z16" s="3643">
        <v>44901.000497685185</v>
      </c>
      <c r="AA16" s="3643">
        <v>44921.000497685185</v>
      </c>
      <c r="AB16" s="3643">
        <v>44936.000497685185</v>
      </c>
      <c r="AC16" s="3644">
        <v>44936.000497685185</v>
      </c>
      <c r="AD16" s="3643" t="s">
        <v>4658</v>
      </c>
      <c r="AE16" s="3643" t="s">
        <v>4554</v>
      </c>
      <c r="AF16" s="3643" t="s">
        <v>4659</v>
      </c>
      <c r="AG16" s="3643" t="s">
        <v>4552</v>
      </c>
      <c r="AH16" s="3643" t="s">
        <v>4552</v>
      </c>
      <c r="AI16" s="3643">
        <v>28000</v>
      </c>
      <c r="AJ16" s="3643">
        <v>6000</v>
      </c>
      <c r="AK16" s="3643" t="s">
        <v>4660</v>
      </c>
      <c r="AL16" s="3643">
        <v>28000</v>
      </c>
      <c r="AM16" s="3643">
        <v>400.1</v>
      </c>
      <c r="AN16" s="3643">
        <v>400.1</v>
      </c>
      <c r="AO16" s="3643">
        <v>3159</v>
      </c>
      <c r="AP16" s="3643">
        <v>3159</v>
      </c>
      <c r="AQ16" s="3643" t="s">
        <v>4552</v>
      </c>
      <c r="AR16" s="3643" t="s">
        <v>4552</v>
      </c>
      <c r="AS16" s="3643">
        <v>0</v>
      </c>
      <c r="AT16" s="3643" t="s">
        <v>4559</v>
      </c>
      <c r="AU16" s="3643" t="s">
        <v>4551</v>
      </c>
      <c r="AV16" s="3643" t="s">
        <v>4552</v>
      </c>
      <c r="AW16" s="3643" t="s">
        <v>4551</v>
      </c>
      <c r="AX16" s="3643" t="s">
        <v>4552</v>
      </c>
      <c r="AY16" s="3643" t="s">
        <v>4552</v>
      </c>
      <c r="AZ16" s="3643" t="s">
        <v>4552</v>
      </c>
    </row>
    <row r="17" spans="1:52">
      <c r="A17" s="3643" t="s">
        <v>4661</v>
      </c>
      <c r="B17" s="3643" t="s">
        <v>3367</v>
      </c>
      <c r="C17" s="3643" t="s">
        <v>4662</v>
      </c>
      <c r="D17" s="3643" t="s">
        <v>4543</v>
      </c>
      <c r="E17" s="3643" t="s">
        <v>4663</v>
      </c>
      <c r="F17" s="3643" t="s">
        <v>4664</v>
      </c>
      <c r="G17" s="3643" t="s">
        <v>4665</v>
      </c>
      <c r="H17" s="3643" t="s">
        <v>4547</v>
      </c>
      <c r="I17" s="3643">
        <v>64012.4</v>
      </c>
      <c r="J17" s="3643">
        <v>192037.19</v>
      </c>
      <c r="K17" s="3643">
        <v>3</v>
      </c>
      <c r="L17" s="3643" t="s">
        <v>4548</v>
      </c>
      <c r="M17" s="3643" t="s">
        <v>4666</v>
      </c>
      <c r="N17" s="3643" t="s">
        <v>4550</v>
      </c>
      <c r="O17" s="3643" t="s">
        <v>4551</v>
      </c>
      <c r="P17" s="3643" t="s">
        <v>4552</v>
      </c>
      <c r="Q17" s="3643" t="s">
        <v>4552</v>
      </c>
      <c r="R17" s="3643" t="s">
        <v>4552</v>
      </c>
      <c r="S17" s="3643" t="s">
        <v>4552</v>
      </c>
      <c r="T17" s="3643" t="s">
        <v>4552</v>
      </c>
      <c r="U17" s="3643" t="s">
        <v>4552</v>
      </c>
      <c r="V17" s="3643" t="s">
        <v>4552</v>
      </c>
      <c r="W17" s="3643" t="s">
        <v>4552</v>
      </c>
      <c r="X17" s="3643">
        <v>0</v>
      </c>
      <c r="Y17" s="3643">
        <v>0</v>
      </c>
      <c r="Z17" s="3643">
        <v>44896.000497685185</v>
      </c>
      <c r="AA17" s="3643">
        <v>44916.000497685185</v>
      </c>
      <c r="AB17" s="3643">
        <v>44931.000497685185</v>
      </c>
      <c r="AC17" s="3644">
        <v>44931.000497685185</v>
      </c>
      <c r="AD17" s="3643" t="s">
        <v>4667</v>
      </c>
      <c r="AE17" s="3643" t="s">
        <v>4554</v>
      </c>
      <c r="AF17" s="3643" t="s">
        <v>4668</v>
      </c>
      <c r="AG17" s="3643" t="s">
        <v>4669</v>
      </c>
      <c r="AH17" s="3643" t="s">
        <v>4670</v>
      </c>
      <c r="AI17" s="3643">
        <v>177000</v>
      </c>
      <c r="AJ17" s="3643">
        <v>36000</v>
      </c>
      <c r="AK17" s="3643" t="s">
        <v>4671</v>
      </c>
      <c r="AL17" s="3643">
        <v>177000</v>
      </c>
      <c r="AM17" s="3643">
        <v>1843.39</v>
      </c>
      <c r="AN17" s="3643">
        <v>1843.39</v>
      </c>
      <c r="AO17" s="3643">
        <v>9217</v>
      </c>
      <c r="AP17" s="3643">
        <v>9217</v>
      </c>
      <c r="AQ17" s="3643" t="s">
        <v>4552</v>
      </c>
      <c r="AR17" s="3643" t="s">
        <v>4552</v>
      </c>
      <c r="AS17" s="3643">
        <v>0</v>
      </c>
      <c r="AT17" s="3643" t="s">
        <v>4672</v>
      </c>
      <c r="AU17" s="3643" t="s">
        <v>4551</v>
      </c>
      <c r="AV17" s="3643" t="s">
        <v>4552</v>
      </c>
      <c r="AW17" s="3643" t="s">
        <v>4551</v>
      </c>
      <c r="AX17" s="3643" t="s">
        <v>4552</v>
      </c>
      <c r="AY17" s="3643" t="s">
        <v>4552</v>
      </c>
      <c r="AZ17" s="3643" t="s">
        <v>4552</v>
      </c>
    </row>
    <row r="18" spans="1:52">
      <c r="A18" s="3643" t="s">
        <v>4673</v>
      </c>
      <c r="B18" s="3643" t="s">
        <v>3367</v>
      </c>
      <c r="C18" s="3643" t="s">
        <v>4674</v>
      </c>
      <c r="D18" s="3643" t="s">
        <v>4543</v>
      </c>
      <c r="E18" s="3643" t="s">
        <v>4562</v>
      </c>
      <c r="F18" s="3643" t="s">
        <v>4583</v>
      </c>
      <c r="G18" s="3643" t="s">
        <v>4675</v>
      </c>
      <c r="H18" s="3643" t="s">
        <v>4547</v>
      </c>
      <c r="I18" s="3643">
        <v>32733.22</v>
      </c>
      <c r="J18" s="3643">
        <v>72013.08</v>
      </c>
      <c r="K18" s="3643">
        <v>2.2000000000000002</v>
      </c>
      <c r="L18" s="3643" t="s">
        <v>4548</v>
      </c>
      <c r="M18" s="3643" t="s">
        <v>4585</v>
      </c>
      <c r="N18" s="3643" t="s">
        <v>4550</v>
      </c>
      <c r="O18" s="3643" t="s">
        <v>4551</v>
      </c>
      <c r="P18" s="3643" t="s">
        <v>4552</v>
      </c>
      <c r="Q18" s="3643" t="s">
        <v>4552</v>
      </c>
      <c r="R18" s="3643" t="s">
        <v>4552</v>
      </c>
      <c r="S18" s="3643" t="s">
        <v>4552</v>
      </c>
      <c r="T18" s="3643" t="s">
        <v>4552</v>
      </c>
      <c r="U18" s="3643" t="s">
        <v>4552</v>
      </c>
      <c r="V18" s="3643" t="s">
        <v>4552</v>
      </c>
      <c r="W18" s="3643" t="s">
        <v>4552</v>
      </c>
      <c r="X18" s="3643">
        <v>0</v>
      </c>
      <c r="Y18" s="3643">
        <v>0</v>
      </c>
      <c r="Z18" s="3643">
        <v>44830.000497685185</v>
      </c>
      <c r="AA18" s="3643">
        <v>44851.000497685185</v>
      </c>
      <c r="AB18" s="3643">
        <v>44865.000497685185</v>
      </c>
      <c r="AC18" s="3644">
        <v>44865.000497685185</v>
      </c>
      <c r="AD18" s="3643" t="s">
        <v>4676</v>
      </c>
      <c r="AE18" s="3643" t="s">
        <v>4554</v>
      </c>
      <c r="AF18" s="3643" t="s">
        <v>4677</v>
      </c>
      <c r="AG18" s="3643" t="s">
        <v>4678</v>
      </c>
      <c r="AH18" s="3643" t="s">
        <v>4601</v>
      </c>
      <c r="AI18" s="3643">
        <v>149000</v>
      </c>
      <c r="AJ18" s="3643">
        <v>30000</v>
      </c>
      <c r="AK18" s="3643" t="s">
        <v>4679</v>
      </c>
      <c r="AL18" s="3643">
        <v>149000</v>
      </c>
      <c r="AM18" s="3643">
        <v>3034.63</v>
      </c>
      <c r="AN18" s="3643">
        <v>3034.63</v>
      </c>
      <c r="AO18" s="3643">
        <v>20691</v>
      </c>
      <c r="AP18" s="3643">
        <v>20691</v>
      </c>
      <c r="AQ18" s="3643" t="s">
        <v>4552</v>
      </c>
      <c r="AR18" s="3643" t="s">
        <v>4552</v>
      </c>
      <c r="AS18" s="3643">
        <v>0</v>
      </c>
      <c r="AT18" s="3643" t="s">
        <v>4559</v>
      </c>
      <c r="AU18" s="3643" t="s">
        <v>4551</v>
      </c>
      <c r="AV18" s="3643" t="s">
        <v>4552</v>
      </c>
      <c r="AW18" s="3643" t="s">
        <v>4551</v>
      </c>
      <c r="AX18" s="3643" t="s">
        <v>4552</v>
      </c>
      <c r="AY18" s="3643" t="s">
        <v>4552</v>
      </c>
      <c r="AZ18" s="3643" t="s">
        <v>4552</v>
      </c>
    </row>
    <row r="19" spans="1:52">
      <c r="A19" s="3643" t="s">
        <v>4680</v>
      </c>
      <c r="B19" s="3643" t="s">
        <v>3367</v>
      </c>
      <c r="C19" s="3643" t="s">
        <v>4681</v>
      </c>
      <c r="D19" s="3643" t="s">
        <v>4543</v>
      </c>
      <c r="E19" s="3643" t="s">
        <v>4562</v>
      </c>
      <c r="F19" s="3643" t="s">
        <v>4583</v>
      </c>
      <c r="G19" s="3643" t="s">
        <v>4675</v>
      </c>
      <c r="H19" s="3643" t="s">
        <v>4547</v>
      </c>
      <c r="I19" s="3643">
        <v>29506.55</v>
      </c>
      <c r="J19" s="3643">
        <v>64914.41</v>
      </c>
      <c r="K19" s="3643">
        <v>2.2000000000000002</v>
      </c>
      <c r="L19" s="3643" t="s">
        <v>4548</v>
      </c>
      <c r="M19" s="3643" t="s">
        <v>4585</v>
      </c>
      <c r="N19" s="3643" t="s">
        <v>4550</v>
      </c>
      <c r="O19" s="3643" t="s">
        <v>4551</v>
      </c>
      <c r="P19" s="3643" t="s">
        <v>4552</v>
      </c>
      <c r="Q19" s="3643" t="s">
        <v>4552</v>
      </c>
      <c r="R19" s="3643" t="s">
        <v>4552</v>
      </c>
      <c r="S19" s="3643" t="s">
        <v>4552</v>
      </c>
      <c r="T19" s="3643" t="s">
        <v>4552</v>
      </c>
      <c r="U19" s="3643" t="s">
        <v>4552</v>
      </c>
      <c r="V19" s="3643" t="s">
        <v>4552</v>
      </c>
      <c r="W19" s="3643" t="s">
        <v>4552</v>
      </c>
      <c r="X19" s="3643">
        <v>0</v>
      </c>
      <c r="Y19" s="3643">
        <v>0</v>
      </c>
      <c r="Z19" s="3643">
        <v>44830.000497685185</v>
      </c>
      <c r="AA19" s="3643">
        <v>44851.000497685185</v>
      </c>
      <c r="AB19" s="3643">
        <v>44865.000497685185</v>
      </c>
      <c r="AC19" s="3644">
        <v>44865.000497685185</v>
      </c>
      <c r="AD19" s="3643" t="s">
        <v>4682</v>
      </c>
      <c r="AE19" s="3643" t="s">
        <v>4554</v>
      </c>
      <c r="AF19" s="3643" t="s">
        <v>4683</v>
      </c>
      <c r="AG19" s="3643" t="s">
        <v>4678</v>
      </c>
      <c r="AH19" s="3643" t="s">
        <v>4601</v>
      </c>
      <c r="AI19" s="3643">
        <v>135000</v>
      </c>
      <c r="AJ19" s="3643">
        <v>27000</v>
      </c>
      <c r="AK19" s="3643" t="s">
        <v>4679</v>
      </c>
      <c r="AL19" s="3643">
        <v>135000</v>
      </c>
      <c r="AM19" s="3643">
        <v>3050.17</v>
      </c>
      <c r="AN19" s="3643">
        <v>3050.17</v>
      </c>
      <c r="AO19" s="3643">
        <v>20797</v>
      </c>
      <c r="AP19" s="3643">
        <v>20797</v>
      </c>
      <c r="AQ19" s="3643" t="s">
        <v>4552</v>
      </c>
      <c r="AR19" s="3643" t="s">
        <v>4552</v>
      </c>
      <c r="AS19" s="3643">
        <v>0</v>
      </c>
      <c r="AT19" s="3643" t="s">
        <v>4559</v>
      </c>
      <c r="AU19" s="3643" t="s">
        <v>4551</v>
      </c>
      <c r="AV19" s="3643" t="s">
        <v>4552</v>
      </c>
      <c r="AW19" s="3643" t="s">
        <v>4551</v>
      </c>
      <c r="AX19" s="3643" t="s">
        <v>4552</v>
      </c>
      <c r="AY19" s="3643" t="s">
        <v>4552</v>
      </c>
      <c r="AZ19" s="3643" t="s">
        <v>4552</v>
      </c>
    </row>
    <row r="20" spans="1:52">
      <c r="A20" s="3643" t="s">
        <v>4684</v>
      </c>
      <c r="B20" s="3643" t="s">
        <v>3367</v>
      </c>
      <c r="C20" s="3643" t="s">
        <v>4685</v>
      </c>
      <c r="D20" s="3643" t="s">
        <v>4543</v>
      </c>
      <c r="E20" s="3643" t="s">
        <v>4605</v>
      </c>
      <c r="F20" s="3643" t="s">
        <v>4606</v>
      </c>
      <c r="G20" s="3643" t="s">
        <v>4607</v>
      </c>
      <c r="H20" s="3643" t="s">
        <v>4547</v>
      </c>
      <c r="I20" s="3643">
        <v>12629.88</v>
      </c>
      <c r="J20" s="3643">
        <v>80000</v>
      </c>
      <c r="K20" s="3643" t="s">
        <v>4686</v>
      </c>
      <c r="L20" s="3643" t="s">
        <v>4548</v>
      </c>
      <c r="M20" s="3643" t="s">
        <v>4549</v>
      </c>
      <c r="N20" s="3643" t="s">
        <v>4550</v>
      </c>
      <c r="O20" s="3643" t="s">
        <v>4551</v>
      </c>
      <c r="P20" s="3643">
        <v>0.4</v>
      </c>
      <c r="Q20" s="3643" t="s">
        <v>4552</v>
      </c>
      <c r="R20" s="3643" t="s">
        <v>4552</v>
      </c>
      <c r="S20" s="3643" t="s">
        <v>4552</v>
      </c>
      <c r="T20" s="3643" t="s">
        <v>4552</v>
      </c>
      <c r="U20" s="3643" t="s">
        <v>4552</v>
      </c>
      <c r="V20" s="3643">
        <v>0</v>
      </c>
      <c r="W20" s="3643">
        <v>0</v>
      </c>
      <c r="X20" s="3643">
        <v>0</v>
      </c>
      <c r="Y20" s="3643">
        <v>0</v>
      </c>
      <c r="Z20" s="3643">
        <v>44764.000497685185</v>
      </c>
      <c r="AA20" s="3643">
        <v>44784.000497685185</v>
      </c>
      <c r="AB20" s="3643">
        <v>44798.000497685185</v>
      </c>
      <c r="AC20" s="3644">
        <v>44798.000497685185</v>
      </c>
      <c r="AD20" s="3643" t="s">
        <v>4687</v>
      </c>
      <c r="AE20" s="3643" t="s">
        <v>4554</v>
      </c>
      <c r="AF20" s="3643" t="s">
        <v>4688</v>
      </c>
      <c r="AG20" s="3643" t="s">
        <v>4689</v>
      </c>
      <c r="AH20" s="3643" t="s">
        <v>4690</v>
      </c>
      <c r="AI20" s="3643">
        <v>166000</v>
      </c>
      <c r="AJ20" s="3643">
        <v>34000</v>
      </c>
      <c r="AK20" s="3643" t="s">
        <v>4691</v>
      </c>
      <c r="AL20" s="3643">
        <v>166000</v>
      </c>
      <c r="AM20" s="3643">
        <v>8762.2900000000009</v>
      </c>
      <c r="AN20" s="3643">
        <v>8762.2900000000009</v>
      </c>
      <c r="AO20" s="3643">
        <v>20750</v>
      </c>
      <c r="AP20" s="3643">
        <v>20750</v>
      </c>
      <c r="AQ20" s="3643" t="s">
        <v>4552</v>
      </c>
      <c r="AR20" s="3643" t="s">
        <v>4552</v>
      </c>
      <c r="AS20" s="3643">
        <v>0</v>
      </c>
      <c r="AT20" s="3643" t="s">
        <v>4559</v>
      </c>
      <c r="AU20" s="3643" t="s">
        <v>4551</v>
      </c>
      <c r="AV20" s="3643" t="s">
        <v>4552</v>
      </c>
      <c r="AW20" s="3643" t="s">
        <v>4551</v>
      </c>
      <c r="AX20" s="3643" t="s">
        <v>4552</v>
      </c>
      <c r="AY20" s="3643" t="s">
        <v>4552</v>
      </c>
      <c r="AZ20" s="3643">
        <v>-20750</v>
      </c>
    </row>
    <row r="21" spans="1:52">
      <c r="A21" s="3643" t="s">
        <v>4692</v>
      </c>
      <c r="B21" s="3643" t="s">
        <v>3367</v>
      </c>
      <c r="C21" s="3643" t="s">
        <v>4693</v>
      </c>
      <c r="D21" s="3643" t="s">
        <v>4543</v>
      </c>
      <c r="E21" s="3643" t="s">
        <v>4592</v>
      </c>
      <c r="F21" s="3643" t="s">
        <v>4694</v>
      </c>
      <c r="G21" s="3643" t="s">
        <v>4695</v>
      </c>
      <c r="H21" s="3643" t="s">
        <v>4547</v>
      </c>
      <c r="I21" s="3643">
        <v>10000</v>
      </c>
      <c r="J21" s="3643">
        <v>22000</v>
      </c>
      <c r="K21" s="3643" t="s">
        <v>4696</v>
      </c>
      <c r="L21" s="3643" t="s">
        <v>4548</v>
      </c>
      <c r="M21" s="3643" t="s">
        <v>4585</v>
      </c>
      <c r="N21" s="3643" t="s">
        <v>4550</v>
      </c>
      <c r="O21" s="3643" t="s">
        <v>4551</v>
      </c>
      <c r="P21" s="3643" t="s">
        <v>4552</v>
      </c>
      <c r="Q21" s="3643" t="s">
        <v>4552</v>
      </c>
      <c r="R21" s="3643" t="s">
        <v>4552</v>
      </c>
      <c r="S21" s="3643" t="s">
        <v>4552</v>
      </c>
      <c r="T21" s="3643" t="s">
        <v>4552</v>
      </c>
      <c r="U21" s="3643" t="s">
        <v>4552</v>
      </c>
      <c r="V21" s="3643" t="s">
        <v>4552</v>
      </c>
      <c r="W21" s="3643" t="s">
        <v>4552</v>
      </c>
      <c r="X21" s="3643">
        <v>0</v>
      </c>
      <c r="Y21" s="3643">
        <v>0</v>
      </c>
      <c r="Z21" s="3643">
        <v>44760.000497685185</v>
      </c>
      <c r="AA21" s="3643">
        <v>44782.000497685185</v>
      </c>
      <c r="AB21" s="3643">
        <v>44795.000497685185</v>
      </c>
      <c r="AC21" s="3644">
        <v>44795.000497685185</v>
      </c>
      <c r="AD21" s="3643" t="s">
        <v>4697</v>
      </c>
      <c r="AE21" s="3643" t="s">
        <v>4554</v>
      </c>
      <c r="AF21" s="3643" t="s">
        <v>4698</v>
      </c>
      <c r="AG21" s="3643" t="s">
        <v>4699</v>
      </c>
      <c r="AH21" s="3643" t="s">
        <v>4552</v>
      </c>
      <c r="AI21" s="3643">
        <v>36400</v>
      </c>
      <c r="AJ21" s="3643">
        <v>7300</v>
      </c>
      <c r="AK21" s="3643" t="s">
        <v>4700</v>
      </c>
      <c r="AL21" s="3643">
        <v>36400</v>
      </c>
      <c r="AM21" s="3643">
        <v>2426.67</v>
      </c>
      <c r="AN21" s="3643">
        <v>2426.67</v>
      </c>
      <c r="AO21" s="3643">
        <v>16545</v>
      </c>
      <c r="AP21" s="3643">
        <v>16545</v>
      </c>
      <c r="AQ21" s="3643" t="s">
        <v>4552</v>
      </c>
      <c r="AR21" s="3643" t="s">
        <v>4552</v>
      </c>
      <c r="AS21" s="3643">
        <v>0</v>
      </c>
      <c r="AT21" s="3643" t="s">
        <v>4572</v>
      </c>
      <c r="AU21" s="3643" t="s">
        <v>4551</v>
      </c>
      <c r="AV21" s="3643" t="s">
        <v>4552</v>
      </c>
      <c r="AW21" s="3643" t="s">
        <v>4551</v>
      </c>
      <c r="AX21" s="3643" t="s">
        <v>4552</v>
      </c>
      <c r="AY21" s="3643" t="s">
        <v>4552</v>
      </c>
      <c r="AZ21" s="3643" t="s">
        <v>4552</v>
      </c>
    </row>
    <row r="22" spans="1:52">
      <c r="A22" s="3643" t="s">
        <v>4701</v>
      </c>
      <c r="B22" s="3643" t="s">
        <v>3367</v>
      </c>
      <c r="C22" s="3643" t="s">
        <v>4702</v>
      </c>
      <c r="D22" s="3643" t="s">
        <v>4543</v>
      </c>
      <c r="E22" s="3643" t="s">
        <v>4592</v>
      </c>
      <c r="F22" s="3643" t="s">
        <v>4694</v>
      </c>
      <c r="G22" s="3643" t="s">
        <v>4695</v>
      </c>
      <c r="H22" s="3643" t="s">
        <v>4547</v>
      </c>
      <c r="I22" s="3643">
        <v>5500</v>
      </c>
      <c r="J22" s="3643">
        <v>12100</v>
      </c>
      <c r="K22" s="3643" t="s">
        <v>4696</v>
      </c>
      <c r="L22" s="3643" t="s">
        <v>4548</v>
      </c>
      <c r="M22" s="3643" t="s">
        <v>4585</v>
      </c>
      <c r="N22" s="3643" t="s">
        <v>4550</v>
      </c>
      <c r="O22" s="3643" t="s">
        <v>4551</v>
      </c>
      <c r="P22" s="3643" t="s">
        <v>4552</v>
      </c>
      <c r="Q22" s="3643" t="s">
        <v>4552</v>
      </c>
      <c r="R22" s="3643" t="s">
        <v>4552</v>
      </c>
      <c r="S22" s="3643" t="s">
        <v>4552</v>
      </c>
      <c r="T22" s="3643" t="s">
        <v>4552</v>
      </c>
      <c r="U22" s="3643" t="s">
        <v>4552</v>
      </c>
      <c r="V22" s="3643" t="s">
        <v>4552</v>
      </c>
      <c r="W22" s="3643" t="s">
        <v>4552</v>
      </c>
      <c r="X22" s="3643">
        <v>0</v>
      </c>
      <c r="Y22" s="3643">
        <v>0</v>
      </c>
      <c r="Z22" s="3643">
        <v>44760.000497685185</v>
      </c>
      <c r="AA22" s="3643">
        <v>44782.000497685185</v>
      </c>
      <c r="AB22" s="3643">
        <v>44796.000497685185</v>
      </c>
      <c r="AC22" s="3644">
        <v>44796.000497685185</v>
      </c>
      <c r="AD22" s="3643" t="s">
        <v>4703</v>
      </c>
      <c r="AE22" s="3643" t="s">
        <v>4554</v>
      </c>
      <c r="AF22" s="3643" t="s">
        <v>4704</v>
      </c>
      <c r="AG22" s="3643" t="s">
        <v>4552</v>
      </c>
      <c r="AH22" s="3643" t="s">
        <v>4552</v>
      </c>
      <c r="AI22" s="3643">
        <v>20000</v>
      </c>
      <c r="AJ22" s="3643">
        <v>4000</v>
      </c>
      <c r="AK22" s="3643" t="s">
        <v>4700</v>
      </c>
      <c r="AL22" s="3643">
        <v>20000</v>
      </c>
      <c r="AM22" s="3643">
        <v>2424.2399999999998</v>
      </c>
      <c r="AN22" s="3643">
        <v>2424.2399999999998</v>
      </c>
      <c r="AO22" s="3643">
        <v>16529</v>
      </c>
      <c r="AP22" s="3643">
        <v>16529</v>
      </c>
      <c r="AQ22" s="3643" t="s">
        <v>4552</v>
      </c>
      <c r="AR22" s="3643" t="s">
        <v>4552</v>
      </c>
      <c r="AS22" s="3643">
        <v>0</v>
      </c>
      <c r="AT22" s="3643" t="s">
        <v>4572</v>
      </c>
      <c r="AU22" s="3643" t="s">
        <v>4551</v>
      </c>
      <c r="AV22" s="3643" t="s">
        <v>4552</v>
      </c>
      <c r="AW22" s="3643" t="s">
        <v>4551</v>
      </c>
      <c r="AX22" s="3643" t="s">
        <v>4552</v>
      </c>
      <c r="AY22" s="3643" t="s">
        <v>4552</v>
      </c>
      <c r="AZ22" s="3643" t="s">
        <v>4552</v>
      </c>
    </row>
    <row r="23" spans="1:52">
      <c r="A23" s="3643" t="s">
        <v>4705</v>
      </c>
      <c r="B23" s="3643" t="s">
        <v>3367</v>
      </c>
      <c r="C23" s="3643" t="s">
        <v>4706</v>
      </c>
      <c r="D23" s="3643" t="s">
        <v>4543</v>
      </c>
      <c r="E23" s="3643" t="s">
        <v>4592</v>
      </c>
      <c r="F23" s="3643" t="s">
        <v>4707</v>
      </c>
      <c r="G23" s="3643" t="s">
        <v>4708</v>
      </c>
      <c r="H23" s="3643" t="s">
        <v>4547</v>
      </c>
      <c r="I23" s="3643">
        <v>16122.82</v>
      </c>
      <c r="J23" s="3643">
        <v>45143.91</v>
      </c>
      <c r="K23" s="3643" t="s">
        <v>4627</v>
      </c>
      <c r="L23" s="3643" t="s">
        <v>4548</v>
      </c>
      <c r="M23" s="3643" t="s">
        <v>4585</v>
      </c>
      <c r="N23" s="3643" t="s">
        <v>4550</v>
      </c>
      <c r="O23" s="3643" t="s">
        <v>4551</v>
      </c>
      <c r="P23" s="3643" t="s">
        <v>4552</v>
      </c>
      <c r="Q23" s="3643" t="s">
        <v>4552</v>
      </c>
      <c r="R23" s="3643" t="s">
        <v>4552</v>
      </c>
      <c r="S23" s="3643" t="s">
        <v>4552</v>
      </c>
      <c r="T23" s="3643" t="s">
        <v>4552</v>
      </c>
      <c r="U23" s="3643" t="s">
        <v>4552</v>
      </c>
      <c r="V23" s="3643" t="s">
        <v>4552</v>
      </c>
      <c r="W23" s="3643" t="s">
        <v>4552</v>
      </c>
      <c r="X23" s="3643">
        <v>0</v>
      </c>
      <c r="Y23" s="3643">
        <v>0</v>
      </c>
      <c r="Z23" s="3643">
        <v>44725.000497685185</v>
      </c>
      <c r="AA23" s="3643">
        <v>44747.000497685185</v>
      </c>
      <c r="AB23" s="3643">
        <v>44761.000497685185</v>
      </c>
      <c r="AC23" s="3644">
        <v>44761.000497685185</v>
      </c>
      <c r="AD23" s="3643" t="s">
        <v>4709</v>
      </c>
      <c r="AE23" s="3643" t="s">
        <v>4554</v>
      </c>
      <c r="AF23" s="3643" t="s">
        <v>4710</v>
      </c>
      <c r="AG23" s="3643" t="s">
        <v>4711</v>
      </c>
      <c r="AH23" s="3643" t="s">
        <v>4552</v>
      </c>
      <c r="AI23" s="3643">
        <v>76000</v>
      </c>
      <c r="AJ23" s="3643">
        <v>16000</v>
      </c>
      <c r="AK23" s="3643" t="s">
        <v>4712</v>
      </c>
      <c r="AL23" s="3643">
        <v>76000</v>
      </c>
      <c r="AM23" s="3643">
        <v>3142.54</v>
      </c>
      <c r="AN23" s="3643">
        <v>3142.54</v>
      </c>
      <c r="AO23" s="3643">
        <v>16835</v>
      </c>
      <c r="AP23" s="3643">
        <v>16835</v>
      </c>
      <c r="AQ23" s="3643" t="s">
        <v>4552</v>
      </c>
      <c r="AR23" s="3643" t="s">
        <v>4552</v>
      </c>
      <c r="AS23" s="3643">
        <v>0</v>
      </c>
      <c r="AT23" s="3643" t="s">
        <v>4713</v>
      </c>
      <c r="AU23" s="3643" t="s">
        <v>4551</v>
      </c>
      <c r="AV23" s="3643" t="s">
        <v>4552</v>
      </c>
      <c r="AW23" s="3643" t="s">
        <v>4551</v>
      </c>
      <c r="AX23" s="3643" t="s">
        <v>4552</v>
      </c>
      <c r="AY23" s="3643" t="s">
        <v>4552</v>
      </c>
      <c r="AZ23" s="3643" t="s">
        <v>4552</v>
      </c>
    </row>
    <row r="24" spans="1:52">
      <c r="A24" s="3643" t="s">
        <v>4714</v>
      </c>
      <c r="B24" s="3643" t="s">
        <v>3367</v>
      </c>
      <c r="C24" s="3643" t="s">
        <v>4715</v>
      </c>
      <c r="D24" s="3643" t="s">
        <v>4543</v>
      </c>
      <c r="E24" s="3643" t="s">
        <v>4634</v>
      </c>
      <c r="F24" s="3643" t="s">
        <v>4716</v>
      </c>
      <c r="G24" s="3643" t="s">
        <v>4717</v>
      </c>
      <c r="H24" s="3643" t="s">
        <v>4547</v>
      </c>
      <c r="I24" s="3643">
        <v>17308.8</v>
      </c>
      <c r="J24" s="3643">
        <v>86544</v>
      </c>
      <c r="K24" s="3643" t="s">
        <v>4718</v>
      </c>
      <c r="L24" s="3643" t="s">
        <v>4548</v>
      </c>
      <c r="M24" s="3643" t="s">
        <v>4585</v>
      </c>
      <c r="N24" s="3643" t="s">
        <v>4550</v>
      </c>
      <c r="O24" s="3643" t="s">
        <v>4551</v>
      </c>
      <c r="P24" s="3643" t="s">
        <v>4719</v>
      </c>
      <c r="Q24" s="3643">
        <v>100</v>
      </c>
      <c r="R24" s="3643" t="s">
        <v>4552</v>
      </c>
      <c r="S24" s="3643" t="s">
        <v>4552</v>
      </c>
      <c r="T24" s="3643" t="s">
        <v>4552</v>
      </c>
      <c r="U24" s="3643" t="s">
        <v>4552</v>
      </c>
      <c r="V24" s="3643" t="s">
        <v>4552</v>
      </c>
      <c r="W24" s="3643" t="s">
        <v>4552</v>
      </c>
      <c r="X24" s="3643">
        <v>0</v>
      </c>
      <c r="Y24" s="3643">
        <v>0</v>
      </c>
      <c r="Z24" s="3643">
        <v>44701.000497685185</v>
      </c>
      <c r="AA24" s="3643">
        <v>44721.000497685185</v>
      </c>
      <c r="AB24" s="3643">
        <v>44735.000497685185</v>
      </c>
      <c r="AC24" s="3644">
        <v>44735.000497685185</v>
      </c>
      <c r="AD24" s="3643" t="s">
        <v>4720</v>
      </c>
      <c r="AE24" s="3643" t="s">
        <v>4554</v>
      </c>
      <c r="AF24" s="3643" t="s">
        <v>4721</v>
      </c>
      <c r="AG24" s="3643" t="s">
        <v>4722</v>
      </c>
      <c r="AH24" s="3643" t="s">
        <v>4552</v>
      </c>
      <c r="AI24" s="3643">
        <v>91400</v>
      </c>
      <c r="AJ24" s="3643">
        <v>18300</v>
      </c>
      <c r="AK24" s="3643" t="s">
        <v>4723</v>
      </c>
      <c r="AL24" s="3643">
        <v>91400</v>
      </c>
      <c r="AM24" s="3643">
        <v>3520.37</v>
      </c>
      <c r="AN24" s="3643">
        <v>3520.37</v>
      </c>
      <c r="AO24" s="3643">
        <v>10561</v>
      </c>
      <c r="AP24" s="3643">
        <v>10561</v>
      </c>
      <c r="AQ24" s="3643" t="s">
        <v>4552</v>
      </c>
      <c r="AR24" s="3643" t="s">
        <v>4552</v>
      </c>
      <c r="AS24" s="3643">
        <v>0</v>
      </c>
      <c r="AT24" s="3643" t="s">
        <v>4724</v>
      </c>
      <c r="AU24" s="3643" t="s">
        <v>4551</v>
      </c>
      <c r="AV24" s="3643" t="s">
        <v>4552</v>
      </c>
      <c r="AW24" s="3643" t="s">
        <v>4551</v>
      </c>
      <c r="AX24" s="3643" t="s">
        <v>4552</v>
      </c>
      <c r="AY24" s="3643" t="s">
        <v>4552</v>
      </c>
      <c r="AZ24" s="3643" t="s">
        <v>4552</v>
      </c>
    </row>
    <row r="25" spans="1:52">
      <c r="A25" s="3643" t="s">
        <v>4725</v>
      </c>
      <c r="B25" s="3643" t="s">
        <v>3367</v>
      </c>
      <c r="C25" s="3643" t="s">
        <v>4726</v>
      </c>
      <c r="D25" s="3643" t="s">
        <v>4543</v>
      </c>
      <c r="E25" s="3643" t="s">
        <v>4634</v>
      </c>
      <c r="F25" s="3643" t="s">
        <v>4727</v>
      </c>
      <c r="G25" s="3643" t="s">
        <v>4645</v>
      </c>
      <c r="H25" s="3643" t="s">
        <v>4547</v>
      </c>
      <c r="I25" s="3643">
        <v>59169.74</v>
      </c>
      <c r="J25" s="3643">
        <v>130173.43</v>
      </c>
      <c r="K25" s="3643" t="s">
        <v>4696</v>
      </c>
      <c r="L25" s="3643" t="s">
        <v>4548</v>
      </c>
      <c r="M25" s="3643" t="s">
        <v>4585</v>
      </c>
      <c r="N25" s="3643" t="s">
        <v>4550</v>
      </c>
      <c r="O25" s="3643" t="s">
        <v>4551</v>
      </c>
      <c r="P25" s="3643" t="s">
        <v>4552</v>
      </c>
      <c r="Q25" s="3643" t="s">
        <v>4552</v>
      </c>
      <c r="R25" s="3643" t="s">
        <v>4552</v>
      </c>
      <c r="S25" s="3643" t="s">
        <v>4552</v>
      </c>
      <c r="T25" s="3643" t="s">
        <v>4552</v>
      </c>
      <c r="U25" s="3643" t="s">
        <v>4552</v>
      </c>
      <c r="V25" s="3643" t="s">
        <v>4552</v>
      </c>
      <c r="W25" s="3643" t="s">
        <v>4552</v>
      </c>
      <c r="X25" s="3643">
        <v>0</v>
      </c>
      <c r="Y25" s="3643">
        <v>0</v>
      </c>
      <c r="Z25" s="3643">
        <v>44648.000497685185</v>
      </c>
      <c r="AA25" s="3643">
        <v>44669.000497685185</v>
      </c>
      <c r="AB25" s="3643">
        <v>44680.000497685185</v>
      </c>
      <c r="AC25" s="3644">
        <v>44680.000497685185</v>
      </c>
      <c r="AD25" s="3643" t="s">
        <v>4728</v>
      </c>
      <c r="AE25" s="3643" t="s">
        <v>4554</v>
      </c>
      <c r="AF25" s="3643" t="s">
        <v>4729</v>
      </c>
      <c r="AG25" s="3643" t="s">
        <v>4730</v>
      </c>
      <c r="AH25" s="3643" t="s">
        <v>4601</v>
      </c>
      <c r="AI25" s="3643">
        <v>131600</v>
      </c>
      <c r="AJ25" s="3643">
        <v>27000</v>
      </c>
      <c r="AK25" s="3643" t="s">
        <v>4731</v>
      </c>
      <c r="AL25" s="3643">
        <v>131600</v>
      </c>
      <c r="AM25" s="3643">
        <v>1482.74</v>
      </c>
      <c r="AN25" s="3643">
        <v>1482.74</v>
      </c>
      <c r="AO25" s="3643">
        <v>10110</v>
      </c>
      <c r="AP25" s="3643">
        <v>10110</v>
      </c>
      <c r="AQ25" s="3643" t="s">
        <v>4552</v>
      </c>
      <c r="AR25" s="3643" t="s">
        <v>4552</v>
      </c>
      <c r="AS25" s="3643">
        <v>0</v>
      </c>
      <c r="AT25" s="3643" t="s">
        <v>4559</v>
      </c>
      <c r="AU25" s="3643" t="s">
        <v>4551</v>
      </c>
      <c r="AV25" s="3643" t="s">
        <v>4552</v>
      </c>
      <c r="AW25" s="3643" t="s">
        <v>4551</v>
      </c>
      <c r="AX25" s="3643" t="s">
        <v>4552</v>
      </c>
      <c r="AY25" s="3643" t="s">
        <v>4552</v>
      </c>
      <c r="AZ25" s="3643" t="s">
        <v>4552</v>
      </c>
    </row>
    <row r="26" spans="1:52">
      <c r="A26" s="3643" t="s">
        <v>4732</v>
      </c>
      <c r="B26" s="3643" t="s">
        <v>3367</v>
      </c>
      <c r="C26" s="3643" t="s">
        <v>4733</v>
      </c>
      <c r="D26" s="3643" t="s">
        <v>4543</v>
      </c>
      <c r="E26" s="3643" t="s">
        <v>4634</v>
      </c>
      <c r="F26" s="3643" t="s">
        <v>4644</v>
      </c>
      <c r="G26" s="3643" t="s">
        <v>4734</v>
      </c>
      <c r="H26" s="3643" t="s">
        <v>4547</v>
      </c>
      <c r="I26" s="3643">
        <v>12066.9</v>
      </c>
      <c r="J26" s="3643">
        <v>18100.349999999999</v>
      </c>
      <c r="K26" s="3643">
        <v>1.5</v>
      </c>
      <c r="L26" s="3643" t="s">
        <v>4548</v>
      </c>
      <c r="M26" s="3643" t="s">
        <v>4549</v>
      </c>
      <c r="N26" s="3643" t="s">
        <v>4550</v>
      </c>
      <c r="O26" s="3643" t="s">
        <v>4551</v>
      </c>
      <c r="P26" s="3643" t="s">
        <v>4735</v>
      </c>
      <c r="Q26" s="3643" t="s">
        <v>4736</v>
      </c>
      <c r="R26" s="3643" t="s">
        <v>4552</v>
      </c>
      <c r="S26" s="3643" t="s">
        <v>4552</v>
      </c>
      <c r="T26" s="3643" t="s">
        <v>4552</v>
      </c>
      <c r="U26" s="3643" t="s">
        <v>4552</v>
      </c>
      <c r="V26" s="3643">
        <v>0</v>
      </c>
      <c r="W26" s="3643">
        <v>0</v>
      </c>
      <c r="X26" s="3643">
        <v>0</v>
      </c>
      <c r="Y26" s="3643">
        <v>0</v>
      </c>
      <c r="Z26" s="3643">
        <v>44587.000497685185</v>
      </c>
      <c r="AA26" s="3643">
        <v>44607.000497685185</v>
      </c>
      <c r="AB26" s="3643">
        <v>44621.000497685185</v>
      </c>
      <c r="AC26" s="3644">
        <v>44621.000497685185</v>
      </c>
      <c r="AD26" s="3643" t="s">
        <v>4737</v>
      </c>
      <c r="AE26" s="3643" t="s">
        <v>4554</v>
      </c>
      <c r="AF26" s="3643" t="s">
        <v>4729</v>
      </c>
      <c r="AG26" s="3643" t="s">
        <v>4552</v>
      </c>
      <c r="AH26" s="3643" t="s">
        <v>4552</v>
      </c>
      <c r="AI26" s="3643">
        <v>9400</v>
      </c>
      <c r="AJ26" s="3643">
        <v>1900</v>
      </c>
      <c r="AK26" s="3643" t="s">
        <v>633</v>
      </c>
      <c r="AL26" s="3643">
        <v>9400</v>
      </c>
      <c r="AM26" s="3643">
        <v>519.33000000000004</v>
      </c>
      <c r="AN26" s="3643">
        <v>519.33000000000004</v>
      </c>
      <c r="AO26" s="3643">
        <v>5193</v>
      </c>
      <c r="AP26" s="3643">
        <v>5193</v>
      </c>
      <c r="AQ26" s="3643" t="s">
        <v>4552</v>
      </c>
      <c r="AR26" s="3643" t="s">
        <v>4552</v>
      </c>
      <c r="AS26" s="3643">
        <v>0</v>
      </c>
      <c r="AT26" s="3643" t="s">
        <v>4738</v>
      </c>
      <c r="AU26" s="3643" t="s">
        <v>4551</v>
      </c>
      <c r="AV26" s="3643" t="s">
        <v>4552</v>
      </c>
      <c r="AW26" s="3643" t="s">
        <v>4551</v>
      </c>
      <c r="AX26" s="3643" t="s">
        <v>4552</v>
      </c>
      <c r="AY26" s="3643" t="s">
        <v>4552</v>
      </c>
      <c r="AZ26" s="3643" t="s">
        <v>4552</v>
      </c>
    </row>
    <row r="27" spans="1:52">
      <c r="A27" s="3643" t="s">
        <v>4739</v>
      </c>
      <c r="B27" s="3643" t="s">
        <v>3367</v>
      </c>
      <c r="C27" s="3643" t="s">
        <v>4740</v>
      </c>
      <c r="D27" s="3643" t="s">
        <v>4543</v>
      </c>
      <c r="E27" s="3643" t="s">
        <v>4634</v>
      </c>
      <c r="F27" s="3643" t="s">
        <v>4741</v>
      </c>
      <c r="G27" s="3643" t="s">
        <v>4742</v>
      </c>
      <c r="H27" s="3643" t="s">
        <v>4547</v>
      </c>
      <c r="I27" s="3643">
        <v>15178.6</v>
      </c>
      <c r="J27" s="3643">
        <v>45535.8</v>
      </c>
      <c r="K27" s="3643">
        <v>3</v>
      </c>
      <c r="L27" s="3643" t="s">
        <v>4548</v>
      </c>
      <c r="M27" s="3643" t="s">
        <v>4585</v>
      </c>
      <c r="N27" s="3643" t="s">
        <v>4550</v>
      </c>
      <c r="O27" s="3643" t="s">
        <v>4551</v>
      </c>
      <c r="P27" s="3643" t="s">
        <v>4552</v>
      </c>
      <c r="Q27" s="3643" t="s">
        <v>4552</v>
      </c>
      <c r="R27" s="3643" t="s">
        <v>4552</v>
      </c>
      <c r="S27" s="3643" t="s">
        <v>4552</v>
      </c>
      <c r="T27" s="3643" t="s">
        <v>4552</v>
      </c>
      <c r="U27" s="3643" t="s">
        <v>4552</v>
      </c>
      <c r="V27" s="3643" t="s">
        <v>4552</v>
      </c>
      <c r="W27" s="3643" t="s">
        <v>4552</v>
      </c>
      <c r="X27" s="3643">
        <v>0</v>
      </c>
      <c r="Y27" s="3643">
        <v>0</v>
      </c>
      <c r="Z27" s="3643">
        <v>44561.000497685185</v>
      </c>
      <c r="AA27" s="3643">
        <v>44581.000497685185</v>
      </c>
      <c r="AB27" s="3643">
        <v>44600.000497685185</v>
      </c>
      <c r="AC27" s="3644">
        <v>44600.000497685185</v>
      </c>
      <c r="AD27" s="3643" t="s">
        <v>4743</v>
      </c>
      <c r="AE27" s="3643" t="s">
        <v>4554</v>
      </c>
      <c r="AF27" s="3643" t="s">
        <v>4744</v>
      </c>
      <c r="AG27" s="3643" t="s">
        <v>4745</v>
      </c>
      <c r="AH27" s="3643" t="s">
        <v>4601</v>
      </c>
      <c r="AI27" s="3643">
        <v>58400</v>
      </c>
      <c r="AJ27" s="3643">
        <v>11700</v>
      </c>
      <c r="AK27" s="3643" t="s">
        <v>633</v>
      </c>
      <c r="AL27" s="3643">
        <v>58400</v>
      </c>
      <c r="AM27" s="3643">
        <v>2565.0100000000002</v>
      </c>
      <c r="AN27" s="3643">
        <v>2565.0100000000002</v>
      </c>
      <c r="AO27" s="3643">
        <v>12825</v>
      </c>
      <c r="AP27" s="3643">
        <v>12825</v>
      </c>
      <c r="AQ27" s="3643" t="s">
        <v>4552</v>
      </c>
      <c r="AR27" s="3643" t="s">
        <v>4552</v>
      </c>
      <c r="AS27" s="3643">
        <v>0</v>
      </c>
      <c r="AT27" s="3643" t="s">
        <v>4572</v>
      </c>
      <c r="AU27" s="3643" t="s">
        <v>4551</v>
      </c>
      <c r="AV27" s="3643" t="s">
        <v>4552</v>
      </c>
      <c r="AW27" s="3643" t="s">
        <v>4551</v>
      </c>
      <c r="AX27" s="3643" t="s">
        <v>4552</v>
      </c>
      <c r="AY27" s="3643" t="s">
        <v>4552</v>
      </c>
      <c r="AZ27" s="3643" t="s">
        <v>4552</v>
      </c>
    </row>
    <row r="28" spans="1:52">
      <c r="A28" s="3643" t="s">
        <v>4746</v>
      </c>
      <c r="B28" s="3643" t="s">
        <v>3367</v>
      </c>
      <c r="C28" s="3643" t="s">
        <v>4747</v>
      </c>
      <c r="D28" s="3643" t="s">
        <v>4543</v>
      </c>
      <c r="E28" s="3643" t="s">
        <v>4748</v>
      </c>
      <c r="F28" s="3643" t="s">
        <v>4749</v>
      </c>
      <c r="G28" s="3643" t="s">
        <v>4750</v>
      </c>
      <c r="H28" s="3643" t="s">
        <v>4547</v>
      </c>
      <c r="I28" s="3643">
        <v>19258.580000000002</v>
      </c>
      <c r="J28" s="3643">
        <v>38517.17</v>
      </c>
      <c r="K28" s="3643">
        <v>2</v>
      </c>
      <c r="L28" s="3643" t="s">
        <v>4548</v>
      </c>
      <c r="M28" s="3643" t="s">
        <v>4585</v>
      </c>
      <c r="N28" s="3643" t="s">
        <v>4550</v>
      </c>
      <c r="O28" s="3643" t="s">
        <v>4551</v>
      </c>
      <c r="P28" s="3643" t="s">
        <v>4552</v>
      </c>
      <c r="Q28" s="3643" t="s">
        <v>4751</v>
      </c>
      <c r="R28" s="3643" t="s">
        <v>4552</v>
      </c>
      <c r="S28" s="3643" t="s">
        <v>4552</v>
      </c>
      <c r="T28" s="3643" t="s">
        <v>4552</v>
      </c>
      <c r="U28" s="3643" t="s">
        <v>4552</v>
      </c>
      <c r="V28" s="3643" t="s">
        <v>4552</v>
      </c>
      <c r="W28" s="3643" t="s">
        <v>4552</v>
      </c>
      <c r="X28" s="3643">
        <v>0</v>
      </c>
      <c r="Y28" s="3643">
        <v>0</v>
      </c>
      <c r="Z28" s="3643">
        <v>44546.000497685185</v>
      </c>
      <c r="AA28" s="3643">
        <v>44566.000497685185</v>
      </c>
      <c r="AB28" s="3643">
        <v>44580.000497685185</v>
      </c>
      <c r="AC28" s="3644">
        <v>44580.000497685185</v>
      </c>
      <c r="AD28" s="3643" t="s">
        <v>4752</v>
      </c>
      <c r="AE28" s="3643" t="s">
        <v>4554</v>
      </c>
      <c r="AF28" s="3643" t="s">
        <v>4753</v>
      </c>
      <c r="AG28" s="3643" t="s">
        <v>4552</v>
      </c>
      <c r="AH28" s="3643" t="s">
        <v>4552</v>
      </c>
      <c r="AI28" s="3643">
        <v>28400</v>
      </c>
      <c r="AJ28" s="3643">
        <v>5700</v>
      </c>
      <c r="AK28" s="3643" t="s">
        <v>4754</v>
      </c>
      <c r="AL28" s="3643">
        <v>28400</v>
      </c>
      <c r="AM28" s="3643">
        <v>983.11</v>
      </c>
      <c r="AN28" s="3643">
        <v>983.11</v>
      </c>
      <c r="AO28" s="3643">
        <v>7373</v>
      </c>
      <c r="AP28" s="3643">
        <v>7373</v>
      </c>
      <c r="AQ28" s="3643" t="s">
        <v>4552</v>
      </c>
      <c r="AR28" s="3643" t="s">
        <v>4552</v>
      </c>
      <c r="AS28" s="3643">
        <v>0</v>
      </c>
      <c r="AT28" s="3643" t="s">
        <v>4572</v>
      </c>
      <c r="AU28" s="3643" t="s">
        <v>4551</v>
      </c>
      <c r="AV28" s="3643" t="s">
        <v>4552</v>
      </c>
      <c r="AW28" s="3643" t="s">
        <v>4551</v>
      </c>
      <c r="AX28" s="3643" t="s">
        <v>4552</v>
      </c>
      <c r="AY28" s="3643" t="s">
        <v>4552</v>
      </c>
      <c r="AZ28" s="3643" t="s">
        <v>4552</v>
      </c>
    </row>
    <row r="29" spans="1:52">
      <c r="A29" s="3643" t="s">
        <v>4755</v>
      </c>
      <c r="B29" s="3643" t="s">
        <v>3367</v>
      </c>
      <c r="C29" s="3643" t="s">
        <v>4756</v>
      </c>
      <c r="D29" s="3643" t="s">
        <v>4543</v>
      </c>
      <c r="E29" s="3643" t="s">
        <v>4748</v>
      </c>
      <c r="F29" s="3643" t="s">
        <v>4749</v>
      </c>
      <c r="G29" s="3643" t="s">
        <v>4750</v>
      </c>
      <c r="H29" s="3643" t="s">
        <v>4547</v>
      </c>
      <c r="I29" s="3643">
        <v>28547.88</v>
      </c>
      <c r="J29" s="3643">
        <v>51828.53</v>
      </c>
      <c r="K29" s="3643">
        <v>1.82</v>
      </c>
      <c r="L29" s="3643" t="s">
        <v>4548</v>
      </c>
      <c r="M29" s="3643" t="s">
        <v>4585</v>
      </c>
      <c r="N29" s="3643" t="s">
        <v>4550</v>
      </c>
      <c r="O29" s="3643" t="s">
        <v>4551</v>
      </c>
      <c r="P29" s="3643" t="s">
        <v>4552</v>
      </c>
      <c r="Q29" s="3643" t="s">
        <v>4757</v>
      </c>
      <c r="R29" s="3643" t="s">
        <v>4552</v>
      </c>
      <c r="S29" s="3643" t="s">
        <v>4552</v>
      </c>
      <c r="T29" s="3643" t="s">
        <v>4552</v>
      </c>
      <c r="U29" s="3643" t="s">
        <v>4552</v>
      </c>
      <c r="V29" s="3643" t="s">
        <v>4552</v>
      </c>
      <c r="W29" s="3643" t="s">
        <v>4552</v>
      </c>
      <c r="X29" s="3643">
        <v>0</v>
      </c>
      <c r="Y29" s="3643">
        <v>0</v>
      </c>
      <c r="Z29" s="3643">
        <v>44546.000497685185</v>
      </c>
      <c r="AA29" s="3643">
        <v>44566.000497685185</v>
      </c>
      <c r="AB29" s="3643">
        <v>44580.000497685185</v>
      </c>
      <c r="AC29" s="3644">
        <v>44580.000497685185</v>
      </c>
      <c r="AD29" s="3643" t="s">
        <v>4758</v>
      </c>
      <c r="AE29" s="3643" t="s">
        <v>4554</v>
      </c>
      <c r="AF29" s="3643" t="s">
        <v>4759</v>
      </c>
      <c r="AG29" s="3643" t="s">
        <v>4760</v>
      </c>
      <c r="AH29" s="3643" t="s">
        <v>4601</v>
      </c>
      <c r="AI29" s="3643">
        <v>37700</v>
      </c>
      <c r="AJ29" s="3643">
        <v>7600</v>
      </c>
      <c r="AK29" s="3643" t="s">
        <v>4754</v>
      </c>
      <c r="AL29" s="3643">
        <v>37700</v>
      </c>
      <c r="AM29" s="3643">
        <v>880.39</v>
      </c>
      <c r="AN29" s="3643">
        <v>880.39</v>
      </c>
      <c r="AO29" s="3643">
        <v>7274</v>
      </c>
      <c r="AP29" s="3643">
        <v>7274</v>
      </c>
      <c r="AQ29" s="3643" t="s">
        <v>4552</v>
      </c>
      <c r="AR29" s="3643" t="s">
        <v>4552</v>
      </c>
      <c r="AS29" s="3643">
        <v>0</v>
      </c>
      <c r="AT29" s="3643" t="s">
        <v>4572</v>
      </c>
      <c r="AU29" s="3643" t="s">
        <v>4551</v>
      </c>
      <c r="AV29" s="3643" t="s">
        <v>4552</v>
      </c>
      <c r="AW29" s="3643" t="s">
        <v>4551</v>
      </c>
      <c r="AX29" s="3643" t="s">
        <v>4552</v>
      </c>
      <c r="AY29" s="3643" t="s">
        <v>4552</v>
      </c>
      <c r="AZ29" s="3643" t="s">
        <v>4552</v>
      </c>
    </row>
    <row r="30" spans="1:52">
      <c r="A30" s="3643" t="s">
        <v>4761</v>
      </c>
      <c r="B30" s="3643" t="s">
        <v>3367</v>
      </c>
      <c r="C30" s="3643" t="s">
        <v>4762</v>
      </c>
      <c r="D30" s="3643" t="s">
        <v>4543</v>
      </c>
      <c r="E30" s="3643" t="s">
        <v>4592</v>
      </c>
      <c r="F30" s="3643" t="s">
        <v>4763</v>
      </c>
      <c r="G30" s="3643" t="s">
        <v>4764</v>
      </c>
      <c r="H30" s="3643" t="s">
        <v>4547</v>
      </c>
      <c r="I30" s="3643">
        <v>29991.73</v>
      </c>
      <c r="J30" s="3643">
        <v>119966.93</v>
      </c>
      <c r="K30" s="3643">
        <v>4</v>
      </c>
      <c r="L30" s="3643" t="s">
        <v>4548</v>
      </c>
      <c r="M30" s="3643" t="s">
        <v>4585</v>
      </c>
      <c r="N30" s="3643" t="s">
        <v>4550</v>
      </c>
      <c r="O30" s="3643" t="s">
        <v>4551</v>
      </c>
      <c r="P30" s="3643" t="s">
        <v>4552</v>
      </c>
      <c r="Q30" s="3643">
        <v>100</v>
      </c>
      <c r="R30" s="3643" t="s">
        <v>4552</v>
      </c>
      <c r="S30" s="3643" t="s">
        <v>4552</v>
      </c>
      <c r="T30" s="3643" t="s">
        <v>4552</v>
      </c>
      <c r="U30" s="3643" t="s">
        <v>4552</v>
      </c>
      <c r="V30" s="3643" t="s">
        <v>4552</v>
      </c>
      <c r="W30" s="3643" t="s">
        <v>4552</v>
      </c>
      <c r="X30" s="3643">
        <v>0</v>
      </c>
      <c r="Y30" s="3643">
        <v>0</v>
      </c>
      <c r="Z30" s="3643">
        <v>44531.000497685185</v>
      </c>
      <c r="AA30" s="3643">
        <v>44551.000497685185</v>
      </c>
      <c r="AB30" s="3643">
        <v>44566.000497685185</v>
      </c>
      <c r="AC30" s="3644">
        <v>44566.000497685185</v>
      </c>
      <c r="AD30" s="3643" t="s">
        <v>4765</v>
      </c>
      <c r="AE30" s="3643" t="s">
        <v>4554</v>
      </c>
      <c r="AF30" s="3643" t="s">
        <v>4766</v>
      </c>
      <c r="AG30" s="3643" t="s">
        <v>4552</v>
      </c>
      <c r="AH30" s="3643" t="s">
        <v>4552</v>
      </c>
      <c r="AI30" s="3643">
        <v>165300</v>
      </c>
      <c r="AJ30" s="3643">
        <v>33100</v>
      </c>
      <c r="AK30" s="3643" t="s">
        <v>633</v>
      </c>
      <c r="AL30" s="3643">
        <v>165300</v>
      </c>
      <c r="AM30" s="3643">
        <v>3674.35</v>
      </c>
      <c r="AN30" s="3643">
        <v>3674.35</v>
      </c>
      <c r="AO30" s="3643">
        <v>13779</v>
      </c>
      <c r="AP30" s="3643">
        <v>13779</v>
      </c>
      <c r="AQ30" s="3643" t="s">
        <v>4552</v>
      </c>
      <c r="AR30" s="3643" t="s">
        <v>4552</v>
      </c>
      <c r="AS30" s="3643">
        <v>0</v>
      </c>
      <c r="AT30" s="3643" t="s">
        <v>4767</v>
      </c>
      <c r="AU30" s="3643" t="s">
        <v>4551</v>
      </c>
      <c r="AV30" s="3643" t="s">
        <v>4552</v>
      </c>
      <c r="AW30" s="3643" t="s">
        <v>4551</v>
      </c>
      <c r="AX30" s="3643" t="s">
        <v>4552</v>
      </c>
      <c r="AY30" s="3643" t="s">
        <v>4552</v>
      </c>
      <c r="AZ30" s="3643" t="s">
        <v>4552</v>
      </c>
    </row>
    <row r="31" spans="1:52">
      <c r="A31" s="3643" t="s">
        <v>4768</v>
      </c>
      <c r="B31" s="3643" t="s">
        <v>3367</v>
      </c>
      <c r="C31" s="3643" t="s">
        <v>4769</v>
      </c>
      <c r="D31" s="3643" t="s">
        <v>4543</v>
      </c>
      <c r="E31" s="3643" t="s">
        <v>4634</v>
      </c>
      <c r="F31" s="3643" t="s">
        <v>4770</v>
      </c>
      <c r="G31" s="3643" t="s">
        <v>4771</v>
      </c>
      <c r="H31" s="3643" t="s">
        <v>4547</v>
      </c>
      <c r="I31" s="3643">
        <v>15197.52</v>
      </c>
      <c r="J31" s="3643">
        <v>30395.05</v>
      </c>
      <c r="K31" s="3643">
        <v>2</v>
      </c>
      <c r="L31" s="3643" t="s">
        <v>4548</v>
      </c>
      <c r="M31" s="3643" t="s">
        <v>4772</v>
      </c>
      <c r="N31" s="3643" t="s">
        <v>4773</v>
      </c>
      <c r="O31" s="3643" t="s">
        <v>4551</v>
      </c>
      <c r="P31" s="3643" t="s">
        <v>4552</v>
      </c>
      <c r="Q31" s="3643">
        <v>36</v>
      </c>
      <c r="R31" s="3643" t="s">
        <v>4552</v>
      </c>
      <c r="S31" s="3643" t="s">
        <v>4552</v>
      </c>
      <c r="T31" s="3643" t="s">
        <v>4552</v>
      </c>
      <c r="U31" s="3643" t="s">
        <v>4552</v>
      </c>
      <c r="V31" s="3643" t="s">
        <v>4552</v>
      </c>
      <c r="W31" s="3643" t="s">
        <v>4552</v>
      </c>
      <c r="X31" s="3643">
        <v>0</v>
      </c>
      <c r="Y31" s="3643">
        <v>0</v>
      </c>
      <c r="Z31" s="3643">
        <v>44519.000497685185</v>
      </c>
      <c r="AA31" s="3643">
        <v>44540.000497685185</v>
      </c>
      <c r="AB31" s="3643">
        <v>44554.000497685185</v>
      </c>
      <c r="AC31" s="3644">
        <v>44554.000497685185</v>
      </c>
      <c r="AD31" s="3643" t="s">
        <v>4774</v>
      </c>
      <c r="AE31" s="3643" t="s">
        <v>4554</v>
      </c>
      <c r="AF31" s="3643" t="s">
        <v>4775</v>
      </c>
      <c r="AG31" s="3643" t="s">
        <v>4776</v>
      </c>
      <c r="AH31" s="3643" t="s">
        <v>4601</v>
      </c>
      <c r="AI31" s="3643">
        <v>42600</v>
      </c>
      <c r="AJ31" s="3643">
        <v>8600</v>
      </c>
      <c r="AK31" s="3643" t="s">
        <v>4777</v>
      </c>
      <c r="AL31" s="3643">
        <v>42600</v>
      </c>
      <c r="AM31" s="3643">
        <v>1868.73</v>
      </c>
      <c r="AN31" s="3643">
        <v>1868.73</v>
      </c>
      <c r="AO31" s="3643">
        <v>14015</v>
      </c>
      <c r="AP31" s="3643">
        <v>14015</v>
      </c>
      <c r="AQ31" s="3643" t="s">
        <v>4552</v>
      </c>
      <c r="AR31" s="3643" t="s">
        <v>4552</v>
      </c>
      <c r="AS31" s="3643">
        <v>0</v>
      </c>
      <c r="AT31" s="3643" t="s">
        <v>4572</v>
      </c>
      <c r="AU31" s="3643" t="s">
        <v>4551</v>
      </c>
      <c r="AV31" s="3643" t="s">
        <v>4552</v>
      </c>
      <c r="AW31" s="3643" t="s">
        <v>4551</v>
      </c>
      <c r="AX31" s="3643" t="s">
        <v>4552</v>
      </c>
      <c r="AY31" s="3643" t="s">
        <v>4552</v>
      </c>
      <c r="AZ31" s="3643" t="s">
        <v>4552</v>
      </c>
    </row>
    <row r="32" spans="1:52">
      <c r="A32" s="3643" t="s">
        <v>4778</v>
      </c>
      <c r="B32" s="3643" t="s">
        <v>3367</v>
      </c>
      <c r="C32" s="3643" t="s">
        <v>4779</v>
      </c>
      <c r="D32" s="3643" t="s">
        <v>4543</v>
      </c>
      <c r="E32" s="3643" t="s">
        <v>4562</v>
      </c>
      <c r="F32" s="3643" t="s">
        <v>4583</v>
      </c>
      <c r="G32" s="3643" t="s">
        <v>4780</v>
      </c>
      <c r="H32" s="3643" t="s">
        <v>4547</v>
      </c>
      <c r="I32" s="3643">
        <v>38252.550000000003</v>
      </c>
      <c r="J32" s="3643">
        <v>84155.61</v>
      </c>
      <c r="K32" s="3643">
        <v>2.2000000000000002</v>
      </c>
      <c r="L32" s="3643" t="s">
        <v>4548</v>
      </c>
      <c r="M32" s="3643" t="s">
        <v>4585</v>
      </c>
      <c r="N32" s="3643" t="s">
        <v>4550</v>
      </c>
      <c r="O32" s="3643" t="s">
        <v>4551</v>
      </c>
      <c r="P32" s="3643" t="s">
        <v>4552</v>
      </c>
      <c r="Q32" s="3643">
        <v>45</v>
      </c>
      <c r="R32" s="3643" t="s">
        <v>4552</v>
      </c>
      <c r="S32" s="3643" t="s">
        <v>4552</v>
      </c>
      <c r="T32" s="3643" t="s">
        <v>4552</v>
      </c>
      <c r="U32" s="3643" t="s">
        <v>4552</v>
      </c>
      <c r="V32" s="3643" t="s">
        <v>4552</v>
      </c>
      <c r="W32" s="3643" t="s">
        <v>4552</v>
      </c>
      <c r="X32" s="3643">
        <v>0</v>
      </c>
      <c r="Y32" s="3643">
        <v>0</v>
      </c>
      <c r="Z32" s="3643">
        <v>44457.000497685185</v>
      </c>
      <c r="AA32" s="3643">
        <v>44481.000497685185</v>
      </c>
      <c r="AB32" s="3643">
        <v>44495.000497685185</v>
      </c>
      <c r="AC32" s="3644">
        <v>44495.000497685185</v>
      </c>
      <c r="AD32" s="3643" t="s">
        <v>4781</v>
      </c>
      <c r="AE32" s="3643" t="s">
        <v>4554</v>
      </c>
      <c r="AF32" s="3643" t="s">
        <v>4782</v>
      </c>
      <c r="AG32" s="3643" t="s">
        <v>4552</v>
      </c>
      <c r="AH32" s="3643" t="s">
        <v>4552</v>
      </c>
      <c r="AI32" s="3643">
        <v>175000</v>
      </c>
      <c r="AJ32" s="3643">
        <v>35000</v>
      </c>
      <c r="AK32" s="3643" t="s">
        <v>4783</v>
      </c>
      <c r="AL32" s="3643">
        <v>175000</v>
      </c>
      <c r="AM32" s="3643">
        <v>3049.91</v>
      </c>
      <c r="AN32" s="3643">
        <v>3049.91</v>
      </c>
      <c r="AO32" s="3643">
        <v>20795</v>
      </c>
      <c r="AP32" s="3643">
        <v>20795</v>
      </c>
      <c r="AQ32" s="3643" t="s">
        <v>4552</v>
      </c>
      <c r="AR32" s="3643" t="s">
        <v>4552</v>
      </c>
      <c r="AS32" s="3643">
        <v>0</v>
      </c>
      <c r="AT32" s="3643" t="s">
        <v>4767</v>
      </c>
      <c r="AU32" s="3643" t="s">
        <v>4551</v>
      </c>
      <c r="AV32" s="3643" t="s">
        <v>4552</v>
      </c>
      <c r="AW32" s="3643" t="s">
        <v>4551</v>
      </c>
      <c r="AX32" s="3643" t="s">
        <v>4552</v>
      </c>
      <c r="AY32" s="3643" t="s">
        <v>4552</v>
      </c>
      <c r="AZ32" s="3643" t="s">
        <v>4552</v>
      </c>
    </row>
    <row r="33" spans="1:52">
      <c r="A33" s="3643" t="s">
        <v>4784</v>
      </c>
      <c r="B33" s="3643" t="s">
        <v>3367</v>
      </c>
      <c r="C33" s="3643" t="s">
        <v>4785</v>
      </c>
      <c r="D33" s="3643" t="s">
        <v>4543</v>
      </c>
      <c r="E33" s="3643" t="s">
        <v>4562</v>
      </c>
      <c r="F33" s="3643" t="s">
        <v>4583</v>
      </c>
      <c r="G33" s="3643" t="s">
        <v>4780</v>
      </c>
      <c r="H33" s="3643" t="s">
        <v>4547</v>
      </c>
      <c r="I33" s="3643">
        <v>30025.18</v>
      </c>
      <c r="J33" s="3643">
        <v>66055.39</v>
      </c>
      <c r="K33" s="3643">
        <v>2.2000000000000002</v>
      </c>
      <c r="L33" s="3643" t="s">
        <v>4548</v>
      </c>
      <c r="M33" s="3643" t="s">
        <v>4585</v>
      </c>
      <c r="N33" s="3643" t="s">
        <v>4550</v>
      </c>
      <c r="O33" s="3643" t="s">
        <v>4551</v>
      </c>
      <c r="P33" s="3643" t="s">
        <v>4552</v>
      </c>
      <c r="Q33" s="3643">
        <v>45</v>
      </c>
      <c r="R33" s="3643" t="s">
        <v>4552</v>
      </c>
      <c r="S33" s="3643" t="s">
        <v>4552</v>
      </c>
      <c r="T33" s="3643" t="s">
        <v>4552</v>
      </c>
      <c r="U33" s="3643" t="s">
        <v>4552</v>
      </c>
      <c r="V33" s="3643" t="s">
        <v>4552</v>
      </c>
      <c r="W33" s="3643" t="s">
        <v>4552</v>
      </c>
      <c r="X33" s="3643">
        <v>0</v>
      </c>
      <c r="Y33" s="3643">
        <v>0</v>
      </c>
      <c r="Z33" s="3643">
        <v>44457.000497685185</v>
      </c>
      <c r="AA33" s="3643">
        <v>44481.000497685185</v>
      </c>
      <c r="AB33" s="3643">
        <v>44495.000497685185</v>
      </c>
      <c r="AC33" s="3644">
        <v>44495.000497685185</v>
      </c>
      <c r="AD33" s="3643" t="s">
        <v>4786</v>
      </c>
      <c r="AE33" s="3643" t="s">
        <v>4554</v>
      </c>
      <c r="AF33" s="3643" t="s">
        <v>4787</v>
      </c>
      <c r="AG33" s="3643" t="s">
        <v>4552</v>
      </c>
      <c r="AH33" s="3643" t="s">
        <v>4552</v>
      </c>
      <c r="AI33" s="3643">
        <v>137000</v>
      </c>
      <c r="AJ33" s="3643">
        <v>137000</v>
      </c>
      <c r="AK33" s="3643" t="s">
        <v>4783</v>
      </c>
      <c r="AL33" s="3643">
        <v>137000</v>
      </c>
      <c r="AM33" s="3643">
        <v>3041.89</v>
      </c>
      <c r="AN33" s="3643">
        <v>3041.89</v>
      </c>
      <c r="AO33" s="3643">
        <v>20740</v>
      </c>
      <c r="AP33" s="3643">
        <v>20740</v>
      </c>
      <c r="AQ33" s="3643" t="s">
        <v>4552</v>
      </c>
      <c r="AR33" s="3643" t="s">
        <v>4552</v>
      </c>
      <c r="AS33" s="3643">
        <v>0</v>
      </c>
      <c r="AT33" s="3643" t="s">
        <v>4767</v>
      </c>
      <c r="AU33" s="3643" t="s">
        <v>4551</v>
      </c>
      <c r="AV33" s="3643" t="s">
        <v>4552</v>
      </c>
      <c r="AW33" s="3643" t="s">
        <v>4551</v>
      </c>
      <c r="AX33" s="3643" t="s">
        <v>4552</v>
      </c>
      <c r="AY33" s="3643" t="s">
        <v>4552</v>
      </c>
      <c r="AZ33" s="3643" t="s">
        <v>4552</v>
      </c>
    </row>
    <row r="34" spans="1:52">
      <c r="A34" s="3643" t="s">
        <v>4788</v>
      </c>
      <c r="B34" s="3643" t="s">
        <v>3367</v>
      </c>
      <c r="C34" s="3643" t="s">
        <v>4789</v>
      </c>
      <c r="D34" s="3643" t="s">
        <v>4543</v>
      </c>
      <c r="E34" s="3643" t="s">
        <v>4592</v>
      </c>
      <c r="F34" s="3643" t="s">
        <v>4707</v>
      </c>
      <c r="G34" s="3643" t="s">
        <v>4708</v>
      </c>
      <c r="H34" s="3643" t="s">
        <v>4547</v>
      </c>
      <c r="I34" s="3643">
        <v>204418.11</v>
      </c>
      <c r="J34" s="3643">
        <v>302000</v>
      </c>
      <c r="K34" s="3643">
        <v>1.5</v>
      </c>
      <c r="L34" s="3643" t="s">
        <v>4548</v>
      </c>
      <c r="M34" s="3643" t="s">
        <v>4585</v>
      </c>
      <c r="N34" s="3643" t="s">
        <v>4550</v>
      </c>
      <c r="O34" s="3643" t="s">
        <v>4551</v>
      </c>
      <c r="P34" s="3643" t="s">
        <v>4552</v>
      </c>
      <c r="Q34" s="3643">
        <v>36</v>
      </c>
      <c r="R34" s="3643" t="s">
        <v>4552</v>
      </c>
      <c r="S34" s="3643" t="s">
        <v>4552</v>
      </c>
      <c r="T34" s="3643" t="s">
        <v>4552</v>
      </c>
      <c r="U34" s="3643" t="s">
        <v>4552</v>
      </c>
      <c r="V34" s="3643" t="s">
        <v>4552</v>
      </c>
      <c r="W34" s="3643" t="s">
        <v>4552</v>
      </c>
      <c r="X34" s="3643">
        <v>0</v>
      </c>
      <c r="Y34" s="3643">
        <v>0</v>
      </c>
      <c r="Z34" s="3643">
        <v>44457.000497685185</v>
      </c>
      <c r="AA34" s="3643">
        <v>44481.000497685185</v>
      </c>
      <c r="AB34" s="3643">
        <v>44495.000497685185</v>
      </c>
      <c r="AC34" s="3644">
        <v>44495.000497685185</v>
      </c>
      <c r="AD34" s="3643" t="s">
        <v>4790</v>
      </c>
      <c r="AE34" s="3643" t="s">
        <v>4554</v>
      </c>
      <c r="AF34" s="3643" t="s">
        <v>4791</v>
      </c>
      <c r="AG34" s="3643" t="s">
        <v>4792</v>
      </c>
      <c r="AH34" s="3643" t="s">
        <v>4601</v>
      </c>
      <c r="AI34" s="3643">
        <v>506700</v>
      </c>
      <c r="AJ34" s="3643">
        <v>101400</v>
      </c>
      <c r="AK34" s="3643" t="s">
        <v>4783</v>
      </c>
      <c r="AL34" s="3643">
        <v>506700</v>
      </c>
      <c r="AM34" s="3643">
        <v>1652.5</v>
      </c>
      <c r="AN34" s="3643">
        <v>1652.5</v>
      </c>
      <c r="AO34" s="3643">
        <v>16778</v>
      </c>
      <c r="AP34" s="3643">
        <v>16778</v>
      </c>
      <c r="AQ34" s="3643" t="s">
        <v>4552</v>
      </c>
      <c r="AR34" s="3643" t="s">
        <v>4552</v>
      </c>
      <c r="AS34" s="3643">
        <v>0</v>
      </c>
      <c r="AT34" s="3643" t="s">
        <v>4767</v>
      </c>
      <c r="AU34" s="3643" t="s">
        <v>4551</v>
      </c>
      <c r="AV34" s="3643" t="s">
        <v>4552</v>
      </c>
      <c r="AW34" s="3643" t="s">
        <v>4551</v>
      </c>
      <c r="AX34" s="3643" t="s">
        <v>4552</v>
      </c>
      <c r="AY34" s="3643" t="s">
        <v>4552</v>
      </c>
      <c r="AZ34" s="3643" t="s">
        <v>4552</v>
      </c>
    </row>
    <row r="35" spans="1:52">
      <c r="A35" s="3643" t="s">
        <v>4793</v>
      </c>
      <c r="B35" s="3643" t="s">
        <v>3367</v>
      </c>
      <c r="C35" s="3643" t="s">
        <v>4794</v>
      </c>
      <c r="D35" s="3643" t="s">
        <v>4543</v>
      </c>
      <c r="E35" s="3643" t="s">
        <v>4663</v>
      </c>
      <c r="F35" s="3643" t="s">
        <v>4664</v>
      </c>
      <c r="G35" s="3643" t="s">
        <v>4795</v>
      </c>
      <c r="H35" s="3643" t="s">
        <v>4547</v>
      </c>
      <c r="I35" s="3643">
        <v>12136.3</v>
      </c>
      <c r="J35" s="3643">
        <v>42477</v>
      </c>
      <c r="K35" s="3643">
        <v>3.5</v>
      </c>
      <c r="L35" s="3643" t="s">
        <v>4548</v>
      </c>
      <c r="M35" s="3643" t="s">
        <v>4549</v>
      </c>
      <c r="N35" s="3643" t="s">
        <v>4550</v>
      </c>
      <c r="O35" s="3643" t="s">
        <v>4551</v>
      </c>
      <c r="P35" s="3643" t="s">
        <v>4552</v>
      </c>
      <c r="Q35" s="3643">
        <v>45</v>
      </c>
      <c r="R35" s="3643" t="s">
        <v>4552</v>
      </c>
      <c r="S35" s="3643" t="s">
        <v>4552</v>
      </c>
      <c r="T35" s="3643" t="s">
        <v>4552</v>
      </c>
      <c r="U35" s="3643" t="s">
        <v>4552</v>
      </c>
      <c r="V35" s="3643" t="s">
        <v>4552</v>
      </c>
      <c r="W35" s="3643" t="s">
        <v>4552</v>
      </c>
      <c r="X35" s="3643">
        <v>0</v>
      </c>
      <c r="Y35" s="3643">
        <v>0</v>
      </c>
      <c r="Z35" s="3643">
        <v>44457.000497685185</v>
      </c>
      <c r="AA35" s="3643">
        <v>44481.000497685185</v>
      </c>
      <c r="AB35" s="3643">
        <v>44495.000497685185</v>
      </c>
      <c r="AC35" s="3644">
        <v>44495.000497685185</v>
      </c>
      <c r="AD35" s="3643" t="s">
        <v>4796</v>
      </c>
      <c r="AE35" s="3643" t="s">
        <v>4554</v>
      </c>
      <c r="AF35" s="3643" t="s">
        <v>4797</v>
      </c>
      <c r="AG35" s="3643" t="s">
        <v>4798</v>
      </c>
      <c r="AH35" s="3643" t="s">
        <v>4557</v>
      </c>
      <c r="AI35" s="3643">
        <v>71000</v>
      </c>
      <c r="AJ35" s="3643">
        <v>14200</v>
      </c>
      <c r="AK35" s="3643" t="s">
        <v>4783</v>
      </c>
      <c r="AL35" s="3643">
        <v>71000</v>
      </c>
      <c r="AM35" s="3643">
        <v>3900.15</v>
      </c>
      <c r="AN35" s="3643">
        <v>3900.15</v>
      </c>
      <c r="AO35" s="3643">
        <v>16715</v>
      </c>
      <c r="AP35" s="3643">
        <v>16715</v>
      </c>
      <c r="AQ35" s="3643" t="s">
        <v>4552</v>
      </c>
      <c r="AR35" s="3643" t="s">
        <v>4552</v>
      </c>
      <c r="AS35" s="3643">
        <v>0</v>
      </c>
      <c r="AT35" s="3643" t="s">
        <v>4767</v>
      </c>
      <c r="AU35" s="3643" t="s">
        <v>4551</v>
      </c>
      <c r="AV35" s="3643" t="s">
        <v>4552</v>
      </c>
      <c r="AW35" s="3643" t="s">
        <v>4551</v>
      </c>
      <c r="AX35" s="3643" t="s">
        <v>4552</v>
      </c>
      <c r="AY35" s="3643" t="s">
        <v>4552</v>
      </c>
      <c r="AZ35" s="3643" t="s">
        <v>4552</v>
      </c>
    </row>
    <row r="36" spans="1:52">
      <c r="A36" s="3643" t="s">
        <v>4799</v>
      </c>
      <c r="B36" s="3643" t="s">
        <v>3367</v>
      </c>
      <c r="C36" s="3643" t="s">
        <v>4800</v>
      </c>
      <c r="D36" s="3643" t="s">
        <v>4543</v>
      </c>
      <c r="E36" s="3643" t="s">
        <v>4801</v>
      </c>
      <c r="F36" s="3643" t="s">
        <v>4802</v>
      </c>
      <c r="G36" s="3643" t="s">
        <v>4803</v>
      </c>
      <c r="H36" s="3643" t="s">
        <v>4547</v>
      </c>
      <c r="I36" s="3643">
        <v>5907.54</v>
      </c>
      <c r="J36" s="3643">
        <v>21900</v>
      </c>
      <c r="K36" s="3643">
        <v>3.71</v>
      </c>
      <c r="L36" s="3643" t="s">
        <v>4548</v>
      </c>
      <c r="M36" s="3643" t="s">
        <v>4804</v>
      </c>
      <c r="N36" s="3643" t="s">
        <v>4550</v>
      </c>
      <c r="O36" s="3643" t="s">
        <v>4551</v>
      </c>
      <c r="P36" s="3643" t="s">
        <v>4552</v>
      </c>
      <c r="Q36" s="3643">
        <v>45</v>
      </c>
      <c r="R36" s="3643" t="s">
        <v>4552</v>
      </c>
      <c r="S36" s="3643" t="s">
        <v>4552</v>
      </c>
      <c r="T36" s="3643" t="s">
        <v>4552</v>
      </c>
      <c r="U36" s="3643" t="s">
        <v>4552</v>
      </c>
      <c r="V36" s="3643" t="s">
        <v>4552</v>
      </c>
      <c r="W36" s="3643" t="s">
        <v>4552</v>
      </c>
      <c r="X36" s="3643">
        <v>0</v>
      </c>
      <c r="Y36" s="3643">
        <v>0</v>
      </c>
      <c r="Z36" s="3643">
        <v>44457.000497685185</v>
      </c>
      <c r="AA36" s="3643">
        <v>44481.000497685185</v>
      </c>
      <c r="AB36" s="3643">
        <v>44495.000497685185</v>
      </c>
      <c r="AC36" s="3644">
        <v>44495.000497685185</v>
      </c>
      <c r="AD36" s="3643" t="s">
        <v>4805</v>
      </c>
      <c r="AE36" s="3643" t="s">
        <v>4554</v>
      </c>
      <c r="AF36" s="3643" t="s">
        <v>4806</v>
      </c>
      <c r="AG36" s="3643" t="s">
        <v>4552</v>
      </c>
      <c r="AH36" s="3643" t="s">
        <v>4552</v>
      </c>
      <c r="AI36" s="3643">
        <v>46000</v>
      </c>
      <c r="AJ36" s="3643">
        <v>9500</v>
      </c>
      <c r="AK36" s="3643" t="s">
        <v>4783</v>
      </c>
      <c r="AL36" s="3643">
        <v>46000</v>
      </c>
      <c r="AM36" s="3643">
        <v>5191.1099999999997</v>
      </c>
      <c r="AN36" s="3643">
        <v>5191.1099999999997</v>
      </c>
      <c r="AO36" s="3643">
        <v>21005</v>
      </c>
      <c r="AP36" s="3643">
        <v>21005</v>
      </c>
      <c r="AQ36" s="3643" t="s">
        <v>4552</v>
      </c>
      <c r="AR36" s="3643" t="s">
        <v>4552</v>
      </c>
      <c r="AS36" s="3643">
        <v>0</v>
      </c>
      <c r="AT36" s="3643" t="s">
        <v>4767</v>
      </c>
      <c r="AU36" s="3643" t="s">
        <v>4551</v>
      </c>
      <c r="AV36" s="3643" t="s">
        <v>4552</v>
      </c>
      <c r="AW36" s="3643" t="s">
        <v>4551</v>
      </c>
      <c r="AX36" s="3643" t="s">
        <v>4552</v>
      </c>
      <c r="AY36" s="3643" t="s">
        <v>4552</v>
      </c>
      <c r="AZ36" s="3643" t="s">
        <v>4552</v>
      </c>
    </row>
    <row r="37" spans="1:52">
      <c r="A37" s="3643" t="s">
        <v>4807</v>
      </c>
      <c r="B37" s="3643" t="s">
        <v>3367</v>
      </c>
      <c r="C37" s="3643" t="s">
        <v>4808</v>
      </c>
      <c r="D37" s="3643" t="s">
        <v>4543</v>
      </c>
      <c r="E37" s="3643" t="s">
        <v>4562</v>
      </c>
      <c r="F37" s="3643" t="s">
        <v>4583</v>
      </c>
      <c r="G37" s="3643" t="s">
        <v>4780</v>
      </c>
      <c r="H37" s="3643" t="s">
        <v>4547</v>
      </c>
      <c r="I37" s="3643">
        <v>25121.77</v>
      </c>
      <c r="J37" s="3643">
        <v>55267.89</v>
      </c>
      <c r="K37" s="3643">
        <v>2.2000000000000002</v>
      </c>
      <c r="L37" s="3643" t="s">
        <v>4548</v>
      </c>
      <c r="M37" s="3643" t="s">
        <v>4585</v>
      </c>
      <c r="N37" s="3643" t="s">
        <v>4550</v>
      </c>
      <c r="O37" s="3643" t="s">
        <v>4551</v>
      </c>
      <c r="P37" s="3643" t="s">
        <v>4552</v>
      </c>
      <c r="Q37" s="3643">
        <v>45</v>
      </c>
      <c r="R37" s="3643" t="s">
        <v>4552</v>
      </c>
      <c r="S37" s="3643" t="s">
        <v>4552</v>
      </c>
      <c r="T37" s="3643" t="s">
        <v>4552</v>
      </c>
      <c r="U37" s="3643" t="s">
        <v>4552</v>
      </c>
      <c r="V37" s="3643" t="s">
        <v>4552</v>
      </c>
      <c r="W37" s="3643" t="s">
        <v>4552</v>
      </c>
      <c r="X37" s="3643">
        <v>0</v>
      </c>
      <c r="Y37" s="3643">
        <v>0</v>
      </c>
      <c r="Z37" s="3643">
        <v>44457.000497685185</v>
      </c>
      <c r="AA37" s="3643">
        <v>44481.000497685185</v>
      </c>
      <c r="AB37" s="3643">
        <v>44495.000497685185</v>
      </c>
      <c r="AC37" s="3644">
        <v>44495.000497685185</v>
      </c>
      <c r="AD37" s="3643" t="s">
        <v>4809</v>
      </c>
      <c r="AE37" s="3643" t="s">
        <v>4554</v>
      </c>
      <c r="AF37" s="3643" t="s">
        <v>4810</v>
      </c>
      <c r="AG37" s="3643" t="s">
        <v>4552</v>
      </c>
      <c r="AH37" s="3643" t="s">
        <v>4552</v>
      </c>
      <c r="AI37" s="3643">
        <v>115000</v>
      </c>
      <c r="AJ37" s="3643">
        <v>23000</v>
      </c>
      <c r="AK37" s="3643" t="s">
        <v>4783</v>
      </c>
      <c r="AL37" s="3643">
        <v>115000</v>
      </c>
      <c r="AM37" s="3643">
        <v>3051.8</v>
      </c>
      <c r="AN37" s="3643">
        <v>3051.8</v>
      </c>
      <c r="AO37" s="3643">
        <v>20808</v>
      </c>
      <c r="AP37" s="3643">
        <v>20808</v>
      </c>
      <c r="AQ37" s="3643" t="s">
        <v>4552</v>
      </c>
      <c r="AR37" s="3643" t="s">
        <v>4552</v>
      </c>
      <c r="AS37" s="3643">
        <v>0</v>
      </c>
      <c r="AT37" s="3643" t="s">
        <v>4767</v>
      </c>
      <c r="AU37" s="3643" t="s">
        <v>4551</v>
      </c>
      <c r="AV37" s="3643" t="s">
        <v>4552</v>
      </c>
      <c r="AW37" s="3643" t="s">
        <v>4551</v>
      </c>
      <c r="AX37" s="3643" t="s">
        <v>4552</v>
      </c>
      <c r="AY37" s="3643" t="s">
        <v>4552</v>
      </c>
      <c r="AZ37" s="3643" t="s">
        <v>4552</v>
      </c>
    </row>
    <row r="38" spans="1:52">
      <c r="A38" s="3643" t="s">
        <v>4811</v>
      </c>
      <c r="B38" s="3643" t="s">
        <v>3367</v>
      </c>
      <c r="C38" s="3643" t="s">
        <v>4812</v>
      </c>
      <c r="D38" s="3643" t="s">
        <v>4543</v>
      </c>
      <c r="E38" s="3643" t="s">
        <v>4592</v>
      </c>
      <c r="F38" s="3643" t="s">
        <v>4763</v>
      </c>
      <c r="G38" s="3643" t="s">
        <v>4813</v>
      </c>
      <c r="H38" s="3643" t="s">
        <v>4547</v>
      </c>
      <c r="I38" s="3643">
        <v>17147.95</v>
      </c>
      <c r="J38" s="3643">
        <v>53158.65</v>
      </c>
      <c r="K38" s="3643" t="s">
        <v>4814</v>
      </c>
      <c r="L38" s="3643" t="s">
        <v>4548</v>
      </c>
      <c r="M38" s="3643" t="s">
        <v>4815</v>
      </c>
      <c r="N38" s="3643" t="s">
        <v>4550</v>
      </c>
      <c r="O38" s="3643" t="s">
        <v>4551</v>
      </c>
      <c r="P38" s="3643" t="s">
        <v>4552</v>
      </c>
      <c r="Q38" s="3643" t="s">
        <v>4816</v>
      </c>
      <c r="R38" s="3643" t="s">
        <v>4552</v>
      </c>
      <c r="S38" s="3643" t="s">
        <v>4552</v>
      </c>
      <c r="T38" s="3643" t="s">
        <v>4552</v>
      </c>
      <c r="U38" s="3643" t="s">
        <v>4552</v>
      </c>
      <c r="V38" s="3643">
        <v>0</v>
      </c>
      <c r="W38" s="3643">
        <v>0</v>
      </c>
      <c r="X38" s="3643">
        <v>0</v>
      </c>
      <c r="Y38" s="3643">
        <v>0</v>
      </c>
      <c r="Z38" s="3643">
        <v>44300.000497685185</v>
      </c>
      <c r="AA38" s="3643">
        <v>44322.000497685185</v>
      </c>
      <c r="AB38" s="3643">
        <v>44335.000497685185</v>
      </c>
      <c r="AC38" s="3644">
        <v>44335.000497685185</v>
      </c>
      <c r="AD38" s="3643" t="s">
        <v>4817</v>
      </c>
      <c r="AE38" s="3643" t="s">
        <v>4554</v>
      </c>
      <c r="AF38" s="3643" t="s">
        <v>4818</v>
      </c>
      <c r="AG38" s="3643" t="s">
        <v>4600</v>
      </c>
      <c r="AH38" s="3643" t="s">
        <v>4601</v>
      </c>
      <c r="AI38" s="3643">
        <v>69200</v>
      </c>
      <c r="AJ38" s="3643">
        <v>14000</v>
      </c>
      <c r="AK38" s="3643" t="s">
        <v>633</v>
      </c>
      <c r="AL38" s="3643">
        <v>69200</v>
      </c>
      <c r="AM38" s="3643">
        <v>2690.31</v>
      </c>
      <c r="AN38" s="3643">
        <v>2690.31</v>
      </c>
      <c r="AO38" s="3643">
        <v>13018</v>
      </c>
      <c r="AP38" s="3643">
        <v>13018</v>
      </c>
      <c r="AQ38" s="3643" t="s">
        <v>4552</v>
      </c>
      <c r="AR38" s="3643" t="s">
        <v>4552</v>
      </c>
      <c r="AS38" s="3643">
        <v>0</v>
      </c>
      <c r="AT38" s="3643" t="s">
        <v>4819</v>
      </c>
      <c r="AU38" s="3643" t="s">
        <v>4551</v>
      </c>
      <c r="AV38" s="3643" t="s">
        <v>4552</v>
      </c>
      <c r="AW38" s="3643" t="s">
        <v>4551</v>
      </c>
      <c r="AX38" s="3643" t="s">
        <v>4552</v>
      </c>
      <c r="AY38" s="3643" t="s">
        <v>4552</v>
      </c>
      <c r="AZ38" s="3643" t="s">
        <v>4552</v>
      </c>
    </row>
    <row r="39" spans="1:52">
      <c r="A39" s="3643" t="s">
        <v>4820</v>
      </c>
      <c r="B39" s="3643" t="s">
        <v>3367</v>
      </c>
      <c r="C39" s="3643" t="s">
        <v>4821</v>
      </c>
      <c r="D39" s="3643" t="s">
        <v>4543</v>
      </c>
      <c r="E39" s="3643" t="s">
        <v>4592</v>
      </c>
      <c r="F39" s="3643" t="s">
        <v>4707</v>
      </c>
      <c r="G39" s="3643" t="s">
        <v>4822</v>
      </c>
      <c r="H39" s="3643" t="s">
        <v>4547</v>
      </c>
      <c r="I39" s="3643">
        <v>22058.78</v>
      </c>
      <c r="J39" s="3643">
        <v>47390</v>
      </c>
      <c r="K39" s="3643" t="s">
        <v>4823</v>
      </c>
      <c r="L39" s="3643" t="s">
        <v>4548</v>
      </c>
      <c r="M39" s="3643" t="s">
        <v>4585</v>
      </c>
      <c r="N39" s="3643" t="s">
        <v>4550</v>
      </c>
      <c r="O39" s="3643" t="s">
        <v>4551</v>
      </c>
      <c r="P39" s="3643" t="s">
        <v>4552</v>
      </c>
      <c r="Q39" s="3643" t="s">
        <v>4736</v>
      </c>
      <c r="R39" s="3643" t="s">
        <v>4552</v>
      </c>
      <c r="S39" s="3643" t="s">
        <v>4552</v>
      </c>
      <c r="T39" s="3643" t="s">
        <v>4552</v>
      </c>
      <c r="U39" s="3643" t="s">
        <v>4552</v>
      </c>
      <c r="V39" s="3643">
        <v>0</v>
      </c>
      <c r="W39" s="3643">
        <v>0</v>
      </c>
      <c r="X39" s="3643">
        <v>0</v>
      </c>
      <c r="Y39" s="3643">
        <v>0</v>
      </c>
      <c r="Z39" s="3643">
        <v>44201.000497685185</v>
      </c>
      <c r="AA39" s="3643">
        <v>44221.000497685185</v>
      </c>
      <c r="AB39" s="3643">
        <v>44234.000497685185</v>
      </c>
      <c r="AC39" s="3644">
        <v>44234.000497685185</v>
      </c>
      <c r="AD39" s="3643" t="s">
        <v>4824</v>
      </c>
      <c r="AE39" s="3643" t="s">
        <v>4554</v>
      </c>
      <c r="AF39" s="3643" t="s">
        <v>4825</v>
      </c>
      <c r="AG39" s="3643" t="s">
        <v>4826</v>
      </c>
      <c r="AH39" s="3643" t="s">
        <v>4601</v>
      </c>
      <c r="AI39" s="3643">
        <v>32700</v>
      </c>
      <c r="AJ39" s="3643">
        <v>6600</v>
      </c>
      <c r="AK39" s="3643" t="s">
        <v>633</v>
      </c>
      <c r="AL39" s="3643">
        <v>32700</v>
      </c>
      <c r="AM39" s="3643">
        <v>988.27</v>
      </c>
      <c r="AN39" s="3643">
        <v>988.27</v>
      </c>
      <c r="AO39" s="3643">
        <v>6900</v>
      </c>
      <c r="AP39" s="3643">
        <v>6900</v>
      </c>
      <c r="AQ39" s="3643" t="s">
        <v>4552</v>
      </c>
      <c r="AR39" s="3643" t="s">
        <v>4552</v>
      </c>
      <c r="AS39" s="3643">
        <v>0</v>
      </c>
      <c r="AT39" s="3643" t="s">
        <v>4819</v>
      </c>
      <c r="AU39" s="3643" t="s">
        <v>4551</v>
      </c>
      <c r="AV39" s="3643" t="s">
        <v>4552</v>
      </c>
      <c r="AW39" s="3643" t="s">
        <v>4551</v>
      </c>
      <c r="AX39" s="3643" t="s">
        <v>4552</v>
      </c>
      <c r="AY39" s="3643" t="s">
        <v>4552</v>
      </c>
      <c r="AZ39" s="3643" t="s">
        <v>4552</v>
      </c>
    </row>
    <row r="40" spans="1:52">
      <c r="A40" s="3643" t="s">
        <v>4827</v>
      </c>
      <c r="B40" s="3643" t="s">
        <v>3367</v>
      </c>
      <c r="C40" s="3643" t="s">
        <v>4828</v>
      </c>
      <c r="D40" s="3643" t="s">
        <v>4543</v>
      </c>
      <c r="E40" s="3643" t="s">
        <v>4748</v>
      </c>
      <c r="F40" s="3643" t="s">
        <v>4749</v>
      </c>
      <c r="G40" s="3643" t="s">
        <v>4829</v>
      </c>
      <c r="H40" s="3643" t="s">
        <v>4547</v>
      </c>
      <c r="I40" s="3643">
        <v>1676.22</v>
      </c>
      <c r="J40" s="3643">
        <v>753.4</v>
      </c>
      <c r="K40" s="3643" t="s">
        <v>4830</v>
      </c>
      <c r="L40" s="3643" t="s">
        <v>4548</v>
      </c>
      <c r="M40" s="3643" t="s">
        <v>4657</v>
      </c>
      <c r="N40" s="3643" t="s">
        <v>4550</v>
      </c>
      <c r="O40" s="3643" t="s">
        <v>4551</v>
      </c>
      <c r="P40" s="3643" t="s">
        <v>4552</v>
      </c>
      <c r="Q40" s="3643" t="s">
        <v>4831</v>
      </c>
      <c r="R40" s="3643" t="s">
        <v>4552</v>
      </c>
      <c r="S40" s="3643" t="s">
        <v>4552</v>
      </c>
      <c r="T40" s="3643" t="s">
        <v>4552</v>
      </c>
      <c r="U40" s="3643" t="s">
        <v>4552</v>
      </c>
      <c r="V40" s="3643">
        <v>0</v>
      </c>
      <c r="W40" s="3643">
        <v>0</v>
      </c>
      <c r="X40" s="3643">
        <v>0</v>
      </c>
      <c r="Y40" s="3643">
        <v>0</v>
      </c>
      <c r="Z40" s="3643">
        <v>44190.000497685185</v>
      </c>
      <c r="AA40" s="3643">
        <v>44210.000497685185</v>
      </c>
      <c r="AB40" s="3643">
        <v>44224.000497685185</v>
      </c>
      <c r="AC40" s="3644">
        <v>44224.000497685185</v>
      </c>
      <c r="AD40" s="3643" t="s">
        <v>4832</v>
      </c>
      <c r="AE40" s="3643" t="s">
        <v>4554</v>
      </c>
      <c r="AF40" s="3643" t="s">
        <v>4833</v>
      </c>
      <c r="AG40" s="3643" t="s">
        <v>4552</v>
      </c>
      <c r="AH40" s="3643" t="s">
        <v>4552</v>
      </c>
      <c r="AI40" s="3643">
        <v>550</v>
      </c>
      <c r="AJ40" s="3643">
        <v>150</v>
      </c>
      <c r="AK40" s="3643" t="s">
        <v>4834</v>
      </c>
      <c r="AL40" s="3643">
        <v>550</v>
      </c>
      <c r="AM40" s="3643">
        <v>218.75</v>
      </c>
      <c r="AN40" s="3643">
        <v>218.75</v>
      </c>
      <c r="AO40" s="3643">
        <v>7300</v>
      </c>
      <c r="AP40" s="3643">
        <v>7300</v>
      </c>
      <c r="AQ40" s="3643" t="s">
        <v>4552</v>
      </c>
      <c r="AR40" s="3643" t="s">
        <v>4552</v>
      </c>
      <c r="AS40" s="3643">
        <v>0</v>
      </c>
      <c r="AT40" s="3643" t="s">
        <v>4572</v>
      </c>
      <c r="AU40" s="3643" t="s">
        <v>4551</v>
      </c>
      <c r="AV40" s="3643" t="s">
        <v>4552</v>
      </c>
      <c r="AW40" s="3643" t="s">
        <v>4551</v>
      </c>
      <c r="AX40" s="3643" t="s">
        <v>4552</v>
      </c>
      <c r="AY40" s="3643" t="s">
        <v>4552</v>
      </c>
      <c r="AZ40" s="3643" t="s">
        <v>4552</v>
      </c>
    </row>
    <row r="41" spans="1:52">
      <c r="A41" s="3643" t="s">
        <v>4835</v>
      </c>
      <c r="B41" s="3643" t="s">
        <v>3367</v>
      </c>
      <c r="C41" s="3643" t="s">
        <v>4836</v>
      </c>
      <c r="D41" s="3643" t="s">
        <v>4543</v>
      </c>
      <c r="E41" s="3643" t="s">
        <v>4615</v>
      </c>
      <c r="F41" s="3643" t="s">
        <v>4837</v>
      </c>
      <c r="G41" s="3643" t="s">
        <v>4838</v>
      </c>
      <c r="H41" s="3643" t="s">
        <v>4547</v>
      </c>
      <c r="I41" s="3643">
        <v>25224.15</v>
      </c>
      <c r="J41" s="3643">
        <v>75672.45</v>
      </c>
      <c r="K41" s="3643" t="s">
        <v>4839</v>
      </c>
      <c r="L41" s="3643" t="s">
        <v>4548</v>
      </c>
      <c r="M41" s="3643" t="s">
        <v>4585</v>
      </c>
      <c r="N41" s="3643" t="s">
        <v>4550</v>
      </c>
      <c r="O41" s="3643" t="s">
        <v>4551</v>
      </c>
      <c r="P41" s="3643" t="s">
        <v>4840</v>
      </c>
      <c r="Q41" s="3643" t="s">
        <v>4841</v>
      </c>
      <c r="R41" s="3643" t="s">
        <v>4552</v>
      </c>
      <c r="S41" s="3643" t="s">
        <v>4552</v>
      </c>
      <c r="T41" s="3643" t="s">
        <v>4552</v>
      </c>
      <c r="U41" s="3643" t="s">
        <v>4552</v>
      </c>
      <c r="V41" s="3643">
        <v>0</v>
      </c>
      <c r="W41" s="3643">
        <v>0</v>
      </c>
      <c r="X41" s="3643">
        <v>0</v>
      </c>
      <c r="Y41" s="3643">
        <v>0</v>
      </c>
      <c r="Z41" s="3643">
        <v>44147.000497685185</v>
      </c>
      <c r="AA41" s="3643">
        <v>44179.000497685185</v>
      </c>
      <c r="AB41" s="3643">
        <v>44193.000497685185</v>
      </c>
      <c r="AC41" s="3644">
        <v>44193.000497685185</v>
      </c>
      <c r="AD41" s="3643" t="s">
        <v>4842</v>
      </c>
      <c r="AE41" s="3643" t="s">
        <v>4554</v>
      </c>
      <c r="AF41" s="3643" t="s">
        <v>4843</v>
      </c>
      <c r="AG41" s="3643" t="s">
        <v>4600</v>
      </c>
      <c r="AH41" s="3643" t="s">
        <v>4601</v>
      </c>
      <c r="AI41" s="3643">
        <v>60800</v>
      </c>
      <c r="AJ41" s="3643">
        <v>12200</v>
      </c>
      <c r="AK41" s="3643" t="s">
        <v>4844</v>
      </c>
      <c r="AL41" s="3643">
        <v>60800</v>
      </c>
      <c r="AM41" s="3643">
        <v>1606.93</v>
      </c>
      <c r="AN41" s="3643">
        <v>1606.93</v>
      </c>
      <c r="AO41" s="3643">
        <v>8035</v>
      </c>
      <c r="AP41" s="3643">
        <v>8035</v>
      </c>
      <c r="AQ41" s="3643" t="s">
        <v>4552</v>
      </c>
      <c r="AR41" s="3643" t="s">
        <v>4552</v>
      </c>
      <c r="AS41" s="3643">
        <v>0</v>
      </c>
      <c r="AT41" s="3643" t="s">
        <v>4572</v>
      </c>
      <c r="AU41" s="3643" t="s">
        <v>4551</v>
      </c>
      <c r="AV41" s="3643" t="s">
        <v>4552</v>
      </c>
      <c r="AW41" s="3643" t="s">
        <v>4551</v>
      </c>
      <c r="AX41" s="3643" t="s">
        <v>4552</v>
      </c>
      <c r="AY41" s="3643" t="s">
        <v>4552</v>
      </c>
      <c r="AZ41" s="3643" t="s">
        <v>4552</v>
      </c>
    </row>
    <row r="42" spans="1:52">
      <c r="A42" s="3643" t="s">
        <v>4845</v>
      </c>
      <c r="B42" s="3643" t="s">
        <v>3367</v>
      </c>
      <c r="C42" s="3643" t="s">
        <v>4846</v>
      </c>
      <c r="D42" s="3643" t="s">
        <v>4543</v>
      </c>
      <c r="E42" s="3643" t="s">
        <v>4847</v>
      </c>
      <c r="F42" s="3643" t="s">
        <v>4848</v>
      </c>
      <c r="G42" s="3643" t="s">
        <v>4849</v>
      </c>
      <c r="H42" s="3643" t="s">
        <v>4547</v>
      </c>
      <c r="I42" s="3643">
        <v>26197.17</v>
      </c>
      <c r="J42" s="3643">
        <v>26500</v>
      </c>
      <c r="K42" s="3643" t="s">
        <v>4850</v>
      </c>
      <c r="L42" s="3643" t="s">
        <v>4851</v>
      </c>
      <c r="M42" s="3643" t="s">
        <v>4585</v>
      </c>
      <c r="N42" s="3643" t="s">
        <v>4550</v>
      </c>
      <c r="O42" s="3643" t="s">
        <v>4551</v>
      </c>
      <c r="P42" s="3643" t="s">
        <v>4852</v>
      </c>
      <c r="Q42" s="3643" t="s">
        <v>4853</v>
      </c>
      <c r="R42" s="3643" t="s">
        <v>4552</v>
      </c>
      <c r="S42" s="3643" t="s">
        <v>4552</v>
      </c>
      <c r="T42" s="3643" t="s">
        <v>4552</v>
      </c>
      <c r="U42" s="3643" t="s">
        <v>4552</v>
      </c>
      <c r="V42" s="3643">
        <v>0</v>
      </c>
      <c r="W42" s="3643">
        <v>0</v>
      </c>
      <c r="X42" s="3643">
        <v>0</v>
      </c>
      <c r="Y42" s="3643">
        <v>0</v>
      </c>
      <c r="Z42" s="3643">
        <v>44147.000497685185</v>
      </c>
      <c r="AA42" s="3643">
        <v>44169.000497685185</v>
      </c>
      <c r="AB42" s="3643">
        <v>44169.000497685185</v>
      </c>
      <c r="AC42" s="3644">
        <v>44172.000497685185</v>
      </c>
      <c r="AD42" s="3643" t="s">
        <v>4854</v>
      </c>
      <c r="AE42" s="3643" t="s">
        <v>4554</v>
      </c>
      <c r="AF42" s="3643" t="s">
        <v>4855</v>
      </c>
      <c r="AG42" s="3643" t="s">
        <v>4856</v>
      </c>
      <c r="AH42" s="3643" t="s">
        <v>4601</v>
      </c>
      <c r="AI42" s="3643" t="s">
        <v>4552</v>
      </c>
      <c r="AJ42" s="3643">
        <v>4200</v>
      </c>
      <c r="AK42" s="3643" t="s">
        <v>4857</v>
      </c>
      <c r="AL42" s="3643">
        <v>20986.799999999999</v>
      </c>
      <c r="AM42" s="3643" t="s">
        <v>4552</v>
      </c>
      <c r="AN42" s="3643">
        <v>534.07000000000005</v>
      </c>
      <c r="AO42" s="3643" t="s">
        <v>4552</v>
      </c>
      <c r="AP42" s="3643">
        <v>7920</v>
      </c>
      <c r="AQ42" s="3643" t="s">
        <v>4552</v>
      </c>
      <c r="AR42" s="3643" t="s">
        <v>4552</v>
      </c>
      <c r="AS42" s="3643">
        <v>0</v>
      </c>
      <c r="AT42" s="3643" t="s">
        <v>4572</v>
      </c>
      <c r="AU42" s="3643" t="s">
        <v>4551</v>
      </c>
      <c r="AV42" s="3643" t="s">
        <v>4552</v>
      </c>
      <c r="AW42" s="3643" t="s">
        <v>4551</v>
      </c>
      <c r="AX42" s="3643" t="s">
        <v>4552</v>
      </c>
      <c r="AY42" s="3643" t="s">
        <v>4552</v>
      </c>
      <c r="AZ42" s="3643" t="s">
        <v>4552</v>
      </c>
    </row>
    <row r="43" spans="1:52">
      <c r="A43" s="3643" t="s">
        <v>4858</v>
      </c>
      <c r="B43" s="3643" t="s">
        <v>3367</v>
      </c>
      <c r="C43" s="3643" t="s">
        <v>4859</v>
      </c>
      <c r="D43" s="3643" t="s">
        <v>4543</v>
      </c>
      <c r="E43" s="3643" t="s">
        <v>4663</v>
      </c>
      <c r="F43" s="3643" t="s">
        <v>4664</v>
      </c>
      <c r="G43" s="3643" t="s">
        <v>4665</v>
      </c>
      <c r="H43" s="3643" t="s">
        <v>4547</v>
      </c>
      <c r="I43" s="3643">
        <v>28676.63</v>
      </c>
      <c r="J43" s="3643">
        <v>114706.51</v>
      </c>
      <c r="K43" s="3643" t="s">
        <v>4860</v>
      </c>
      <c r="L43" s="3643" t="s">
        <v>4548</v>
      </c>
      <c r="M43" s="3643" t="s">
        <v>4657</v>
      </c>
      <c r="N43" s="3643" t="s">
        <v>4550</v>
      </c>
      <c r="O43" s="3643" t="s">
        <v>4551</v>
      </c>
      <c r="P43" s="3643" t="s">
        <v>4552</v>
      </c>
      <c r="Q43" s="3643" t="s">
        <v>4861</v>
      </c>
      <c r="R43" s="3643" t="s">
        <v>4552</v>
      </c>
      <c r="S43" s="3643" t="s">
        <v>4552</v>
      </c>
      <c r="T43" s="3643" t="s">
        <v>4552</v>
      </c>
      <c r="U43" s="3643" t="s">
        <v>4552</v>
      </c>
      <c r="V43" s="3643">
        <v>0</v>
      </c>
      <c r="W43" s="3643">
        <v>0</v>
      </c>
      <c r="X43" s="3643">
        <v>0</v>
      </c>
      <c r="Y43" s="3643">
        <v>0</v>
      </c>
      <c r="Z43" s="3643">
        <v>44145.000497685185</v>
      </c>
      <c r="AA43" s="3643">
        <v>44165.000497685185</v>
      </c>
      <c r="AB43" s="3643">
        <v>44179.000497685185</v>
      </c>
      <c r="AC43" s="3644">
        <v>44179.000497685185</v>
      </c>
      <c r="AD43" s="3643" t="s">
        <v>4862</v>
      </c>
      <c r="AE43" s="3643" t="s">
        <v>4554</v>
      </c>
      <c r="AF43" s="3643" t="s">
        <v>4863</v>
      </c>
      <c r="AG43" s="3643" t="s">
        <v>4864</v>
      </c>
      <c r="AH43" s="3643" t="s">
        <v>4601</v>
      </c>
      <c r="AI43" s="3643">
        <v>175500</v>
      </c>
      <c r="AJ43" s="3643">
        <v>35500</v>
      </c>
      <c r="AK43" s="3643" t="s">
        <v>4865</v>
      </c>
      <c r="AL43" s="3643">
        <v>175500</v>
      </c>
      <c r="AM43" s="3643">
        <v>4079.98</v>
      </c>
      <c r="AN43" s="3643">
        <v>4079.98</v>
      </c>
      <c r="AO43" s="3643">
        <v>15300</v>
      </c>
      <c r="AP43" s="3643">
        <v>15300</v>
      </c>
      <c r="AQ43" s="3643" t="s">
        <v>4552</v>
      </c>
      <c r="AR43" s="3643" t="s">
        <v>4552</v>
      </c>
      <c r="AS43" s="3643">
        <v>0</v>
      </c>
      <c r="AT43" s="3643" t="s">
        <v>4572</v>
      </c>
      <c r="AU43" s="3643" t="s">
        <v>4551</v>
      </c>
      <c r="AV43" s="3643" t="s">
        <v>4552</v>
      </c>
      <c r="AW43" s="3643" t="s">
        <v>4551</v>
      </c>
      <c r="AX43" s="3643" t="s">
        <v>4552</v>
      </c>
      <c r="AY43" s="3643" t="s">
        <v>4552</v>
      </c>
      <c r="AZ43" s="3643" t="s">
        <v>4552</v>
      </c>
    </row>
    <row r="44" spans="1:52">
      <c r="A44" s="3643" t="s">
        <v>4866</v>
      </c>
      <c r="B44" s="3643" t="s">
        <v>3367</v>
      </c>
      <c r="C44" s="3643" t="s">
        <v>4561</v>
      </c>
      <c r="D44" s="3643" t="s">
        <v>4543</v>
      </c>
      <c r="E44" s="3643" t="s">
        <v>4562</v>
      </c>
      <c r="F44" s="3643" t="s">
        <v>4563</v>
      </c>
      <c r="G44" s="3643" t="s">
        <v>4564</v>
      </c>
      <c r="H44" s="3643" t="s">
        <v>4547</v>
      </c>
      <c r="I44" s="3643">
        <v>51788.13</v>
      </c>
      <c r="J44" s="3643">
        <v>184800</v>
      </c>
      <c r="K44" s="3643" t="s">
        <v>4565</v>
      </c>
      <c r="L44" s="3643" t="s">
        <v>4548</v>
      </c>
      <c r="M44" s="3643" t="s">
        <v>4549</v>
      </c>
      <c r="N44" s="3643" t="s">
        <v>4550</v>
      </c>
      <c r="O44" s="3643" t="s">
        <v>4551</v>
      </c>
      <c r="P44" s="3643" t="s">
        <v>4552</v>
      </c>
      <c r="Q44" s="3643" t="s">
        <v>4566</v>
      </c>
      <c r="R44" s="3643" t="s">
        <v>4552</v>
      </c>
      <c r="S44" s="3643" t="s">
        <v>4552</v>
      </c>
      <c r="T44" s="3643" t="s">
        <v>4552</v>
      </c>
      <c r="U44" s="3643" t="s">
        <v>4552</v>
      </c>
      <c r="V44" s="3643">
        <v>0</v>
      </c>
      <c r="W44" s="3643">
        <v>0</v>
      </c>
      <c r="X44" s="3643">
        <v>0</v>
      </c>
      <c r="Y44" s="3643">
        <v>0</v>
      </c>
      <c r="Z44" s="3643">
        <v>44133.000497685185</v>
      </c>
      <c r="AA44" s="3643">
        <v>44153.000497685185</v>
      </c>
      <c r="AB44" s="3643">
        <v>44167.000497685185</v>
      </c>
      <c r="AC44" s="3644">
        <v>44167.000497685185</v>
      </c>
      <c r="AD44" s="3643" t="s">
        <v>4567</v>
      </c>
      <c r="AE44" s="3643" t="s">
        <v>4554</v>
      </c>
      <c r="AF44" s="3643" t="s">
        <v>4568</v>
      </c>
      <c r="AG44" s="3643" t="s">
        <v>4569</v>
      </c>
      <c r="AH44" s="3643" t="s">
        <v>4570</v>
      </c>
      <c r="AI44" s="3643">
        <v>570500</v>
      </c>
      <c r="AJ44" s="3643">
        <v>115000</v>
      </c>
      <c r="AK44" s="3643" t="s">
        <v>4571</v>
      </c>
      <c r="AL44" s="3643">
        <v>579500</v>
      </c>
      <c r="AM44" s="3643">
        <v>7344.03</v>
      </c>
      <c r="AN44" s="3643">
        <v>7459.88</v>
      </c>
      <c r="AO44" s="3643">
        <v>30871</v>
      </c>
      <c r="AP44" s="3643">
        <v>31358</v>
      </c>
      <c r="AQ44" s="3643" t="s">
        <v>4552</v>
      </c>
      <c r="AR44" s="3643" t="s">
        <v>4552</v>
      </c>
      <c r="AS44" s="3643">
        <v>1.58</v>
      </c>
      <c r="AT44" s="3643" t="s">
        <v>4572</v>
      </c>
      <c r="AU44" s="3643" t="s">
        <v>4551</v>
      </c>
      <c r="AV44" s="3643" t="s">
        <v>4552</v>
      </c>
      <c r="AW44" s="3643" t="s">
        <v>4551</v>
      </c>
      <c r="AX44" s="3643" t="s">
        <v>4552</v>
      </c>
      <c r="AY44" s="3643" t="s">
        <v>4552</v>
      </c>
      <c r="AZ44" s="3643" t="s">
        <v>4552</v>
      </c>
    </row>
    <row r="45" spans="1:52">
      <c r="A45" s="3643" t="s">
        <v>4867</v>
      </c>
      <c r="B45" s="3643" t="s">
        <v>3367</v>
      </c>
      <c r="C45" s="3643" t="s">
        <v>4868</v>
      </c>
      <c r="D45" s="3643" t="s">
        <v>4543</v>
      </c>
      <c r="E45" s="3643" t="s">
        <v>4748</v>
      </c>
      <c r="F45" s="3643" t="s">
        <v>4749</v>
      </c>
      <c r="G45" s="3643" t="s">
        <v>4869</v>
      </c>
      <c r="H45" s="3643" t="s">
        <v>4547</v>
      </c>
      <c r="I45" s="3643">
        <v>63225.37</v>
      </c>
      <c r="J45" s="3643">
        <v>120200</v>
      </c>
      <c r="K45" s="3643" t="s">
        <v>4870</v>
      </c>
      <c r="L45" s="3643" t="s">
        <v>4548</v>
      </c>
      <c r="M45" s="3643" t="s">
        <v>4585</v>
      </c>
      <c r="N45" s="3643" t="s">
        <v>4550</v>
      </c>
      <c r="O45" s="3643" t="s">
        <v>4551</v>
      </c>
      <c r="P45" s="3643" t="s">
        <v>4552</v>
      </c>
      <c r="Q45" s="3643" t="s">
        <v>4552</v>
      </c>
      <c r="R45" s="3643" t="s">
        <v>4552</v>
      </c>
      <c r="S45" s="3643" t="s">
        <v>4552</v>
      </c>
      <c r="T45" s="3643" t="s">
        <v>4552</v>
      </c>
      <c r="U45" s="3643" t="s">
        <v>4552</v>
      </c>
      <c r="V45" s="3643">
        <v>0</v>
      </c>
      <c r="W45" s="3643">
        <v>0</v>
      </c>
      <c r="X45" s="3643">
        <v>0</v>
      </c>
      <c r="Y45" s="3643">
        <v>0</v>
      </c>
      <c r="Z45" s="3643">
        <v>44104.000497685185</v>
      </c>
      <c r="AA45" s="3643">
        <v>44124.000497685185</v>
      </c>
      <c r="AB45" s="3643">
        <v>44138.000497685185</v>
      </c>
      <c r="AC45" s="3644">
        <v>44138.000497685185</v>
      </c>
      <c r="AD45" s="3643" t="s">
        <v>4871</v>
      </c>
      <c r="AE45" s="3643" t="s">
        <v>4554</v>
      </c>
      <c r="AF45" s="3643" t="s">
        <v>4872</v>
      </c>
      <c r="AG45" s="3643" t="s">
        <v>4760</v>
      </c>
      <c r="AH45" s="3643" t="s">
        <v>4601</v>
      </c>
      <c r="AI45" s="3643">
        <v>88100</v>
      </c>
      <c r="AJ45" s="3643">
        <v>17700</v>
      </c>
      <c r="AK45" s="3643" t="s">
        <v>4873</v>
      </c>
      <c r="AL45" s="3643">
        <v>88100</v>
      </c>
      <c r="AM45" s="3643">
        <v>928.95</v>
      </c>
      <c r="AN45" s="3643">
        <v>928.95</v>
      </c>
      <c r="AO45" s="3643">
        <v>7329</v>
      </c>
      <c r="AP45" s="3643">
        <v>7329</v>
      </c>
      <c r="AQ45" s="3643" t="s">
        <v>4552</v>
      </c>
      <c r="AR45" s="3643" t="s">
        <v>4552</v>
      </c>
      <c r="AS45" s="3643">
        <v>0</v>
      </c>
      <c r="AT45" s="3643" t="s">
        <v>4572</v>
      </c>
      <c r="AU45" s="3643" t="s">
        <v>4551</v>
      </c>
      <c r="AV45" s="3643" t="s">
        <v>4552</v>
      </c>
      <c r="AW45" s="3643" t="s">
        <v>4551</v>
      </c>
      <c r="AX45" s="3643" t="s">
        <v>4552</v>
      </c>
      <c r="AY45" s="3643" t="s">
        <v>4552</v>
      </c>
      <c r="AZ45" s="3643" t="s">
        <v>4552</v>
      </c>
    </row>
    <row r="46" spans="1:52">
      <c r="A46" s="3643" t="s">
        <v>4874</v>
      </c>
      <c r="B46" s="3643" t="s">
        <v>3367</v>
      </c>
      <c r="C46" s="3643" t="s">
        <v>4875</v>
      </c>
      <c r="D46" s="3643" t="s">
        <v>4543</v>
      </c>
      <c r="E46" s="3643" t="s">
        <v>4748</v>
      </c>
      <c r="F46" s="3643" t="s">
        <v>4876</v>
      </c>
      <c r="G46" s="3643" t="s">
        <v>4829</v>
      </c>
      <c r="H46" s="3643" t="s">
        <v>4547</v>
      </c>
      <c r="I46" s="3643">
        <v>5352.65</v>
      </c>
      <c r="J46" s="3643">
        <v>843</v>
      </c>
      <c r="K46" s="3643" t="s">
        <v>4877</v>
      </c>
      <c r="L46" s="3643" t="s">
        <v>4548</v>
      </c>
      <c r="M46" s="3643" t="s">
        <v>4657</v>
      </c>
      <c r="N46" s="3643" t="s">
        <v>4550</v>
      </c>
      <c r="O46" s="3643" t="s">
        <v>4551</v>
      </c>
      <c r="P46" s="3643" t="s">
        <v>4552</v>
      </c>
      <c r="Q46" s="3643" t="s">
        <v>4878</v>
      </c>
      <c r="R46" s="3643" t="s">
        <v>4552</v>
      </c>
      <c r="S46" s="3643" t="s">
        <v>4552</v>
      </c>
      <c r="T46" s="3643" t="s">
        <v>4552</v>
      </c>
      <c r="U46" s="3643" t="s">
        <v>4552</v>
      </c>
      <c r="V46" s="3643">
        <v>0</v>
      </c>
      <c r="W46" s="3643">
        <v>0</v>
      </c>
      <c r="X46" s="3643">
        <v>0</v>
      </c>
      <c r="Y46" s="3643">
        <v>0</v>
      </c>
      <c r="Z46" s="3643">
        <v>44076.000497685185</v>
      </c>
      <c r="AA46" s="3643">
        <v>44096.000497685185</v>
      </c>
      <c r="AB46" s="3643">
        <v>44116.000497685185</v>
      </c>
      <c r="AC46" s="3644">
        <v>44116.000497685185</v>
      </c>
      <c r="AD46" s="3643" t="s">
        <v>4879</v>
      </c>
      <c r="AE46" s="3643" t="s">
        <v>4554</v>
      </c>
      <c r="AF46" s="3643" t="s">
        <v>4833</v>
      </c>
      <c r="AG46" s="3643" t="s">
        <v>4552</v>
      </c>
      <c r="AH46" s="3643" t="s">
        <v>4552</v>
      </c>
      <c r="AI46" s="3643">
        <v>1310</v>
      </c>
      <c r="AJ46" s="3643">
        <v>300</v>
      </c>
      <c r="AK46" s="3643" t="s">
        <v>4880</v>
      </c>
      <c r="AL46" s="3643">
        <v>1310</v>
      </c>
      <c r="AM46" s="3643">
        <v>163.16</v>
      </c>
      <c r="AN46" s="3643">
        <v>163.16</v>
      </c>
      <c r="AO46" s="3643">
        <v>15540</v>
      </c>
      <c r="AP46" s="3643">
        <v>15540</v>
      </c>
      <c r="AQ46" s="3643" t="s">
        <v>4552</v>
      </c>
      <c r="AR46" s="3643" t="s">
        <v>4552</v>
      </c>
      <c r="AS46" s="3643">
        <v>0</v>
      </c>
      <c r="AT46" s="3643" t="s">
        <v>4572</v>
      </c>
      <c r="AU46" s="3643" t="s">
        <v>4551</v>
      </c>
      <c r="AV46" s="3643" t="s">
        <v>4552</v>
      </c>
      <c r="AW46" s="3643" t="s">
        <v>4551</v>
      </c>
      <c r="AX46" s="3643" t="s">
        <v>4552</v>
      </c>
      <c r="AY46" s="3643" t="s">
        <v>4552</v>
      </c>
      <c r="AZ46" s="3643" t="s">
        <v>4552</v>
      </c>
    </row>
    <row r="47" spans="1:52">
      <c r="A47" s="3643" t="s">
        <v>4881</v>
      </c>
      <c r="B47" s="3643" t="s">
        <v>3367</v>
      </c>
      <c r="C47" s="3643" t="s">
        <v>4882</v>
      </c>
      <c r="D47" s="3643" t="s">
        <v>4543</v>
      </c>
      <c r="E47" s="3643" t="s">
        <v>4748</v>
      </c>
      <c r="F47" s="3643" t="s">
        <v>4876</v>
      </c>
      <c r="G47" s="3643" t="s">
        <v>4829</v>
      </c>
      <c r="H47" s="3643" t="s">
        <v>4547</v>
      </c>
      <c r="I47" s="3643">
        <v>36823.82</v>
      </c>
      <c r="J47" s="3643">
        <v>25187</v>
      </c>
      <c r="K47" s="3643" t="s">
        <v>4883</v>
      </c>
      <c r="L47" s="3643" t="s">
        <v>4548</v>
      </c>
      <c r="M47" s="3643" t="s">
        <v>4585</v>
      </c>
      <c r="N47" s="3643" t="s">
        <v>4550</v>
      </c>
      <c r="O47" s="3643" t="s">
        <v>4551</v>
      </c>
      <c r="P47" s="3643" t="s">
        <v>4552</v>
      </c>
      <c r="Q47" s="3643" t="s">
        <v>4884</v>
      </c>
      <c r="R47" s="3643" t="s">
        <v>4552</v>
      </c>
      <c r="S47" s="3643" t="s">
        <v>4552</v>
      </c>
      <c r="T47" s="3643" t="s">
        <v>4552</v>
      </c>
      <c r="U47" s="3643" t="s">
        <v>4552</v>
      </c>
      <c r="V47" s="3643">
        <v>0</v>
      </c>
      <c r="W47" s="3643">
        <v>0</v>
      </c>
      <c r="X47" s="3643">
        <v>0</v>
      </c>
      <c r="Y47" s="3643">
        <v>0</v>
      </c>
      <c r="Z47" s="3643">
        <v>44076.000497685185</v>
      </c>
      <c r="AA47" s="3643">
        <v>44096.000497685185</v>
      </c>
      <c r="AB47" s="3643">
        <v>44116.000497685185</v>
      </c>
      <c r="AC47" s="3644">
        <v>44116.000497685185</v>
      </c>
      <c r="AD47" s="3643" t="s">
        <v>4885</v>
      </c>
      <c r="AE47" s="3643" t="s">
        <v>4554</v>
      </c>
      <c r="AF47" s="3643" t="s">
        <v>4886</v>
      </c>
      <c r="AG47" s="3643" t="s">
        <v>4856</v>
      </c>
      <c r="AH47" s="3643" t="s">
        <v>4601</v>
      </c>
      <c r="AI47" s="3643">
        <v>29500</v>
      </c>
      <c r="AJ47" s="3643">
        <v>6000</v>
      </c>
      <c r="AK47" s="3643" t="s">
        <v>4880</v>
      </c>
      <c r="AL47" s="3643">
        <v>29500</v>
      </c>
      <c r="AM47" s="3643">
        <v>534.07000000000005</v>
      </c>
      <c r="AN47" s="3643">
        <v>534.07000000000005</v>
      </c>
      <c r="AO47" s="3643">
        <v>11712</v>
      </c>
      <c r="AP47" s="3643">
        <v>11712</v>
      </c>
      <c r="AQ47" s="3643" t="s">
        <v>4552</v>
      </c>
      <c r="AR47" s="3643" t="s">
        <v>4552</v>
      </c>
      <c r="AS47" s="3643">
        <v>0</v>
      </c>
      <c r="AT47" s="3643" t="s">
        <v>4572</v>
      </c>
      <c r="AU47" s="3643" t="s">
        <v>4551</v>
      </c>
      <c r="AV47" s="3643" t="s">
        <v>4552</v>
      </c>
      <c r="AW47" s="3643" t="s">
        <v>4551</v>
      </c>
      <c r="AX47" s="3643" t="s">
        <v>4552</v>
      </c>
      <c r="AY47" s="3643" t="s">
        <v>4552</v>
      </c>
      <c r="AZ47" s="3643" t="s">
        <v>4552</v>
      </c>
    </row>
    <row r="48" spans="1:52">
      <c r="A48" s="3643" t="s">
        <v>4887</v>
      </c>
      <c r="B48" s="3643" t="s">
        <v>3367</v>
      </c>
      <c r="C48" s="3643" t="s">
        <v>4888</v>
      </c>
      <c r="D48" s="3643" t="s">
        <v>4543</v>
      </c>
      <c r="E48" s="3643" t="s">
        <v>4634</v>
      </c>
      <c r="F48" s="3643" t="s">
        <v>4716</v>
      </c>
      <c r="G48" s="3643" t="s">
        <v>4889</v>
      </c>
      <c r="H48" s="3643" t="s">
        <v>4547</v>
      </c>
      <c r="I48" s="3643">
        <v>265269.8</v>
      </c>
      <c r="J48" s="3643">
        <v>665975.69999999995</v>
      </c>
      <c r="K48" s="3643" t="s">
        <v>4890</v>
      </c>
      <c r="L48" s="3643" t="s">
        <v>4548</v>
      </c>
      <c r="M48" s="3643" t="s">
        <v>4585</v>
      </c>
      <c r="N48" s="3643" t="s">
        <v>4550</v>
      </c>
      <c r="O48" s="3643" t="s">
        <v>4551</v>
      </c>
      <c r="P48" s="3643" t="s">
        <v>4891</v>
      </c>
      <c r="Q48" s="3643" t="s">
        <v>4892</v>
      </c>
      <c r="R48" s="3643" t="s">
        <v>4552</v>
      </c>
      <c r="S48" s="3643" t="s">
        <v>4552</v>
      </c>
      <c r="T48" s="3643" t="s">
        <v>4552</v>
      </c>
      <c r="U48" s="3643" t="s">
        <v>4552</v>
      </c>
      <c r="V48" s="3643">
        <v>0</v>
      </c>
      <c r="W48" s="3643">
        <v>0</v>
      </c>
      <c r="X48" s="3643">
        <v>0</v>
      </c>
      <c r="Y48" s="3643">
        <v>0</v>
      </c>
      <c r="Z48" s="3643">
        <v>44012.000497685185</v>
      </c>
      <c r="AA48" s="3643">
        <v>44032.000497685185</v>
      </c>
      <c r="AB48" s="3643">
        <v>44046.000497685185</v>
      </c>
      <c r="AC48" s="3644">
        <v>44046.000497685185</v>
      </c>
      <c r="AD48" s="3643" t="s">
        <v>4893</v>
      </c>
      <c r="AE48" s="3643" t="s">
        <v>4554</v>
      </c>
      <c r="AF48" s="3643" t="s">
        <v>4894</v>
      </c>
      <c r="AG48" s="3643" t="s">
        <v>4895</v>
      </c>
      <c r="AH48" s="3643" t="s">
        <v>4601</v>
      </c>
      <c r="AI48" s="3643">
        <v>699300</v>
      </c>
      <c r="AJ48" s="3643">
        <v>139900</v>
      </c>
      <c r="AK48" s="3643" t="s">
        <v>4896</v>
      </c>
      <c r="AL48" s="3643">
        <v>699300</v>
      </c>
      <c r="AM48" s="3643">
        <v>1757.46</v>
      </c>
      <c r="AN48" s="3643">
        <v>1757.46</v>
      </c>
      <c r="AO48" s="3643">
        <v>10500</v>
      </c>
      <c r="AP48" s="3643">
        <v>10500</v>
      </c>
      <c r="AQ48" s="3643" t="s">
        <v>4552</v>
      </c>
      <c r="AR48" s="3643" t="s">
        <v>4552</v>
      </c>
      <c r="AS48" s="3643">
        <v>0</v>
      </c>
      <c r="AT48" s="3643" t="s">
        <v>4572</v>
      </c>
      <c r="AU48" s="3643" t="s">
        <v>4551</v>
      </c>
      <c r="AV48" s="3643" t="s">
        <v>4552</v>
      </c>
      <c r="AW48" s="3643" t="s">
        <v>4551</v>
      </c>
      <c r="AX48" s="3643" t="s">
        <v>4552</v>
      </c>
      <c r="AY48" s="3643" t="s">
        <v>4552</v>
      </c>
      <c r="AZ48" s="3643" t="s">
        <v>4552</v>
      </c>
    </row>
    <row r="49" spans="1:52">
      <c r="A49" s="3643" t="s">
        <v>4897</v>
      </c>
      <c r="B49" s="3643" t="s">
        <v>3367</v>
      </c>
      <c r="C49" s="3643" t="s">
        <v>4898</v>
      </c>
      <c r="D49" s="3643" t="s">
        <v>4543</v>
      </c>
      <c r="E49" s="3643" t="s">
        <v>4544</v>
      </c>
      <c r="F49" s="3643" t="s">
        <v>4899</v>
      </c>
      <c r="G49" s="3643" t="s">
        <v>4900</v>
      </c>
      <c r="H49" s="3643" t="s">
        <v>4547</v>
      </c>
      <c r="I49" s="3643">
        <v>7289.19</v>
      </c>
      <c r="J49" s="3643">
        <v>21867.57</v>
      </c>
      <c r="K49" s="3643" t="s">
        <v>4839</v>
      </c>
      <c r="L49" s="3643" t="s">
        <v>4548</v>
      </c>
      <c r="M49" s="3643" t="s">
        <v>4901</v>
      </c>
      <c r="N49" s="3643" t="s">
        <v>4550</v>
      </c>
      <c r="O49" s="3643" t="s">
        <v>4551</v>
      </c>
      <c r="P49" s="3643" t="s">
        <v>4902</v>
      </c>
      <c r="Q49" s="3643" t="s">
        <v>4861</v>
      </c>
      <c r="R49" s="3643" t="s">
        <v>4552</v>
      </c>
      <c r="S49" s="3643" t="s">
        <v>4552</v>
      </c>
      <c r="T49" s="3643" t="s">
        <v>4552</v>
      </c>
      <c r="U49" s="3643" t="s">
        <v>4552</v>
      </c>
      <c r="V49" s="3643">
        <v>0</v>
      </c>
      <c r="W49" s="3643">
        <v>0</v>
      </c>
      <c r="X49" s="3643">
        <v>0</v>
      </c>
      <c r="Y49" s="3643">
        <v>0</v>
      </c>
      <c r="Z49" s="3643">
        <v>43889.000497685185</v>
      </c>
      <c r="AA49" s="3643">
        <v>43909.000497685185</v>
      </c>
      <c r="AB49" s="3643">
        <v>43923.000497685185</v>
      </c>
      <c r="AC49" s="3644">
        <v>43923.000497685185</v>
      </c>
      <c r="AD49" s="3643" t="s">
        <v>4903</v>
      </c>
      <c r="AE49" s="3643" t="s">
        <v>4554</v>
      </c>
      <c r="AF49" s="3643" t="s">
        <v>4904</v>
      </c>
      <c r="AG49" s="3643" t="s">
        <v>4905</v>
      </c>
      <c r="AH49" s="3643" t="s">
        <v>4601</v>
      </c>
      <c r="AI49" s="3643">
        <v>35200</v>
      </c>
      <c r="AJ49" s="3643">
        <v>7100</v>
      </c>
      <c r="AK49" s="3643" t="s">
        <v>4906</v>
      </c>
      <c r="AL49" s="3643">
        <v>35200</v>
      </c>
      <c r="AM49" s="3643">
        <v>3219.38</v>
      </c>
      <c r="AN49" s="3643">
        <v>3219.38</v>
      </c>
      <c r="AO49" s="3643">
        <v>16097</v>
      </c>
      <c r="AP49" s="3643">
        <v>16097</v>
      </c>
      <c r="AQ49" s="3643" t="s">
        <v>4552</v>
      </c>
      <c r="AR49" s="3643" t="s">
        <v>4552</v>
      </c>
      <c r="AS49" s="3643">
        <v>0</v>
      </c>
      <c r="AT49" s="3643" t="s">
        <v>4572</v>
      </c>
      <c r="AU49" s="3643" t="s">
        <v>4551</v>
      </c>
      <c r="AV49" s="3643" t="s">
        <v>4552</v>
      </c>
      <c r="AW49" s="3643" t="s">
        <v>4551</v>
      </c>
      <c r="AX49" s="3643" t="s">
        <v>4552</v>
      </c>
      <c r="AY49" s="3643" t="s">
        <v>4552</v>
      </c>
      <c r="AZ49" s="3643" t="s">
        <v>4552</v>
      </c>
    </row>
    <row r="50" spans="1:52">
      <c r="A50" s="3643" t="s">
        <v>4907</v>
      </c>
      <c r="B50" s="3643" t="s">
        <v>3367</v>
      </c>
      <c r="C50" s="3643" t="s">
        <v>4908</v>
      </c>
      <c r="D50" s="3643" t="s">
        <v>4543</v>
      </c>
      <c r="E50" s="3643" t="s">
        <v>4909</v>
      </c>
      <c r="F50" s="3643" t="s">
        <v>4910</v>
      </c>
      <c r="G50" s="3643" t="s">
        <v>4911</v>
      </c>
      <c r="H50" s="3643" t="s">
        <v>4547</v>
      </c>
      <c r="I50" s="3643">
        <v>12501.51</v>
      </c>
      <c r="J50" s="3643">
        <v>37505</v>
      </c>
      <c r="K50" s="3643" t="s">
        <v>4839</v>
      </c>
      <c r="L50" s="3643" t="s">
        <v>4548</v>
      </c>
      <c r="M50" s="3643" t="s">
        <v>4585</v>
      </c>
      <c r="N50" s="3643" t="s">
        <v>4550</v>
      </c>
      <c r="O50" s="3643" t="s">
        <v>4551</v>
      </c>
      <c r="P50" s="3643" t="s">
        <v>4552</v>
      </c>
      <c r="Q50" s="3643" t="s">
        <v>4841</v>
      </c>
      <c r="R50" s="3643" t="s">
        <v>4552</v>
      </c>
      <c r="S50" s="3643" t="s">
        <v>4552</v>
      </c>
      <c r="T50" s="3643" t="s">
        <v>4552</v>
      </c>
      <c r="U50" s="3643" t="s">
        <v>4552</v>
      </c>
      <c r="V50" s="3643">
        <v>0</v>
      </c>
      <c r="W50" s="3643">
        <v>0</v>
      </c>
      <c r="X50" s="3643">
        <v>0</v>
      </c>
      <c r="Y50" s="3643">
        <v>0</v>
      </c>
      <c r="Z50" s="3643">
        <v>43889.000497685185</v>
      </c>
      <c r="AA50" s="3643">
        <v>43909.000497685185</v>
      </c>
      <c r="AB50" s="3643">
        <v>43923.000497685185</v>
      </c>
      <c r="AC50" s="3644">
        <v>43923.000497685185</v>
      </c>
      <c r="AD50" s="3643" t="s">
        <v>4912</v>
      </c>
      <c r="AE50" s="3643" t="s">
        <v>4554</v>
      </c>
      <c r="AF50" s="3643" t="s">
        <v>4913</v>
      </c>
      <c r="AG50" s="3643" t="s">
        <v>4914</v>
      </c>
      <c r="AH50" s="3643" t="s">
        <v>4557</v>
      </c>
      <c r="AI50" s="3643">
        <v>56000</v>
      </c>
      <c r="AJ50" s="3643">
        <v>11200</v>
      </c>
      <c r="AK50" s="3643" t="s">
        <v>4906</v>
      </c>
      <c r="AL50" s="3643">
        <v>56000</v>
      </c>
      <c r="AM50" s="3643">
        <v>2986.31</v>
      </c>
      <c r="AN50" s="3643">
        <v>2986.31</v>
      </c>
      <c r="AO50" s="3643">
        <v>14931</v>
      </c>
      <c r="AP50" s="3643">
        <v>14931</v>
      </c>
      <c r="AQ50" s="3643" t="s">
        <v>4552</v>
      </c>
      <c r="AR50" s="3643" t="s">
        <v>4552</v>
      </c>
      <c r="AS50" s="3643">
        <v>0</v>
      </c>
      <c r="AT50" s="3643" t="s">
        <v>4572</v>
      </c>
      <c r="AU50" s="3643" t="s">
        <v>4551</v>
      </c>
      <c r="AV50" s="3643" t="s">
        <v>4552</v>
      </c>
      <c r="AW50" s="3643" t="s">
        <v>4551</v>
      </c>
      <c r="AX50" s="3643" t="s">
        <v>4552</v>
      </c>
      <c r="AY50" s="3643" t="s">
        <v>4552</v>
      </c>
      <c r="AZ50" s="3643" t="s">
        <v>4552</v>
      </c>
    </row>
    <row r="51" spans="1:52">
      <c r="A51" s="3643" t="s">
        <v>4915</v>
      </c>
      <c r="B51" s="3643" t="s">
        <v>3367</v>
      </c>
      <c r="C51" s="3643" t="s">
        <v>4916</v>
      </c>
      <c r="D51" s="3643" t="s">
        <v>4543</v>
      </c>
      <c r="E51" s="3643" t="s">
        <v>4663</v>
      </c>
      <c r="F51" s="3643" t="s">
        <v>4664</v>
      </c>
      <c r="G51" s="3643" t="s">
        <v>4917</v>
      </c>
      <c r="H51" s="3643" t="s">
        <v>4547</v>
      </c>
      <c r="I51" s="3643">
        <v>30159.25</v>
      </c>
      <c r="J51" s="3643">
        <v>138421</v>
      </c>
      <c r="K51" s="3643" t="s">
        <v>4918</v>
      </c>
      <c r="L51" s="3643" t="s">
        <v>4548</v>
      </c>
      <c r="M51" s="3643" t="s">
        <v>4549</v>
      </c>
      <c r="N51" s="3643" t="s">
        <v>4550</v>
      </c>
      <c r="O51" s="3643" t="s">
        <v>4551</v>
      </c>
      <c r="P51" s="3643" t="s">
        <v>4840</v>
      </c>
      <c r="Q51" s="3643" t="s">
        <v>4919</v>
      </c>
      <c r="R51" s="3643" t="s">
        <v>4552</v>
      </c>
      <c r="S51" s="3643" t="s">
        <v>4552</v>
      </c>
      <c r="T51" s="3643" t="s">
        <v>4552</v>
      </c>
      <c r="U51" s="3643" t="s">
        <v>4552</v>
      </c>
      <c r="V51" s="3643">
        <v>0</v>
      </c>
      <c r="W51" s="3643">
        <v>0</v>
      </c>
      <c r="X51" s="3643">
        <v>0</v>
      </c>
      <c r="Y51" s="3643">
        <v>0</v>
      </c>
      <c r="Z51" s="3643">
        <v>43777.000497685185</v>
      </c>
      <c r="AA51" s="3643">
        <v>43797.000497685185</v>
      </c>
      <c r="AB51" s="3643">
        <v>43811.000497685185</v>
      </c>
      <c r="AC51" s="3644">
        <v>43811.000497685185</v>
      </c>
      <c r="AD51" s="3643" t="s">
        <v>4920</v>
      </c>
      <c r="AE51" s="3643" t="s">
        <v>4554</v>
      </c>
      <c r="AF51" s="3643" t="s">
        <v>4921</v>
      </c>
      <c r="AG51" s="3643" t="s">
        <v>4922</v>
      </c>
      <c r="AH51" s="3643" t="s">
        <v>4601</v>
      </c>
      <c r="AI51" s="3643">
        <v>230100</v>
      </c>
      <c r="AJ51" s="3643">
        <v>46100</v>
      </c>
      <c r="AK51" s="3643" t="s">
        <v>4923</v>
      </c>
      <c r="AL51" s="3643">
        <v>230100</v>
      </c>
      <c r="AM51" s="3643">
        <v>5086.33</v>
      </c>
      <c r="AN51" s="3643">
        <v>5086.33</v>
      </c>
      <c r="AO51" s="3643">
        <v>16623</v>
      </c>
      <c r="AP51" s="3643">
        <v>16623</v>
      </c>
      <c r="AQ51" s="3643" t="s">
        <v>4552</v>
      </c>
      <c r="AR51" s="3643" t="s">
        <v>4552</v>
      </c>
      <c r="AS51" s="3643">
        <v>0</v>
      </c>
      <c r="AT51" s="3643" t="s">
        <v>4572</v>
      </c>
      <c r="AU51" s="3643" t="s">
        <v>4551</v>
      </c>
      <c r="AV51" s="3643" t="s">
        <v>4552</v>
      </c>
      <c r="AW51" s="3643" t="s">
        <v>4551</v>
      </c>
      <c r="AX51" s="3643" t="s">
        <v>4552</v>
      </c>
      <c r="AY51" s="3643" t="s">
        <v>4552</v>
      </c>
      <c r="AZ51" s="3643" t="s">
        <v>4552</v>
      </c>
    </row>
    <row r="52" spans="1:52">
      <c r="A52" s="3643" t="s">
        <v>4924</v>
      </c>
      <c r="B52" s="3643" t="s">
        <v>3367</v>
      </c>
      <c r="C52" s="3643" t="s">
        <v>4925</v>
      </c>
      <c r="D52" s="3643" t="s">
        <v>4543</v>
      </c>
      <c r="E52" s="3643" t="s">
        <v>4663</v>
      </c>
      <c r="F52" s="3643" t="s">
        <v>4664</v>
      </c>
      <c r="G52" s="3643" t="s">
        <v>4917</v>
      </c>
      <c r="H52" s="3643" t="s">
        <v>4547</v>
      </c>
      <c r="I52" s="3643">
        <v>35629.120000000003</v>
      </c>
      <c r="J52" s="3643">
        <v>100429</v>
      </c>
      <c r="K52" s="3643" t="s">
        <v>4926</v>
      </c>
      <c r="L52" s="3643" t="s">
        <v>4548</v>
      </c>
      <c r="M52" s="3643" t="s">
        <v>4927</v>
      </c>
      <c r="N52" s="3643" t="s">
        <v>4550</v>
      </c>
      <c r="O52" s="3643" t="s">
        <v>4551</v>
      </c>
      <c r="P52" s="3643" t="s">
        <v>4840</v>
      </c>
      <c r="Q52" s="3643" t="s">
        <v>4928</v>
      </c>
      <c r="R52" s="3643" t="s">
        <v>4552</v>
      </c>
      <c r="S52" s="3643" t="s">
        <v>4552</v>
      </c>
      <c r="T52" s="3643" t="s">
        <v>4552</v>
      </c>
      <c r="U52" s="3643" t="s">
        <v>4552</v>
      </c>
      <c r="V52" s="3643">
        <v>0</v>
      </c>
      <c r="W52" s="3643">
        <v>0</v>
      </c>
      <c r="X52" s="3643">
        <v>0</v>
      </c>
      <c r="Y52" s="3643">
        <v>0</v>
      </c>
      <c r="Z52" s="3643">
        <v>43777.000497685185</v>
      </c>
      <c r="AA52" s="3643">
        <v>43797.000497685185</v>
      </c>
      <c r="AB52" s="3643">
        <v>43811.000497685185</v>
      </c>
      <c r="AC52" s="3644">
        <v>43811.000497685185</v>
      </c>
      <c r="AD52" s="3643" t="s">
        <v>4929</v>
      </c>
      <c r="AE52" s="3643" t="s">
        <v>4554</v>
      </c>
      <c r="AF52" s="3643" t="s">
        <v>4921</v>
      </c>
      <c r="AG52" s="3643" t="s">
        <v>4922</v>
      </c>
      <c r="AH52" s="3643" t="s">
        <v>4601</v>
      </c>
      <c r="AI52" s="3643">
        <v>166700</v>
      </c>
      <c r="AJ52" s="3643">
        <v>33400</v>
      </c>
      <c r="AK52" s="3643" t="s">
        <v>4923</v>
      </c>
      <c r="AL52" s="3643">
        <v>166700</v>
      </c>
      <c r="AM52" s="3643">
        <v>3119.17</v>
      </c>
      <c r="AN52" s="3643">
        <v>3119.17</v>
      </c>
      <c r="AO52" s="3643">
        <v>16599</v>
      </c>
      <c r="AP52" s="3643">
        <v>16599</v>
      </c>
      <c r="AQ52" s="3643" t="s">
        <v>4552</v>
      </c>
      <c r="AR52" s="3643" t="s">
        <v>4552</v>
      </c>
      <c r="AS52" s="3643">
        <v>0</v>
      </c>
      <c r="AT52" s="3643" t="s">
        <v>4572</v>
      </c>
      <c r="AU52" s="3643" t="s">
        <v>4551</v>
      </c>
      <c r="AV52" s="3643" t="s">
        <v>4552</v>
      </c>
      <c r="AW52" s="3643" t="s">
        <v>4551</v>
      </c>
      <c r="AX52" s="3643" t="s">
        <v>4552</v>
      </c>
      <c r="AY52" s="3643" t="s">
        <v>4552</v>
      </c>
      <c r="AZ52" s="3643" t="s">
        <v>4552</v>
      </c>
    </row>
    <row r="53" spans="1:52">
      <c r="A53" s="3643" t="s">
        <v>4930</v>
      </c>
      <c r="B53" s="3643" t="s">
        <v>3367</v>
      </c>
      <c r="C53" s="3643" t="s">
        <v>4931</v>
      </c>
      <c r="D53" s="3643" t="s">
        <v>4543</v>
      </c>
      <c r="E53" s="3643" t="s">
        <v>4562</v>
      </c>
      <c r="F53" s="3643" t="s">
        <v>4932</v>
      </c>
      <c r="G53" s="3643" t="s">
        <v>4933</v>
      </c>
      <c r="H53" s="3643" t="s">
        <v>4547</v>
      </c>
      <c r="I53" s="3643">
        <v>70601.070000000007</v>
      </c>
      <c r="J53" s="3643">
        <v>285523</v>
      </c>
      <c r="K53" s="3643" t="s">
        <v>4934</v>
      </c>
      <c r="L53" s="3643" t="s">
        <v>4851</v>
      </c>
      <c r="M53" s="3643" t="s">
        <v>4935</v>
      </c>
      <c r="N53" s="3643" t="s">
        <v>4550</v>
      </c>
      <c r="O53" s="3643" t="s">
        <v>4551</v>
      </c>
      <c r="P53" s="3643" t="s">
        <v>4552</v>
      </c>
      <c r="Q53" s="3643" t="s">
        <v>4552</v>
      </c>
      <c r="R53" s="3643" t="s">
        <v>4552</v>
      </c>
      <c r="S53" s="3643" t="s">
        <v>4552</v>
      </c>
      <c r="T53" s="3643" t="s">
        <v>4552</v>
      </c>
      <c r="U53" s="3643" t="s">
        <v>4552</v>
      </c>
      <c r="V53" s="3643">
        <v>0</v>
      </c>
      <c r="W53" s="3643">
        <v>0</v>
      </c>
      <c r="X53" s="3643">
        <v>0</v>
      </c>
      <c r="Y53" s="3643">
        <v>0</v>
      </c>
      <c r="Z53" s="3643">
        <v>43770.000497685185</v>
      </c>
      <c r="AA53" s="3643">
        <v>43798.000497685185</v>
      </c>
      <c r="AB53" s="3643">
        <v>43801.000497685185</v>
      </c>
      <c r="AC53" s="3644">
        <v>43801.000497685185</v>
      </c>
      <c r="AD53" s="3643" t="s">
        <v>4936</v>
      </c>
      <c r="AE53" s="3643" t="s">
        <v>4554</v>
      </c>
      <c r="AF53" s="3643" t="s">
        <v>4937</v>
      </c>
      <c r="AG53" s="3643" t="s">
        <v>4938</v>
      </c>
      <c r="AH53" s="3643" t="s">
        <v>4570</v>
      </c>
      <c r="AI53" s="3643" t="s">
        <v>4552</v>
      </c>
      <c r="AJ53" s="3643">
        <v>131000</v>
      </c>
      <c r="AK53" s="3643" t="s">
        <v>633</v>
      </c>
      <c r="AL53" s="3643">
        <v>660900</v>
      </c>
      <c r="AM53" s="3643" t="s">
        <v>4552</v>
      </c>
      <c r="AN53" s="3643">
        <v>6240.7</v>
      </c>
      <c r="AO53" s="3643" t="s">
        <v>4552</v>
      </c>
      <c r="AP53" s="3643">
        <v>23147</v>
      </c>
      <c r="AQ53" s="3643" t="s">
        <v>4552</v>
      </c>
      <c r="AR53" s="3643" t="s">
        <v>4552</v>
      </c>
      <c r="AS53" s="3643">
        <v>0</v>
      </c>
      <c r="AT53" s="3643" t="s">
        <v>4572</v>
      </c>
      <c r="AU53" s="3643" t="s">
        <v>4551</v>
      </c>
      <c r="AV53" s="3643" t="s">
        <v>4552</v>
      </c>
      <c r="AW53" s="3643" t="s">
        <v>4551</v>
      </c>
      <c r="AX53" s="3643" t="s">
        <v>4552</v>
      </c>
      <c r="AY53" s="3643" t="s">
        <v>4552</v>
      </c>
      <c r="AZ53" s="3643" t="s">
        <v>4552</v>
      </c>
    </row>
    <row r="54" spans="1:52">
      <c r="A54" s="3643" t="s">
        <v>4939</v>
      </c>
      <c r="B54" s="3643" t="s">
        <v>3367</v>
      </c>
      <c r="C54" s="3643" t="s">
        <v>4940</v>
      </c>
      <c r="D54" s="3643" t="s">
        <v>4543</v>
      </c>
      <c r="E54" s="3643" t="s">
        <v>4592</v>
      </c>
      <c r="F54" s="3643" t="s">
        <v>4763</v>
      </c>
      <c r="G54" s="3643" t="s">
        <v>4941</v>
      </c>
      <c r="H54" s="3643" t="s">
        <v>4547</v>
      </c>
      <c r="I54" s="3643">
        <v>28003.32</v>
      </c>
      <c r="J54" s="3643">
        <v>70008</v>
      </c>
      <c r="K54" s="3643" t="s">
        <v>4942</v>
      </c>
      <c r="L54" s="3643" t="s">
        <v>4548</v>
      </c>
      <c r="M54" s="3643" t="s">
        <v>4585</v>
      </c>
      <c r="N54" s="3643" t="s">
        <v>4550</v>
      </c>
      <c r="O54" s="3643" t="s">
        <v>4551</v>
      </c>
      <c r="P54" s="3643" t="s">
        <v>4735</v>
      </c>
      <c r="Q54" s="3643" t="s">
        <v>4943</v>
      </c>
      <c r="R54" s="3643" t="s">
        <v>4552</v>
      </c>
      <c r="S54" s="3643" t="s">
        <v>4552</v>
      </c>
      <c r="T54" s="3643" t="s">
        <v>4552</v>
      </c>
      <c r="U54" s="3643" t="s">
        <v>4552</v>
      </c>
      <c r="V54" s="3643">
        <v>0</v>
      </c>
      <c r="W54" s="3643">
        <v>0</v>
      </c>
      <c r="X54" s="3643">
        <v>0</v>
      </c>
      <c r="Y54" s="3643">
        <v>0</v>
      </c>
      <c r="Z54" s="3643">
        <v>43707.000497685185</v>
      </c>
      <c r="AA54" s="3643">
        <v>43737.000497685185</v>
      </c>
      <c r="AB54" s="3643">
        <v>43755.000497685185</v>
      </c>
      <c r="AC54" s="3644">
        <v>43755.000497685185</v>
      </c>
      <c r="AD54" s="3643" t="s">
        <v>4944</v>
      </c>
      <c r="AE54" s="3643" t="s">
        <v>4554</v>
      </c>
      <c r="AF54" s="3643" t="s">
        <v>4945</v>
      </c>
      <c r="AG54" s="3643" t="s">
        <v>4946</v>
      </c>
      <c r="AH54" s="3643" t="s">
        <v>4947</v>
      </c>
      <c r="AI54" s="3643">
        <v>96800</v>
      </c>
      <c r="AJ54" s="3643">
        <v>19500</v>
      </c>
      <c r="AK54" s="3643" t="s">
        <v>4948</v>
      </c>
      <c r="AL54" s="3643">
        <v>97800</v>
      </c>
      <c r="AM54" s="3643">
        <v>2304.4899999999998</v>
      </c>
      <c r="AN54" s="3643">
        <v>2328.3000000000002</v>
      </c>
      <c r="AO54" s="3643">
        <v>13827</v>
      </c>
      <c r="AP54" s="3643">
        <v>13970</v>
      </c>
      <c r="AQ54" s="3643" t="s">
        <v>4552</v>
      </c>
      <c r="AR54" s="3643" t="s">
        <v>4552</v>
      </c>
      <c r="AS54" s="3643">
        <v>1.03</v>
      </c>
      <c r="AT54" s="3643" t="s">
        <v>4559</v>
      </c>
      <c r="AU54" s="3643" t="s">
        <v>4551</v>
      </c>
      <c r="AV54" s="3643" t="s">
        <v>4552</v>
      </c>
      <c r="AW54" s="3643" t="s">
        <v>4551</v>
      </c>
      <c r="AX54" s="3643" t="s">
        <v>4552</v>
      </c>
      <c r="AY54" s="3643" t="s">
        <v>4552</v>
      </c>
      <c r="AZ54" s="3643" t="s">
        <v>4552</v>
      </c>
    </row>
    <row r="55" spans="1:52">
      <c r="A55" s="3643" t="s">
        <v>4949</v>
      </c>
      <c r="B55" s="3643" t="s">
        <v>3367</v>
      </c>
      <c r="C55" s="3643" t="s">
        <v>4950</v>
      </c>
      <c r="D55" s="3643" t="s">
        <v>4543</v>
      </c>
      <c r="E55" s="3643" t="s">
        <v>4634</v>
      </c>
      <c r="F55" s="3643" t="s">
        <v>4951</v>
      </c>
      <c r="G55" s="3643" t="s">
        <v>4952</v>
      </c>
      <c r="H55" s="3643" t="s">
        <v>4547</v>
      </c>
      <c r="I55" s="3643">
        <v>42276.47</v>
      </c>
      <c r="J55" s="3643">
        <v>84552.93</v>
      </c>
      <c r="K55" s="3643" t="s">
        <v>4953</v>
      </c>
      <c r="L55" s="3643" t="s">
        <v>4548</v>
      </c>
      <c r="M55" s="3643" t="s">
        <v>4549</v>
      </c>
      <c r="N55" s="3643" t="s">
        <v>4550</v>
      </c>
      <c r="O55" s="3643" t="s">
        <v>4551</v>
      </c>
      <c r="P55" s="3643" t="s">
        <v>4840</v>
      </c>
      <c r="Q55" s="3643" t="s">
        <v>4954</v>
      </c>
      <c r="R55" s="3643" t="s">
        <v>4552</v>
      </c>
      <c r="S55" s="3643" t="s">
        <v>4552</v>
      </c>
      <c r="T55" s="3643" t="s">
        <v>4552</v>
      </c>
      <c r="U55" s="3643" t="s">
        <v>4552</v>
      </c>
      <c r="V55" s="3643">
        <v>0</v>
      </c>
      <c r="W55" s="3643">
        <v>0</v>
      </c>
      <c r="X55" s="3643">
        <v>0</v>
      </c>
      <c r="Y55" s="3643">
        <v>0</v>
      </c>
      <c r="Z55" s="3643">
        <v>43672.000497685185</v>
      </c>
      <c r="AA55" s="3643">
        <v>43692.000497685185</v>
      </c>
      <c r="AB55" s="3643">
        <v>43706.000497685185</v>
      </c>
      <c r="AC55" s="3644">
        <v>43706.000497685185</v>
      </c>
      <c r="AD55" s="3643" t="s">
        <v>4955</v>
      </c>
      <c r="AE55" s="3643" t="s">
        <v>4554</v>
      </c>
      <c r="AF55" s="3643" t="s">
        <v>4956</v>
      </c>
      <c r="AG55" s="3643" t="s">
        <v>4957</v>
      </c>
      <c r="AH55" s="3643" t="s">
        <v>4557</v>
      </c>
      <c r="AI55" s="3643">
        <v>95000</v>
      </c>
      <c r="AJ55" s="3643">
        <v>19000</v>
      </c>
      <c r="AK55" s="3643" t="s">
        <v>4958</v>
      </c>
      <c r="AL55" s="3643">
        <v>96500</v>
      </c>
      <c r="AM55" s="3643">
        <v>1498.08</v>
      </c>
      <c r="AN55" s="3643">
        <v>1521.73</v>
      </c>
      <c r="AO55" s="3643">
        <v>11236</v>
      </c>
      <c r="AP55" s="3643">
        <v>11413</v>
      </c>
      <c r="AQ55" s="3643" t="s">
        <v>4552</v>
      </c>
      <c r="AR55" s="3643" t="s">
        <v>4552</v>
      </c>
      <c r="AS55" s="3643">
        <v>1.58</v>
      </c>
      <c r="AT55" s="3643" t="s">
        <v>4959</v>
      </c>
      <c r="AU55" s="3643" t="s">
        <v>4551</v>
      </c>
      <c r="AV55" s="3643" t="s">
        <v>4552</v>
      </c>
      <c r="AW55" s="3643" t="s">
        <v>4551</v>
      </c>
      <c r="AX55" s="3643" t="s">
        <v>4552</v>
      </c>
      <c r="AY55" s="3643" t="s">
        <v>4552</v>
      </c>
      <c r="AZ55" s="3643" t="s">
        <v>4552</v>
      </c>
    </row>
    <row r="56" spans="1:52">
      <c r="A56" s="3643" t="s">
        <v>4960</v>
      </c>
      <c r="B56" s="3643" t="s">
        <v>3367</v>
      </c>
      <c r="C56" s="3643" t="s">
        <v>4961</v>
      </c>
      <c r="D56" s="3643" t="s">
        <v>4543</v>
      </c>
      <c r="E56" s="3643" t="s">
        <v>4562</v>
      </c>
      <c r="F56" s="3643" t="s">
        <v>4962</v>
      </c>
      <c r="G56" s="3643" t="s">
        <v>4963</v>
      </c>
      <c r="H56" s="3643" t="s">
        <v>4547</v>
      </c>
      <c r="I56" s="3643">
        <v>22035.93</v>
      </c>
      <c r="J56" s="3643">
        <v>61700.6</v>
      </c>
      <c r="K56" s="3643" t="s">
        <v>4627</v>
      </c>
      <c r="L56" s="3643" t="s">
        <v>4548</v>
      </c>
      <c r="M56" s="3643" t="s">
        <v>4549</v>
      </c>
      <c r="N56" s="3643" t="s">
        <v>4550</v>
      </c>
      <c r="O56" s="3643" t="s">
        <v>4551</v>
      </c>
      <c r="P56" s="3643" t="s">
        <v>4735</v>
      </c>
      <c r="Q56" s="3643" t="s">
        <v>4861</v>
      </c>
      <c r="R56" s="3643" t="s">
        <v>4552</v>
      </c>
      <c r="S56" s="3643" t="s">
        <v>4552</v>
      </c>
      <c r="T56" s="3643" t="s">
        <v>4552</v>
      </c>
      <c r="U56" s="3643" t="s">
        <v>4552</v>
      </c>
      <c r="V56" s="3643">
        <v>0</v>
      </c>
      <c r="W56" s="3643">
        <v>0</v>
      </c>
      <c r="X56" s="3643">
        <v>0</v>
      </c>
      <c r="Y56" s="3643">
        <v>0</v>
      </c>
      <c r="Z56" s="3643">
        <v>43616.000497685185</v>
      </c>
      <c r="AA56" s="3643">
        <v>43636.000497685185</v>
      </c>
      <c r="AB56" s="3643">
        <v>43650.000497685185</v>
      </c>
      <c r="AC56" s="3644">
        <v>43650.000497685185</v>
      </c>
      <c r="AD56" s="3643" t="s">
        <v>4964</v>
      </c>
      <c r="AE56" s="3643" t="s">
        <v>4554</v>
      </c>
      <c r="AF56" s="3643" t="s">
        <v>4965</v>
      </c>
      <c r="AG56" s="3643" t="s">
        <v>4579</v>
      </c>
      <c r="AH56" s="3643" t="s">
        <v>4570</v>
      </c>
      <c r="AI56" s="3643">
        <v>103700</v>
      </c>
      <c r="AJ56" s="3643">
        <v>21000</v>
      </c>
      <c r="AK56" s="3643" t="s">
        <v>633</v>
      </c>
      <c r="AL56" s="3643">
        <v>103700</v>
      </c>
      <c r="AM56" s="3643">
        <v>3137.3</v>
      </c>
      <c r="AN56" s="3643">
        <v>3137.3</v>
      </c>
      <c r="AO56" s="3643">
        <v>16807</v>
      </c>
      <c r="AP56" s="3643">
        <v>16807</v>
      </c>
      <c r="AQ56" s="3643" t="s">
        <v>4552</v>
      </c>
      <c r="AR56" s="3643" t="s">
        <v>4552</v>
      </c>
      <c r="AS56" s="3643">
        <v>0</v>
      </c>
      <c r="AT56" s="3643" t="s">
        <v>4572</v>
      </c>
      <c r="AU56" s="3643" t="s">
        <v>4551</v>
      </c>
      <c r="AV56" s="3643" t="s">
        <v>4552</v>
      </c>
      <c r="AW56" s="3643" t="s">
        <v>4551</v>
      </c>
      <c r="AX56" s="3643" t="s">
        <v>4552</v>
      </c>
      <c r="AY56" s="3643" t="s">
        <v>4552</v>
      </c>
      <c r="AZ56" s="3643" t="s">
        <v>4552</v>
      </c>
    </row>
    <row r="57" spans="1:52">
      <c r="A57" s="3643" t="s">
        <v>4966</v>
      </c>
      <c r="B57" s="3643" t="s">
        <v>3367</v>
      </c>
      <c r="C57" s="3643" t="s">
        <v>4967</v>
      </c>
      <c r="D57" s="3643" t="s">
        <v>4543</v>
      </c>
      <c r="E57" s="3643" t="s">
        <v>4663</v>
      </c>
      <c r="F57" s="3643" t="s">
        <v>4664</v>
      </c>
      <c r="G57" s="3643" t="s">
        <v>4968</v>
      </c>
      <c r="H57" s="3643" t="s">
        <v>4547</v>
      </c>
      <c r="I57" s="3643">
        <v>35244.94</v>
      </c>
      <c r="J57" s="3643">
        <v>123357</v>
      </c>
      <c r="K57" s="3643">
        <v>3.5</v>
      </c>
      <c r="L57" s="3643" t="s">
        <v>4548</v>
      </c>
      <c r="M57" s="3643" t="s">
        <v>4549</v>
      </c>
      <c r="N57" s="3643" t="s">
        <v>4550</v>
      </c>
      <c r="O57" s="3643" t="s">
        <v>4551</v>
      </c>
      <c r="P57" s="3643" t="s">
        <v>4552</v>
      </c>
      <c r="Q57" s="3643" t="s">
        <v>4552</v>
      </c>
      <c r="R57" s="3643" t="s">
        <v>4552</v>
      </c>
      <c r="S57" s="3643" t="s">
        <v>4552</v>
      </c>
      <c r="T57" s="3643" t="s">
        <v>4552</v>
      </c>
      <c r="U57" s="3643" t="s">
        <v>4552</v>
      </c>
      <c r="V57" s="3643">
        <v>0</v>
      </c>
      <c r="W57" s="3643">
        <v>0</v>
      </c>
      <c r="X57" s="3643">
        <v>0</v>
      </c>
      <c r="Y57" s="3643">
        <v>0</v>
      </c>
      <c r="Z57" s="3643">
        <v>42296.000497685185</v>
      </c>
      <c r="AA57" s="3643">
        <v>42317.000497685185</v>
      </c>
      <c r="AB57" s="3643">
        <v>42331.000497685185</v>
      </c>
      <c r="AC57" s="3644">
        <v>42331.000497685185</v>
      </c>
      <c r="AD57" s="3643" t="s">
        <v>4969</v>
      </c>
      <c r="AE57" s="3643" t="s">
        <v>4554</v>
      </c>
      <c r="AF57" s="3643" t="s">
        <v>4970</v>
      </c>
      <c r="AG57" s="3643" t="s">
        <v>4971</v>
      </c>
      <c r="AH57" s="3643" t="s">
        <v>4601</v>
      </c>
      <c r="AI57" s="3643">
        <v>160000</v>
      </c>
      <c r="AJ57" s="3643">
        <v>48000</v>
      </c>
      <c r="AK57" s="3643" t="s">
        <v>633</v>
      </c>
      <c r="AL57" s="3643">
        <v>354000</v>
      </c>
      <c r="AM57" s="3643">
        <v>3026.44</v>
      </c>
      <c r="AN57" s="3643">
        <v>6696</v>
      </c>
      <c r="AO57" s="3643">
        <v>12970</v>
      </c>
      <c r="AP57" s="3643">
        <v>28697</v>
      </c>
      <c r="AQ57" s="3643" t="s">
        <v>4552</v>
      </c>
      <c r="AR57" s="3643" t="s">
        <v>4552</v>
      </c>
      <c r="AS57" s="3643">
        <v>121.25</v>
      </c>
      <c r="AT57" s="3643" t="s">
        <v>4572</v>
      </c>
      <c r="AU57" s="3643" t="s">
        <v>4551</v>
      </c>
      <c r="AV57" s="3643" t="s">
        <v>4552</v>
      </c>
      <c r="AW57" s="3643" t="s">
        <v>4551</v>
      </c>
      <c r="AX57" s="3643" t="s">
        <v>4552</v>
      </c>
      <c r="AY57" s="3643" t="s">
        <v>4552</v>
      </c>
      <c r="AZ57" s="3643" t="s">
        <v>4552</v>
      </c>
    </row>
  </sheetData>
  <phoneticPr fontId="1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5" zoomScale="90" zoomScaleNormal="80" zoomScaleSheetLayoutView="90" workbookViewId="0">
      <selection activeCell="G44" sqref="G44"/>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1910</v>
      </c>
      <c r="B1" s="197"/>
      <c r="C1" s="201" t="s">
        <v>1911</v>
      </c>
      <c r="D1" s="342">
        <f>SUM(D33:D34,D37:D42)</f>
        <v>48720.729999999974</v>
      </c>
      <c r="E1" s="1995"/>
      <c r="F1" s="1995"/>
      <c r="G1" s="1995"/>
      <c r="H1" s="1995"/>
      <c r="I1" s="1995"/>
      <c r="J1" s="1995"/>
      <c r="K1" s="1119"/>
      <c r="L1" s="1996" t="s">
        <v>1912</v>
      </c>
      <c r="M1" s="863">
        <f>SUMPRODUCT((区片价!B5:B9=I2)*(区片价!C3:G3=E2)*(区片价!C5:G9))</f>
        <v>0</v>
      </c>
      <c r="N1" s="866">
        <f>SUMPRODUCT((因素修正幅度!B5:B9=I2)*(因素修正幅度!C3:G3=E2)*(因素修正幅度!C5:G9))</f>
        <v>0</v>
      </c>
      <c r="O1" s="1997"/>
      <c r="P1" s="1997"/>
      <c r="Q1" s="1119"/>
      <c r="R1" s="1212" t="s">
        <v>1913</v>
      </c>
      <c r="S1" s="1212" t="s">
        <v>1914</v>
      </c>
      <c r="T1" s="1212" t="s">
        <v>1915</v>
      </c>
      <c r="U1" s="1212" t="s">
        <v>1916</v>
      </c>
      <c r="V1" s="1212" t="s">
        <v>1917</v>
      </c>
      <c r="W1" s="1216"/>
      <c r="X1" s="1216"/>
      <c r="Y1" s="1216"/>
      <c r="Z1" s="1216"/>
      <c r="AA1" s="1216"/>
      <c r="AB1" s="1216"/>
      <c r="AC1" s="1217"/>
      <c r="AD1" s="1218"/>
      <c r="AE1" s="1218"/>
      <c r="AF1" s="1218"/>
      <c r="AG1" s="1218"/>
      <c r="AH1" s="1218"/>
      <c r="AI1" s="1218"/>
      <c r="AJ1" s="1219"/>
    </row>
    <row r="2" spans="1:36" ht="15.75">
      <c r="A2" s="201" t="s">
        <v>1918</v>
      </c>
      <c r="B2" s="204" t="e">
        <f>C30</f>
        <v>#DIV/0!</v>
      </c>
      <c r="C2" s="1999" t="s">
        <v>1919</v>
      </c>
      <c r="D2" s="2000" t="s">
        <v>1920</v>
      </c>
      <c r="E2" s="3399" t="s">
        <v>673</v>
      </c>
      <c r="F2" s="2000" t="s">
        <v>1921</v>
      </c>
      <c r="G2" s="2001" t="str">
        <f>IF(E2="商业",项目基本情况!B37,IF(E2="办公",项目基本情况!C37,IF(E2="住宅",项目基本情况!D37,IF(E2="工业",项目基本情况!E37,项目基本情况!F37))))</f>
        <v>三级</v>
      </c>
      <c r="H2" s="2000" t="s">
        <v>1922</v>
      </c>
      <c r="I2" s="2001" t="str">
        <f>IF(E2="商业",项目基本情况!B38,IF(E2="办公",项目基本情况!C38,IF(E2="住宅",项目基本情况!D38,IF(E2="工业",项目基本情况!E38,项目基本情况!F38))))</f>
        <v>Ⅲ—21</v>
      </c>
      <c r="J2" s="2002"/>
      <c r="K2" s="1119"/>
      <c r="L2" s="2003" t="s">
        <v>1923</v>
      </c>
      <c r="M2" s="864">
        <f>SUMPRODUCT((区片价!B10:B29=I2)*(区片价!C3:G3=E2)*(区片价!C10:G29))</f>
        <v>0</v>
      </c>
      <c r="N2" s="866">
        <f>SUMPRODUCT((因素修正幅度!B10:B29=I2)*(因素修正幅度!C3:G3=E2)*(因素修正幅度!C10:G29))</f>
        <v>0</v>
      </c>
      <c r="O2" s="1119"/>
      <c r="P2" s="1119"/>
      <c r="Q2" s="1119"/>
      <c r="R2" s="1212">
        <v>1</v>
      </c>
      <c r="S2" s="3338">
        <f>ROUND(SUMPRODUCT((B106:B110=R2)*(C105:N105=G2)*(C106:N110)),4)</f>
        <v>1.5019</v>
      </c>
      <c r="T2" s="3338">
        <f t="shared" ref="T2:T16" si="0">ROUND($C$5*$C$22*$C$23*$C$24*S2*$C$28,0)</f>
        <v>22724</v>
      </c>
      <c r="U2" s="1213"/>
      <c r="V2" s="3338">
        <f>ROUND(T2*U2/10000,0)</f>
        <v>0</v>
      </c>
      <c r="W2" s="1216"/>
      <c r="X2" s="1216"/>
      <c r="Y2" s="1216"/>
      <c r="Z2" s="1216"/>
      <c r="AA2" s="1216"/>
      <c r="AB2" s="1216"/>
      <c r="AC2" s="1217"/>
      <c r="AD2" s="1218"/>
      <c r="AE2" s="1218"/>
      <c r="AF2" s="1218"/>
      <c r="AG2" s="1218"/>
      <c r="AH2" s="1218"/>
      <c r="AI2" s="1218"/>
      <c r="AJ2" s="1219"/>
    </row>
    <row r="3" spans="1:36" ht="15.75">
      <c r="A3" s="203" t="s">
        <v>1924</v>
      </c>
      <c r="B3" s="204" t="e">
        <f>ROUND(B2*10000/D1,0)</f>
        <v>#DIV/0!</v>
      </c>
      <c r="C3" s="1999" t="s">
        <v>1925</v>
      </c>
      <c r="D3" s="2000" t="s">
        <v>1926</v>
      </c>
      <c r="E3" s="3397" t="s">
        <v>2429</v>
      </c>
      <c r="F3" s="2004" t="s">
        <v>3405</v>
      </c>
      <c r="G3" s="752" t="e">
        <f>IF(F3="宗地容积率",'数据-汇总表'!I4,IF(F3="估价对象容积率",'数据-汇总表'!I6,'数据-汇总表'!I7))</f>
        <v>#DIV/0!</v>
      </c>
      <c r="H3" s="170" t="s">
        <v>1927</v>
      </c>
      <c r="I3" s="775"/>
      <c r="J3" s="2002" t="s">
        <v>1928</v>
      </c>
      <c r="K3" s="1119"/>
      <c r="L3" s="2003" t="s">
        <v>1929</v>
      </c>
      <c r="M3" s="864">
        <f>SUMPRODUCT((区片价!B30:B54=I2)*(区片价!C3:G3=E2)*(区片价!C30:G54))</f>
        <v>21200</v>
      </c>
      <c r="N3" s="866">
        <f>SUMPRODUCT((因素修正幅度!B30:B54=I2)*(因素修正幅度!C3:G3=E2)*(因素修正幅度!C30:G54))</f>
        <v>9.8000000000000004E-2</v>
      </c>
      <c r="O3" s="1119"/>
      <c r="P3" s="1119"/>
      <c r="Q3" s="1119"/>
      <c r="R3" s="1212">
        <v>2</v>
      </c>
      <c r="S3" s="3338">
        <f>ROUND(SUMPRODUCT((B106:B110=R3)*(C105:N105=G2)*(C106:N110)),4)</f>
        <v>1.1838</v>
      </c>
      <c r="T3" s="3338">
        <f t="shared" si="0"/>
        <v>17911</v>
      </c>
      <c r="U3" s="1213"/>
      <c r="V3" s="3338">
        <f t="shared" ref="V3:V16" si="1">ROUND(T3*U3/10000,0)</f>
        <v>0</v>
      </c>
      <c r="W3" s="1216"/>
      <c r="X3" s="1216"/>
      <c r="Y3" s="1216"/>
      <c r="Z3" s="1216"/>
      <c r="AA3" s="1216"/>
      <c r="AB3" s="1216"/>
      <c r="AC3" s="1217"/>
      <c r="AD3" s="1218"/>
      <c r="AE3" s="1218"/>
      <c r="AF3" s="1218"/>
      <c r="AG3" s="1218"/>
      <c r="AH3" s="1218"/>
      <c r="AI3" s="1218"/>
      <c r="AJ3" s="1219"/>
    </row>
    <row r="4" spans="1:36" ht="15.75">
      <c r="A4" s="4023"/>
      <c r="B4" s="4024"/>
      <c r="C4" s="4024"/>
      <c r="D4" s="4025"/>
      <c r="E4" s="4025"/>
      <c r="F4" s="4025"/>
      <c r="G4" s="4025"/>
      <c r="H4" s="4025"/>
      <c r="I4" s="4025"/>
      <c r="J4" s="4026"/>
      <c r="K4" s="1119"/>
      <c r="L4" s="2003" t="s">
        <v>1930</v>
      </c>
      <c r="M4" s="864">
        <f>SUMPRODUCT((区片价!B55:B86=I2)*(区片价!C3:G3=E2)*(区片价!C55:G86))</f>
        <v>0</v>
      </c>
      <c r="N4" s="866">
        <f>SUMPRODUCT((因素修正幅度!B55:B86=I2)*(因素修正幅度!C3:G3=E2)*(因素修正幅度!C55:G86))</f>
        <v>0</v>
      </c>
      <c r="O4" s="1119"/>
      <c r="P4" s="1119"/>
      <c r="Q4" s="1119"/>
      <c r="R4" s="1212">
        <v>3</v>
      </c>
      <c r="S4" s="3338">
        <f>ROUND(SUMPRODUCT((B106:B110=R4)*(C105:N105=G2)*(C106:N110)),4)</f>
        <v>1.0004999999999999</v>
      </c>
      <c r="T4" s="3338">
        <f t="shared" si="0"/>
        <v>15138</v>
      </c>
      <c r="U4" s="1213"/>
      <c r="V4" s="3338">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1931</v>
      </c>
      <c r="C5" s="753">
        <f>ROUND(IF(E2="商业",C6*C7*C17+C20,(IF(E2="住宅",C6*C13*C17+C20,IF(E2="办公",C6*C12*C17+C20,C6+C20)))),0)</f>
        <v>21200</v>
      </c>
      <c r="D5" s="1339">
        <f>ROUND(C6*C17+C20,0)</f>
        <v>21200</v>
      </c>
      <c r="E5" s="1339"/>
      <c r="F5" s="2007"/>
      <c r="G5" s="2008"/>
      <c r="H5" s="2008"/>
      <c r="I5" s="2008"/>
      <c r="J5" s="2009"/>
      <c r="K5" s="2010"/>
      <c r="L5" s="2003" t="s">
        <v>1932</v>
      </c>
      <c r="M5" s="864">
        <f>SUMPRODUCT((区片价!B87:B126=I2)*(区片价!C3:G3=E2)*(区片价!C87:G126))</f>
        <v>0</v>
      </c>
      <c r="N5" s="866">
        <f>SUMPRODUCT((因素修正幅度!B87:B126=I2)*(因素修正幅度!C3:G3=E2)*(因素修正幅度!C87:G126))</f>
        <v>0</v>
      </c>
      <c r="O5" s="1119"/>
      <c r="P5" s="1119"/>
      <c r="Q5" s="1119"/>
      <c r="R5" s="1212">
        <v>4</v>
      </c>
      <c r="S5" s="3338">
        <f>ROUND(SUMPRODUCT((B106:B110=R5)*(C105:N105=G2)*(C106:N110)),4)</f>
        <v>0.88239999999999996</v>
      </c>
      <c r="T5" s="3338">
        <f t="shared" si="0"/>
        <v>13351</v>
      </c>
      <c r="U5" s="1213"/>
      <c r="V5" s="3338">
        <f t="shared" si="1"/>
        <v>0</v>
      </c>
      <c r="W5" s="1216"/>
      <c r="X5" s="1216"/>
      <c r="Y5" s="1216"/>
      <c r="Z5" s="1216"/>
      <c r="AA5" s="1216"/>
      <c r="AB5" s="1216"/>
      <c r="AC5" s="2011"/>
      <c r="AD5" s="2012"/>
      <c r="AE5" s="2012"/>
      <c r="AF5" s="2012"/>
      <c r="AG5" s="2012"/>
      <c r="AH5" s="2012"/>
      <c r="AI5" s="2012"/>
      <c r="AJ5" s="2013"/>
    </row>
    <row r="6" spans="1:36" ht="15.75" thickBot="1">
      <c r="A6" s="2015" t="s">
        <v>1933</v>
      </c>
      <c r="B6" s="2016" t="s">
        <v>1934</v>
      </c>
      <c r="C6" s="754">
        <f>SUMIF(L1:L12,G2,M1:M12)</f>
        <v>21200</v>
      </c>
      <c r="D6" s="2017"/>
      <c r="E6" s="2018"/>
      <c r="F6" s="2018"/>
      <c r="G6" s="2019"/>
      <c r="H6" s="2019"/>
      <c r="I6" s="2019"/>
      <c r="J6" s="2020"/>
      <c r="K6" s="1384"/>
      <c r="L6" s="2003" t="s">
        <v>1935</v>
      </c>
      <c r="M6" s="864">
        <f>SUMPRODUCT((区片价!B127:B189=I2)*(区片价!C3:G3=E2)*(区片价!C127:G189))</f>
        <v>0</v>
      </c>
      <c r="N6" s="866">
        <f>SUMPRODUCT((因素修正幅度!B127:B189=I2)*(因素修正幅度!C3:G3=E2)*(因素修正幅度!C127:G189))</f>
        <v>0</v>
      </c>
      <c r="O6" s="1119"/>
      <c r="P6" s="1119"/>
      <c r="Q6" s="1119"/>
      <c r="R6" s="1212">
        <v>5</v>
      </c>
      <c r="S6" s="3338">
        <f>ROUND(SUMPRODUCT((B106:B110=R6)*(C105:N105=G2)*(C106:N110)),4)</f>
        <v>0.84799999999999998</v>
      </c>
      <c r="T6" s="3338">
        <f t="shared" si="0"/>
        <v>12831</v>
      </c>
      <c r="U6" s="1213"/>
      <c r="V6" s="3338">
        <f t="shared" si="1"/>
        <v>0</v>
      </c>
      <c r="W6" s="1216"/>
      <c r="X6" s="1216"/>
      <c r="Y6" s="1216"/>
      <c r="Z6" s="1216"/>
      <c r="AA6" s="1216"/>
      <c r="AB6" s="1216"/>
      <c r="AC6" s="2011"/>
      <c r="AD6" s="2012"/>
      <c r="AE6" s="2012"/>
      <c r="AF6" s="2012"/>
      <c r="AG6" s="2012"/>
      <c r="AH6" s="2012"/>
      <c r="AI6" s="2012"/>
      <c r="AJ6" s="2013"/>
    </row>
    <row r="7" spans="1:36" ht="24.75" thickBot="1">
      <c r="A7" s="3281" t="s">
        <v>3221</v>
      </c>
      <c r="B7" s="2021" t="s">
        <v>1936</v>
      </c>
      <c r="C7" s="755">
        <f>IF(C8="不临65条商业街",1,ROUND(1+(1.6*E8+1.2*E9+0.8*E10+0.4*E11)*C9,4))</f>
        <v>1</v>
      </c>
      <c r="D7" s="2022" t="s">
        <v>1937</v>
      </c>
      <c r="E7" s="776"/>
      <c r="F7" s="2023"/>
      <c r="G7" s="2024"/>
      <c r="H7" s="2024"/>
      <c r="I7" s="2024"/>
      <c r="J7" s="2025"/>
      <c r="K7" s="1384"/>
      <c r="L7" s="2003" t="s">
        <v>1938</v>
      </c>
      <c r="M7" s="864">
        <f>SUMPRODUCT((区片价!B190:B233=I2)*(区片价!C3:G3=E2)*(区片价!C190:G233))</f>
        <v>0</v>
      </c>
      <c r="N7" s="866">
        <f>SUMPRODUCT((因素修正幅度!B190:B233=I2)*(因素修正幅度!C3:G3=E2)*(因素修正幅度!C190:G233))</f>
        <v>0</v>
      </c>
      <c r="O7" s="1119"/>
      <c r="P7" s="1119"/>
      <c r="Q7" s="1119"/>
      <c r="R7" s="1212">
        <v>6</v>
      </c>
      <c r="S7" s="3396"/>
      <c r="T7" s="3338">
        <f t="shared" si="0"/>
        <v>0</v>
      </c>
      <c r="U7" s="1213"/>
      <c r="V7" s="3338">
        <f t="shared" si="1"/>
        <v>0</v>
      </c>
      <c r="W7" s="1358" t="s">
        <v>1939</v>
      </c>
      <c r="X7" s="1214" t="str">
        <f>G2</f>
        <v>三级</v>
      </c>
      <c r="Y7" s="1214" t="s">
        <v>1940</v>
      </c>
      <c r="Z7" s="1215" t="e">
        <f>G3</f>
        <v>#DIV/0!</v>
      </c>
      <c r="AA7" s="1216"/>
      <c r="AB7" s="1216"/>
      <c r="AC7" s="1217"/>
      <c r="AD7" s="1218"/>
      <c r="AE7" s="1218"/>
      <c r="AF7" s="1218"/>
      <c r="AG7" s="1218"/>
      <c r="AH7" s="1218"/>
      <c r="AI7" s="1218"/>
      <c r="AJ7" s="1219"/>
    </row>
    <row r="8" spans="1:36" ht="25.5">
      <c r="A8" s="3276"/>
      <c r="B8" s="170" t="s">
        <v>1941</v>
      </c>
      <c r="C8" s="2026" t="s">
        <v>3406</v>
      </c>
      <c r="D8" s="756" t="s">
        <v>112</v>
      </c>
      <c r="E8" s="757" t="e">
        <f>ROUND(C11/E7,4)</f>
        <v>#DIV/0!</v>
      </c>
      <c r="F8" s="2027" t="s">
        <v>1942</v>
      </c>
      <c r="G8" s="2028"/>
      <c r="H8" s="2028"/>
      <c r="I8" s="2028"/>
      <c r="J8" s="2029"/>
      <c r="K8" s="1119"/>
      <c r="L8" s="2003" t="s">
        <v>1943</v>
      </c>
      <c r="M8" s="864">
        <f>SUMPRODUCT((区片价!B234:B276=I2)*(区片价!C3:G3=E2)*(区片价!C234:G276))</f>
        <v>0</v>
      </c>
      <c r="N8" s="866">
        <f>SUMPRODUCT((因素修正幅度!B234:B276=I2)*(因素修正幅度!C3:G3=E2)*(因素修正幅度!C234:G276))</f>
        <v>0</v>
      </c>
      <c r="O8" s="1119"/>
      <c r="P8" s="1119"/>
      <c r="Q8" s="1119"/>
      <c r="R8" s="1212">
        <v>7</v>
      </c>
      <c r="S8" s="1213"/>
      <c r="T8" s="3338">
        <f t="shared" si="0"/>
        <v>0</v>
      </c>
      <c r="U8" s="1213"/>
      <c r="V8" s="3338">
        <f t="shared" si="1"/>
        <v>0</v>
      </c>
      <c r="W8" s="4020" t="s">
        <v>1944</v>
      </c>
      <c r="X8" s="4021"/>
      <c r="Y8" s="1220" t="s">
        <v>1945</v>
      </c>
      <c r="Z8" s="1220" t="s">
        <v>1946</v>
      </c>
      <c r="AA8" s="1220" t="s">
        <v>1947</v>
      </c>
      <c r="AB8" s="1220" t="s">
        <v>1948</v>
      </c>
      <c r="AC8" s="1220" t="s">
        <v>1949</v>
      </c>
      <c r="AD8" s="1220" t="s">
        <v>1950</v>
      </c>
      <c r="AE8" s="1220" t="s">
        <v>1951</v>
      </c>
      <c r="AF8" s="1220" t="s">
        <v>1952</v>
      </c>
      <c r="AG8" s="1220" t="s">
        <v>1953</v>
      </c>
      <c r="AH8" s="1220" t="s">
        <v>1954</v>
      </c>
      <c r="AI8" s="1220" t="s">
        <v>1955</v>
      </c>
      <c r="AJ8" s="1220" t="s">
        <v>1956</v>
      </c>
    </row>
    <row r="9" spans="1:36" ht="15">
      <c r="A9" s="3276"/>
      <c r="B9" s="170" t="s">
        <v>1957</v>
      </c>
      <c r="C9" s="758">
        <f>SUMIF(修正!C71:C138,C8,修正!E71:E138)</f>
        <v>0</v>
      </c>
      <c r="D9" s="171" t="s">
        <v>113</v>
      </c>
      <c r="E9" s="171" t="e">
        <f>ROUND(C11/E7,4)</f>
        <v>#DIV/0!</v>
      </c>
      <c r="F9" s="2027" t="s">
        <v>1958</v>
      </c>
      <c r="G9" s="2028"/>
      <c r="H9" s="2028"/>
      <c r="I9" s="2028"/>
      <c r="J9" s="2029"/>
      <c r="K9" s="1119"/>
      <c r="L9" s="2003" t="s">
        <v>1959</v>
      </c>
      <c r="M9" s="864">
        <f>SUMPRODUCT((区片价!B277:B326=I2)*(区片价!C3:G3=E2)*(区片价!C277:G326))</f>
        <v>0</v>
      </c>
      <c r="N9" s="866">
        <f>SUMPRODUCT((因素修正幅度!B277:B326=I2)*(因素修正幅度!C3:G3=E2)*(因素修正幅度!C277:G326))</f>
        <v>0</v>
      </c>
      <c r="O9" s="1119"/>
      <c r="P9" s="1119"/>
      <c r="Q9" s="1119"/>
      <c r="R9" s="1212">
        <v>8</v>
      </c>
      <c r="S9" s="1213"/>
      <c r="T9" s="3338">
        <f t="shared" si="0"/>
        <v>0</v>
      </c>
      <c r="U9" s="1213"/>
      <c r="V9" s="3338">
        <f t="shared" si="1"/>
        <v>0</v>
      </c>
      <c r="W9" s="4022"/>
      <c r="X9" s="3339" t="s">
        <v>3252</v>
      </c>
      <c r="Y9" s="3340">
        <v>6</v>
      </c>
      <c r="Z9" s="3341">
        <f>$Y$9</f>
        <v>6</v>
      </c>
      <c r="AA9" s="3341">
        <f t="shared" ref="AA9:AJ9" si="2">$Y$9</f>
        <v>6</v>
      </c>
      <c r="AB9" s="3341">
        <f t="shared" si="2"/>
        <v>6</v>
      </c>
      <c r="AC9" s="3341">
        <f t="shared" si="2"/>
        <v>6</v>
      </c>
      <c r="AD9" s="3341">
        <f t="shared" si="2"/>
        <v>6</v>
      </c>
      <c r="AE9" s="3341">
        <f t="shared" si="2"/>
        <v>6</v>
      </c>
      <c r="AF9" s="3341">
        <f t="shared" si="2"/>
        <v>6</v>
      </c>
      <c r="AG9" s="3341">
        <f t="shared" si="2"/>
        <v>6</v>
      </c>
      <c r="AH9" s="3341">
        <f t="shared" si="2"/>
        <v>6</v>
      </c>
      <c r="AI9" s="3341">
        <f t="shared" si="2"/>
        <v>6</v>
      </c>
      <c r="AJ9" s="3341">
        <f t="shared" si="2"/>
        <v>6</v>
      </c>
    </row>
    <row r="10" spans="1:36" ht="15">
      <c r="A10" s="3276"/>
      <c r="B10" s="170" t="s">
        <v>1960</v>
      </c>
      <c r="C10" s="171">
        <f>SUMIF(修正!C71:C138,C8,修正!F71:F138)</f>
        <v>0</v>
      </c>
      <c r="D10" s="171" t="s">
        <v>114</v>
      </c>
      <c r="E10" s="171" t="e">
        <f>ROUND(C11/E7,4)</f>
        <v>#DIV/0!</v>
      </c>
      <c r="F10" s="2027" t="s">
        <v>1961</v>
      </c>
      <c r="G10" s="2028"/>
      <c r="H10" s="2028"/>
      <c r="I10" s="2028"/>
      <c r="J10" s="2029"/>
      <c r="K10" s="1119"/>
      <c r="L10" s="2003" t="s">
        <v>1962</v>
      </c>
      <c r="M10" s="864">
        <f>SUMPRODUCT((区片价!B327:B357=I2)*(区片价!C3:G3=E2)*(区片价!C327:G357))</f>
        <v>0</v>
      </c>
      <c r="N10" s="866">
        <f>SUMPRODUCT((因素修正幅度!B327:B357=I2)*(因素修正幅度!C3:G3=E2)*(因素修正幅度!C327:G357))</f>
        <v>0</v>
      </c>
      <c r="O10" s="1119"/>
      <c r="P10" s="1119"/>
      <c r="Q10" s="1119"/>
      <c r="R10" s="1212">
        <v>9</v>
      </c>
      <c r="S10" s="1213"/>
      <c r="T10" s="3338">
        <f t="shared" si="0"/>
        <v>0</v>
      </c>
      <c r="U10" s="1213"/>
      <c r="V10" s="3338">
        <f t="shared" si="1"/>
        <v>0</v>
      </c>
      <c r="W10" s="4022"/>
      <c r="X10" s="3339">
        <v>6</v>
      </c>
      <c r="Y10" s="3342">
        <f>ROUND((-0.5556*(Y9^2)-0.2719*Y9+8944)*(10^(-4)),4)</f>
        <v>0.89219999999999999</v>
      </c>
      <c r="Z10" s="3342">
        <f>ROUND((-0.5556*(Z9^2)-0.2719*Z9+8944)*(10^(-4)),4)</f>
        <v>0.89219999999999999</v>
      </c>
      <c r="AA10" s="3342">
        <f>ROUND((-0.7912*(AA9^2)-11.3794*AA9+8482)*(10^(-4)),4)</f>
        <v>0.83850000000000002</v>
      </c>
      <c r="AB10" s="3342">
        <f>ROUND((-0.7912*(AB9^2)-11.3794*AB9+8482)*(10^(-4)),4)</f>
        <v>0.83850000000000002</v>
      </c>
      <c r="AC10" s="3342">
        <f>ROUND((-0.7912*(AC9^2)-11.3794*AC9+8482)*(10^(-4)),4)</f>
        <v>0.83850000000000002</v>
      </c>
      <c r="AD10" s="3342">
        <f>ROUND((-0.7912*(AD9^2)-11.3794*AD9+8482)*(10^(-4)),4)</f>
        <v>0.83850000000000002</v>
      </c>
      <c r="AE10" s="3342">
        <f>ROUND((-0.7912*(AE9^2)-11.3794*AE9+8482)*(10^(-4)),4)</f>
        <v>0.83850000000000002</v>
      </c>
      <c r="AF10" s="3342">
        <f>ROUND((-0.989*(AF9^2)-63.78*AF9+7771)*(10^(-4)),4)</f>
        <v>0.73529999999999995</v>
      </c>
      <c r="AG10" s="3342">
        <f>ROUND((-0.989*(AG9^2)-63.78*AG9+7771)*(10^(-4)),4)</f>
        <v>0.73529999999999995</v>
      </c>
      <c r="AH10" s="3342">
        <f>ROUND((-0.989*(AH9^2)-63.78*AH9+7771)*(10^(-4)),4)</f>
        <v>0.73529999999999995</v>
      </c>
      <c r="AI10" s="3342">
        <f>ROUND((-0.989*(AI9^2)-63.78*AI9+7771)*(10^(-4)),4)</f>
        <v>0.73529999999999995</v>
      </c>
      <c r="AJ10" s="3342">
        <f>ROUND((-0.989*(AJ9^2)-63.78*AJ9+7771)*(10^(-4)),4)</f>
        <v>0.73529999999999995</v>
      </c>
    </row>
    <row r="11" spans="1:36" ht="15.75" thickBot="1">
      <c r="A11" s="3280"/>
      <c r="B11" s="2030" t="s">
        <v>1963</v>
      </c>
      <c r="C11" s="759">
        <f>C10/4</f>
        <v>0</v>
      </c>
      <c r="D11" s="759" t="s">
        <v>115</v>
      </c>
      <c r="E11" s="759" t="e">
        <f>ROUND(C11/E7,4)</f>
        <v>#DIV/0!</v>
      </c>
      <c r="F11" s="2031" t="s">
        <v>1964</v>
      </c>
      <c r="G11" s="2032"/>
      <c r="H11" s="2032"/>
      <c r="I11" s="2032"/>
      <c r="J11" s="2033"/>
      <c r="K11" s="1119"/>
      <c r="L11" s="2003" t="s">
        <v>1965</v>
      </c>
      <c r="M11" s="864">
        <f>SUMPRODUCT((区片价!B358:B377=I2)*(区片价!C3:G3=E2)*(区片价!C358:G377))</f>
        <v>0</v>
      </c>
      <c r="N11" s="866">
        <f>SUMPRODUCT((因素修正幅度!B358:B377=I2)*(因素修正幅度!C3:G3=E2)*(因素修正幅度!C358:G377))</f>
        <v>0</v>
      </c>
      <c r="O11" s="1119"/>
      <c r="P11" s="1119"/>
      <c r="Q11" s="1119"/>
      <c r="R11" s="1212">
        <v>10</v>
      </c>
      <c r="S11" s="1213"/>
      <c r="T11" s="3338">
        <f t="shared" si="0"/>
        <v>0</v>
      </c>
      <c r="U11" s="1213"/>
      <c r="V11" s="3338">
        <f t="shared" si="1"/>
        <v>0</v>
      </c>
      <c r="W11" s="1216"/>
      <c r="X11" s="1216"/>
      <c r="Y11" s="1216"/>
      <c r="Z11" s="1216"/>
      <c r="AA11" s="1216"/>
      <c r="AB11" s="1216"/>
      <c r="AC11" s="1217"/>
      <c r="AD11" s="2766"/>
      <c r="AE11" s="2766"/>
      <c r="AF11" s="2766"/>
      <c r="AG11" s="2766"/>
      <c r="AH11" s="2766"/>
      <c r="AI11" s="2766"/>
      <c r="AJ11" s="2767"/>
    </row>
    <row r="12" spans="1:36" ht="25.5" thickBot="1">
      <c r="A12" s="3281" t="s">
        <v>3222</v>
      </c>
      <c r="B12" s="3282" t="s">
        <v>3223</v>
      </c>
      <c r="C12" s="3283">
        <v>1</v>
      </c>
      <c r="D12" s="3284" t="s">
        <v>3224</v>
      </c>
      <c r="E12" s="3285" t="s">
        <v>3225</v>
      </c>
      <c r="F12" s="3286"/>
      <c r="G12" s="3287"/>
      <c r="H12" s="3287"/>
      <c r="I12" s="3287"/>
      <c r="J12" s="3288"/>
      <c r="K12" s="1119"/>
      <c r="L12" s="2039" t="s">
        <v>1968</v>
      </c>
      <c r="M12" s="865">
        <f>SUMPRODUCT((区片价!B378:B384=I2)*(区片价!C3:G3=E2)*(区片价!C378:G384))</f>
        <v>0</v>
      </c>
      <c r="N12" s="866">
        <f>SUMPRODUCT((因素修正幅度!B378:B384=I2)*(因素修正幅度!C3:G3=E2)*(因素修正幅度!C378:G384))</f>
        <v>0</v>
      </c>
      <c r="O12" s="1119"/>
      <c r="P12" s="1119"/>
      <c r="Q12" s="1119"/>
      <c r="R12" s="1212">
        <v>11</v>
      </c>
      <c r="S12" s="1213"/>
      <c r="T12" s="3338">
        <f t="shared" si="0"/>
        <v>0</v>
      </c>
      <c r="U12" s="1213"/>
      <c r="V12" s="3338">
        <f t="shared" si="1"/>
        <v>0</v>
      </c>
      <c r="W12" s="1216"/>
      <c r="X12" s="1216"/>
      <c r="Y12" s="1216"/>
      <c r="Z12" s="1216"/>
      <c r="AA12" s="1216"/>
      <c r="AB12" s="1216"/>
      <c r="AC12" s="1217"/>
      <c r="AD12" s="2766"/>
      <c r="AE12" s="2766"/>
      <c r="AF12" s="2766"/>
      <c r="AG12" s="2766"/>
      <c r="AH12" s="2766"/>
      <c r="AI12" s="2766"/>
      <c r="AJ12" s="2767"/>
    </row>
    <row r="13" spans="1:36" ht="15.75" thickBot="1">
      <c r="A13" s="3281" t="s">
        <v>3226</v>
      </c>
      <c r="B13" s="2034" t="s">
        <v>1966</v>
      </c>
      <c r="C13" s="755">
        <f>ROUND(C16*D16*E16*F16*G16*H16*I16*J16,4)</f>
        <v>0</v>
      </c>
      <c r="D13" s="2035" t="s">
        <v>1967</v>
      </c>
      <c r="E13" s="2036"/>
      <c r="F13" s="2036"/>
      <c r="G13" s="2037"/>
      <c r="H13" s="2037"/>
      <c r="I13" s="2037"/>
      <c r="J13" s="2038"/>
      <c r="K13" s="1119"/>
      <c r="L13" s="3277"/>
      <c r="M13" s="3278"/>
      <c r="N13" s="3279"/>
      <c r="O13" s="1119"/>
      <c r="P13" s="1119"/>
      <c r="Q13" s="1119"/>
      <c r="R13" s="1212">
        <v>12</v>
      </c>
      <c r="S13" s="1213"/>
      <c r="T13" s="3338">
        <f t="shared" si="0"/>
        <v>0</v>
      </c>
      <c r="U13" s="1213"/>
      <c r="V13" s="3338">
        <f t="shared" si="1"/>
        <v>0</v>
      </c>
      <c r="W13" s="1216"/>
      <c r="X13" s="1216"/>
      <c r="Y13" s="1216"/>
      <c r="Z13" s="1216"/>
      <c r="AA13" s="1216"/>
      <c r="AB13" s="1216"/>
      <c r="AC13" s="1217"/>
      <c r="AD13" s="2766"/>
      <c r="AE13" s="2766"/>
      <c r="AF13" s="2766"/>
      <c r="AG13" s="2766"/>
      <c r="AH13" s="2766"/>
      <c r="AI13" s="2766"/>
      <c r="AJ13" s="2767"/>
    </row>
    <row r="14" spans="1:36" ht="15">
      <c r="A14" s="3275"/>
      <c r="B14" s="2040" t="s">
        <v>1969</v>
      </c>
      <c r="C14" s="2041" t="s">
        <v>1970</v>
      </c>
      <c r="D14" s="1350" t="s">
        <v>1971</v>
      </c>
      <c r="E14" s="27" t="s">
        <v>1972</v>
      </c>
      <c r="F14" s="3289" t="s">
        <v>3227</v>
      </c>
      <c r="G14" s="3289" t="s">
        <v>3227</v>
      </c>
      <c r="H14" s="3289" t="s">
        <v>3227</v>
      </c>
      <c r="I14" s="3289" t="s">
        <v>3227</v>
      </c>
      <c r="J14" s="3289" t="s">
        <v>3227</v>
      </c>
      <c r="K14" s="1119"/>
      <c r="L14" s="1119"/>
      <c r="M14" s="1119"/>
      <c r="N14" s="1119"/>
      <c r="O14" s="1119"/>
      <c r="P14" s="1119"/>
      <c r="Q14" s="1119"/>
      <c r="R14" s="1212">
        <v>13</v>
      </c>
      <c r="S14" s="1213"/>
      <c r="T14" s="3338">
        <f t="shared" si="0"/>
        <v>0</v>
      </c>
      <c r="U14" s="1213"/>
      <c r="V14" s="3338">
        <f t="shared" si="1"/>
        <v>0</v>
      </c>
      <c r="W14" s="1216"/>
      <c r="X14" s="1216"/>
      <c r="Y14" s="1216"/>
      <c r="Z14" s="1216"/>
      <c r="AA14" s="1216"/>
      <c r="AB14" s="1216"/>
      <c r="AC14" s="1217"/>
      <c r="AD14" s="2766"/>
      <c r="AE14" s="2766"/>
      <c r="AF14" s="2766"/>
      <c r="AG14" s="2766"/>
      <c r="AH14" s="2766"/>
      <c r="AI14" s="2766"/>
      <c r="AJ14" s="2767"/>
    </row>
    <row r="15" spans="1:36" ht="15">
      <c r="A15" s="3275"/>
      <c r="B15" s="2042"/>
      <c r="C15" s="2043"/>
      <c r="D15" s="2044"/>
      <c r="E15" s="2045"/>
      <c r="F15" s="3290" t="s">
        <v>3228</v>
      </c>
      <c r="G15" s="3291"/>
      <c r="H15" s="3292"/>
      <c r="I15" s="3293"/>
      <c r="J15" s="3294"/>
      <c r="K15" s="1119"/>
      <c r="L15" s="1119"/>
      <c r="M15" s="1119"/>
      <c r="N15" s="1119"/>
      <c r="O15" s="1119"/>
      <c r="P15" s="1119"/>
      <c r="Q15" s="1119"/>
      <c r="R15" s="1212">
        <v>14</v>
      </c>
      <c r="S15" s="1213"/>
      <c r="T15" s="3338">
        <f t="shared" si="0"/>
        <v>0</v>
      </c>
      <c r="U15" s="1213"/>
      <c r="V15" s="3338">
        <f t="shared" si="1"/>
        <v>0</v>
      </c>
      <c r="W15" s="1216"/>
      <c r="X15" s="1216"/>
      <c r="Y15" s="1216"/>
      <c r="Z15" s="1216"/>
      <c r="AA15" s="1216"/>
      <c r="AB15" s="1216"/>
      <c r="AC15" s="1217"/>
      <c r="AD15" s="2766"/>
      <c r="AE15" s="2766"/>
      <c r="AF15" s="2766"/>
      <c r="AG15" s="2766"/>
      <c r="AH15" s="2766"/>
      <c r="AI15" s="2766"/>
      <c r="AJ15" s="2767"/>
    </row>
    <row r="16" spans="1:36" ht="15.75" thickBot="1">
      <c r="A16" s="3275"/>
      <c r="B16" s="3297" t="s">
        <v>1973</v>
      </c>
      <c r="C16" s="3295"/>
      <c r="D16" s="3295"/>
      <c r="E16" s="3295"/>
      <c r="F16" s="3295">
        <v>1</v>
      </c>
      <c r="G16" s="3295">
        <v>1</v>
      </c>
      <c r="H16" s="3295">
        <v>1</v>
      </c>
      <c r="I16" s="3295">
        <v>1</v>
      </c>
      <c r="J16" s="3296">
        <v>1</v>
      </c>
      <c r="K16" s="1119"/>
      <c r="L16" s="1997"/>
      <c r="M16" s="1997"/>
      <c r="N16" s="1997"/>
      <c r="O16" s="1997"/>
      <c r="P16" s="1997"/>
      <c r="Q16" s="1119"/>
      <c r="R16" s="1212">
        <v>15</v>
      </c>
      <c r="S16" s="1213"/>
      <c r="T16" s="3338">
        <f t="shared" si="0"/>
        <v>0</v>
      </c>
      <c r="U16" s="1213"/>
      <c r="V16" s="3338">
        <f t="shared" si="1"/>
        <v>0</v>
      </c>
      <c r="W16" s="1216"/>
      <c r="X16" s="1216"/>
      <c r="Y16" s="1216"/>
      <c r="Z16" s="1216"/>
      <c r="AA16" s="1216"/>
      <c r="AB16" s="1216"/>
      <c r="AC16" s="1217"/>
      <c r="AD16" s="2766"/>
      <c r="AE16" s="2766"/>
      <c r="AF16" s="2766"/>
      <c r="AG16" s="2766"/>
      <c r="AH16" s="2766"/>
      <c r="AI16" s="2766"/>
      <c r="AJ16" s="2767"/>
    </row>
    <row r="17" spans="1:37">
      <c r="A17" s="3307" t="s">
        <v>3229</v>
      </c>
      <c r="B17" s="3298" t="s">
        <v>3230</v>
      </c>
      <c r="C17" s="3308">
        <f>ROUND(IF(OR(E2="工业",E2="公共服务"),1,IF(AND(E18=0,E19=0),1,IF(AND(E18=J24,E19=G19),0.8,IF(E19=0,1+E17*(-0.2),1+E17*G17*(-0.2))))),4)</f>
        <v>1</v>
      </c>
      <c r="D17" s="3299" t="s">
        <v>3231</v>
      </c>
      <c r="E17" s="3308">
        <f>ROUND(G18/I18,2)</f>
        <v>0</v>
      </c>
      <c r="F17" s="3299" t="s">
        <v>3234</v>
      </c>
      <c r="G17" s="3308" t="e">
        <f>ROUND(E19/G19,2)</f>
        <v>#DIV/0!</v>
      </c>
      <c r="H17" s="3308"/>
      <c r="I17" s="3308"/>
      <c r="J17" s="3309"/>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10"/>
      <c r="B18" s="2987"/>
      <c r="C18" s="3305"/>
      <c r="D18" s="3300" t="s">
        <v>3232</v>
      </c>
      <c r="E18" s="3306"/>
      <c r="F18" s="3301" t="s">
        <v>3235</v>
      </c>
      <c r="G18" s="3305">
        <f>ROUND(1-(1/(POWER(1+G24,E18))),4)</f>
        <v>0</v>
      </c>
      <c r="H18" s="3301" t="s">
        <v>3237</v>
      </c>
      <c r="I18" s="3305">
        <f>ROUND(1-(1/(POWER(1+G24,J24))),4)</f>
        <v>0.88249999999999995</v>
      </c>
      <c r="J18" s="3311"/>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65"/>
    </row>
    <row r="19" spans="1:37" s="2014" customFormat="1" ht="15" thickBot="1">
      <c r="A19" s="3312"/>
      <c r="B19" s="3313"/>
      <c r="C19" s="3314"/>
      <c r="D19" s="3314" t="s">
        <v>3233</v>
      </c>
      <c r="E19" s="3315"/>
      <c r="F19" s="3316" t="s">
        <v>3236</v>
      </c>
      <c r="G19" s="3315"/>
      <c r="H19" s="3314"/>
      <c r="I19" s="3314"/>
      <c r="J19" s="3317"/>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68"/>
      <c r="AH19" s="2141"/>
      <c r="AI19" s="2769"/>
      <c r="AJ19" s="2769"/>
      <c r="AK19" s="2057"/>
    </row>
    <row r="20" spans="1:37" s="2014" customFormat="1" ht="14.25">
      <c r="A20" s="4027" t="s">
        <v>3238</v>
      </c>
      <c r="B20" s="167" t="s">
        <v>1978</v>
      </c>
      <c r="C20" s="3302">
        <f>ROUND(IF(F21="与级别开发程度一致",0,(G21-E21)/C21),0)</f>
        <v>0</v>
      </c>
      <c r="D20" s="3318" t="s">
        <v>1982</v>
      </c>
      <c r="E20" s="3319"/>
      <c r="F20" s="4033" t="s">
        <v>1979</v>
      </c>
      <c r="G20" s="4034"/>
      <c r="H20" s="3303" t="s">
        <v>3407</v>
      </c>
      <c r="I20" s="3303" t="s">
        <v>3408</v>
      </c>
      <c r="J20" s="3304" t="s">
        <v>3409</v>
      </c>
      <c r="K20" s="2047" t="s">
        <v>3410</v>
      </c>
      <c r="L20" s="2047" t="s">
        <v>3411</v>
      </c>
      <c r="M20" s="2047" t="s">
        <v>3412</v>
      </c>
      <c r="N20" s="2047" t="s">
        <v>3413</v>
      </c>
      <c r="O20" s="2048" t="s">
        <v>3414</v>
      </c>
      <c r="P20" s="1997"/>
      <c r="Q20" s="1124"/>
      <c r="R20" s="1124"/>
      <c r="S20" s="1124"/>
      <c r="T20" s="1120"/>
      <c r="U20" s="1120"/>
      <c r="V20" s="1120"/>
      <c r="W20" s="1119"/>
      <c r="X20" s="1119"/>
      <c r="Y20" s="1119"/>
      <c r="Z20" s="1125"/>
      <c r="AA20" s="1125"/>
      <c r="AB20" s="1125"/>
      <c r="AC20" s="1125"/>
      <c r="AD20" s="1125"/>
      <c r="AE20" s="1125"/>
      <c r="AF20" s="1125"/>
      <c r="AG20" s="2765"/>
      <c r="AH20" s="2765"/>
      <c r="AI20" s="2765"/>
      <c r="AJ20" s="2765"/>
    </row>
    <row r="21" spans="1:37" s="2014" customFormat="1" ht="26.25" thickBot="1">
      <c r="A21" s="4028"/>
      <c r="B21" s="2164" t="s">
        <v>1981</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3415</v>
      </c>
      <c r="G21" s="2157">
        <f>SUM(H21:O21)</f>
        <v>315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50</v>
      </c>
      <c r="N21" s="2165">
        <f>SUMPRODUCT((七通一平=N20)*(修正!B1:M1=G2)*(修正!B8:M16))</f>
        <v>40</v>
      </c>
      <c r="O21" s="2167">
        <f>SUMPRODUCT((七通一平=O20)*(修正!B1:M1=G2)*(修正!B8:M16))</f>
        <v>15</v>
      </c>
      <c r="P21" s="1997"/>
      <c r="Q21" s="2765"/>
      <c r="R21" s="1124"/>
      <c r="S21" s="1124"/>
      <c r="T21" s="1120"/>
      <c r="U21" s="1120"/>
      <c r="V21" s="1120"/>
      <c r="W21" s="1119"/>
      <c r="X21" s="1119"/>
      <c r="Y21" s="1119"/>
      <c r="Z21" s="1125"/>
      <c r="AA21" s="1125"/>
      <c r="AB21" s="1125"/>
      <c r="AC21" s="1125"/>
      <c r="AD21" s="1125"/>
      <c r="AE21" s="1125"/>
      <c r="AF21" s="1125"/>
      <c r="AG21" s="2765"/>
      <c r="AH21" s="2765"/>
      <c r="AI21" s="2765"/>
      <c r="AJ21" s="2765"/>
    </row>
    <row r="22" spans="1:37" s="2014" customFormat="1" ht="15.75" thickBot="1">
      <c r="A22" s="2158" t="s">
        <v>363</v>
      </c>
      <c r="B22" s="2159" t="s">
        <v>1984</v>
      </c>
      <c r="C22" s="2160">
        <f>SUMIF(修正!C20:C51,E3,修正!E20:E51)</f>
        <v>0.9</v>
      </c>
      <c r="D22" s="2161"/>
      <c r="E22" s="2162"/>
      <c r="F22" s="2162"/>
      <c r="G22" s="2162"/>
      <c r="H22" s="2162"/>
      <c r="I22" s="2162"/>
      <c r="J22" s="2163"/>
      <c r="K22" s="1125"/>
      <c r="L22" s="2765"/>
      <c r="M22" s="2765"/>
      <c r="N22" s="2765"/>
      <c r="O22" s="1123"/>
      <c r="P22" s="1123"/>
      <c r="Q22" s="2765"/>
      <c r="R22" s="1124"/>
      <c r="S22" s="1124"/>
      <c r="T22" s="1120"/>
      <c r="U22" s="1120"/>
      <c r="V22" s="1120"/>
      <c r="W22" s="1119"/>
      <c r="X22" s="1119"/>
      <c r="Y22" s="1119"/>
      <c r="Z22" s="1125"/>
      <c r="AA22" s="1125"/>
      <c r="AB22" s="1125"/>
      <c r="AC22" s="1125"/>
      <c r="AD22" s="1125"/>
      <c r="AE22" s="1125"/>
      <c r="AF22" s="1125"/>
      <c r="AG22" s="2765"/>
      <c r="AH22" s="2765"/>
      <c r="AI22" s="2765"/>
      <c r="AJ22" s="2765"/>
    </row>
    <row r="23" spans="1:37" ht="26.25" thickBot="1">
      <c r="A23" s="2050" t="s">
        <v>364</v>
      </c>
      <c r="B23" s="2051" t="s">
        <v>1985</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2054" t="s">
        <v>1986</v>
      </c>
      <c r="E23" s="761">
        <v>44197</v>
      </c>
      <c r="F23" s="2054" t="s">
        <v>1987</v>
      </c>
      <c r="G23" s="762">
        <f>'数据-取费表'!B2</f>
        <v>45287</v>
      </c>
      <c r="H23" s="3320" t="s">
        <v>3240</v>
      </c>
      <c r="I23" s="3321" t="str">
        <f>IF(H23="季度增幅（自定义）",SUMIF(N25:N28,E2,O25:O28),"")</f>
        <v/>
      </c>
      <c r="J23" s="3423" t="s">
        <v>3239</v>
      </c>
      <c r="K23" s="1125"/>
      <c r="L23" s="2055" t="s">
        <v>1988</v>
      </c>
      <c r="M23" s="1328">
        <f>ROUND(SUMIF(地价!B2:G2,E2,地价!B16:G16),0)</f>
        <v>350</v>
      </c>
      <c r="N23" s="2056" t="s">
        <v>1989</v>
      </c>
      <c r="O23" s="763">
        <f>ROUNDDOWN(DATEDIF(E23,G23,"M")/3,0)</f>
        <v>11</v>
      </c>
      <c r="P23" s="1122"/>
      <c r="Q23" s="2765"/>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1990</v>
      </c>
      <c r="C24" s="764">
        <f>ROUND(POWER(1+G24,J24-I24)*(POWER(1+G24,I24)-1)/(POWER(1+G24,J24)-1),4)</f>
        <v>0.72119999999999995</v>
      </c>
      <c r="D24" s="2060" t="s">
        <v>1991</v>
      </c>
      <c r="E24" s="1335">
        <f>存贷款利率!E24/100</f>
        <v>4.3499999999999997E-2</v>
      </c>
      <c r="F24" s="2060" t="s">
        <v>1983</v>
      </c>
      <c r="G24" s="768">
        <f>SUMIF(M30:Q30,E2,M33:Q33)</f>
        <v>5.5E-2</v>
      </c>
      <c r="H24" s="2060" t="s">
        <v>1992</v>
      </c>
      <c r="I24" s="769">
        <f>SUMIF('数据-取费表'!C6:C15,E2,'数据-取费表'!F6:F15)/COUNTIF('数据-取费表'!C6:C15,E2)</f>
        <v>18.899999999999999</v>
      </c>
      <c r="J24" s="770">
        <f>IF(E2="住宅",70,IF(E2="商业",40,50))</f>
        <v>40</v>
      </c>
      <c r="K24" s="1125"/>
      <c r="L24" s="2061" t="s">
        <v>1993</v>
      </c>
      <c r="M24" s="1329">
        <f>ROUND(SUMPRODUCT((地价!A4:A16=YEAR(G23)&amp;"-"&amp;ROUNDUP(MONTH(G23)/3,0))*(地价!B2:G2=E2)*(地价!B4:G16)),0)</f>
        <v>0</v>
      </c>
      <c r="N24" s="2062" t="s">
        <v>1994</v>
      </c>
      <c r="O24" s="2063" t="s">
        <v>1995</v>
      </c>
      <c r="P24" s="2064" t="s">
        <v>1996</v>
      </c>
      <c r="Q24" s="1997"/>
      <c r="R24" s="1124"/>
      <c r="S24" s="1124"/>
      <c r="T24" s="1120"/>
      <c r="U24" s="1120"/>
      <c r="V24" s="1120"/>
      <c r="W24" s="1119"/>
      <c r="X24" s="1119"/>
      <c r="Y24" s="1119"/>
      <c r="Z24" s="1125"/>
      <c r="AA24" s="1125"/>
      <c r="AB24" s="1125"/>
      <c r="AC24" s="1125"/>
      <c r="AD24" s="1125"/>
      <c r="AE24" s="1125"/>
      <c r="AF24" s="1125"/>
      <c r="AG24" s="2765"/>
      <c r="AH24" s="2765"/>
      <c r="AI24" s="2765"/>
      <c r="AJ24" s="2765"/>
    </row>
    <row r="25" spans="1:37" ht="15">
      <c r="A25" s="2065" t="s">
        <v>366</v>
      </c>
      <c r="B25" s="2066" t="s">
        <v>3319</v>
      </c>
      <c r="C25" s="771" t="e">
        <f>IF(B25="容积率修正",IF(G3&lt;10,D26,J26),C27)</f>
        <v>#DIV/0!</v>
      </c>
      <c r="D25" s="2067"/>
      <c r="E25" s="2067"/>
      <c r="F25" s="2067"/>
      <c r="G25" s="2067"/>
      <c r="H25" s="2067"/>
      <c r="I25" s="2067"/>
      <c r="J25" s="2068"/>
      <c r="K25" s="1125"/>
      <c r="L25" s="2765"/>
      <c r="M25" s="2765"/>
      <c r="N25" s="2069" t="s">
        <v>1997</v>
      </c>
      <c r="O25" s="1173"/>
      <c r="P25" s="1174">
        <f>SUMPRODUCT((地价!A3:A40=YEAR(G23)&amp;"-"&amp;ROUNDUP(MONTH(G23)/3,0))*(地价!AD2:AH2=N25)*(地价!AD3:AH40))</f>
        <v>0</v>
      </c>
      <c r="Q25" s="2765"/>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1998</v>
      </c>
      <c r="B26" s="2070" t="s">
        <v>1999</v>
      </c>
      <c r="C26" s="3322" t="s">
        <v>3241</v>
      </c>
      <c r="D26" s="1352" t="e">
        <f>IF(E26=G26,F26,IF(G3&lt;10,ROUND(F26+(H26-F26)*(G3-E26)/(G26-E26),4),"——"))</f>
        <v>#DIV/0!</v>
      </c>
      <c r="E26" s="752" t="e">
        <f>ROUNDDOWN(G3,1)</f>
        <v>#DIV/0!</v>
      </c>
      <c r="F26" s="1352"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52" t="e">
        <f>ROUNDUP(G3,1)</f>
        <v>#DIV/0!</v>
      </c>
      <c r="H26" s="1352"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3322" t="s">
        <v>3242</v>
      </c>
      <c r="J26" s="772" t="e">
        <f>IF(G3&gt;=10,D115,"——")</f>
        <v>#DIV/0!</v>
      </c>
      <c r="K26" s="1125"/>
      <c r="L26" s="2765"/>
      <c r="M26" s="2765"/>
      <c r="N26" s="2069" t="s">
        <v>2000</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2001</v>
      </c>
      <c r="B27" s="2071" t="s">
        <v>2002</v>
      </c>
      <c r="C27" s="841">
        <f>ROUND(IF(I3&lt;6,SUMPRODUCT((B106:B110=I3)*(C105:N105=G2)*(C106:N110)),SUMIF(C105:N105,G2,C112:N112)),4)</f>
        <v>0</v>
      </c>
      <c r="D27" s="2046"/>
      <c r="E27" s="2046"/>
      <c r="F27" s="2072"/>
      <c r="G27" s="2073"/>
      <c r="H27" s="2074"/>
      <c r="I27" s="2075"/>
      <c r="J27" s="2076"/>
      <c r="K27" s="1119"/>
      <c r="L27" s="1997"/>
      <c r="M27" s="1997"/>
      <c r="N27" s="2069" t="s">
        <v>2003</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2004</v>
      </c>
      <c r="C28" s="760">
        <f>SUMIF(A47:A101,E2,B47:B101)</f>
        <v>1.0525</v>
      </c>
      <c r="D28" s="2052"/>
      <c r="E28" s="2077"/>
      <c r="F28" s="2077"/>
      <c r="G28" s="2077"/>
      <c r="H28" s="2077"/>
      <c r="I28" s="2077"/>
      <c r="J28" s="2078"/>
      <c r="K28" s="1125"/>
      <c r="L28" s="2765"/>
      <c r="M28" s="2765"/>
      <c r="N28" s="2079" t="s">
        <v>2005</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2006</v>
      </c>
      <c r="C29" s="765"/>
      <c r="D29" s="2024"/>
      <c r="E29" s="2024"/>
      <c r="F29" s="2081"/>
      <c r="G29" s="2024"/>
      <c r="H29" s="2024"/>
      <c r="I29" s="2024"/>
      <c r="J29" s="2025"/>
      <c r="K29" s="1119"/>
      <c r="L29" s="1997"/>
      <c r="M29" s="1997"/>
      <c r="N29" s="2762" t="s">
        <v>2007</v>
      </c>
      <c r="O29" s="2763"/>
      <c r="P29" s="276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2008</v>
      </c>
      <c r="C30" s="2321" t="e">
        <f>IF(B25="容积率修正",E33+SUM(E37:E42),SUM(V2:V16)+SUM(E37:E42))</f>
        <v>#DIV/0!</v>
      </c>
      <c r="D30" s="2083"/>
      <c r="E30" s="2046"/>
      <c r="F30" s="2084"/>
      <c r="G30" s="2046"/>
      <c r="H30" s="2046"/>
      <c r="I30" s="2046"/>
      <c r="J30" s="2085"/>
      <c r="K30" s="1119"/>
      <c r="L30" s="3328" t="s">
        <v>1920</v>
      </c>
      <c r="M30" s="3329" t="s">
        <v>1974</v>
      </c>
      <c r="N30" s="3329" t="s">
        <v>1975</v>
      </c>
      <c r="O30" s="3329" t="s">
        <v>1976</v>
      </c>
      <c r="P30" s="3329" t="s">
        <v>1977</v>
      </c>
      <c r="Q30" s="3332" t="s">
        <v>3246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2009</v>
      </c>
      <c r="C31" s="766" t="e">
        <f>E34+SUM(I37:I42)</f>
        <v>#DIV/0!</v>
      </c>
      <c r="D31" s="2087"/>
      <c r="E31" s="2088"/>
      <c r="F31" s="2089"/>
      <c r="G31" s="2088"/>
      <c r="H31" s="2088"/>
      <c r="I31" s="2088"/>
      <c r="J31" s="2090"/>
      <c r="K31" s="1119"/>
      <c r="L31" s="3330" t="s">
        <v>1980</v>
      </c>
      <c r="M31" s="2000">
        <v>0.25</v>
      </c>
      <c r="N31" s="2000">
        <v>0.2</v>
      </c>
      <c r="O31" s="2000">
        <v>0.15</v>
      </c>
      <c r="P31" s="2000">
        <v>0.1</v>
      </c>
      <c r="Q31" s="3325">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2010</v>
      </c>
      <c r="C32" s="2093" t="s">
        <v>2011</v>
      </c>
      <c r="D32" s="2093" t="s">
        <v>2012</v>
      </c>
      <c r="E32" s="2094" t="s">
        <v>2013</v>
      </c>
      <c r="F32" s="2095"/>
      <c r="G32" s="2037"/>
      <c r="H32" s="2037"/>
      <c r="I32" s="2037"/>
      <c r="J32" s="2038"/>
      <c r="K32" s="1119"/>
      <c r="L32" s="3331" t="s">
        <v>1983</v>
      </c>
      <c r="M32" s="2548">
        <f>ROUND($E$24*(1+M31),3)</f>
        <v>5.3999999999999999E-2</v>
      </c>
      <c r="N32" s="2548">
        <f>ROUND($E$24*(1+N31),3)</f>
        <v>5.1999999999999998E-2</v>
      </c>
      <c r="O32" s="2548">
        <f>ROUND($E$24*(1+O31),3)</f>
        <v>0.05</v>
      </c>
      <c r="P32" s="2548">
        <f>ROUND($E$24*(1+P31),3)</f>
        <v>4.8000000000000001E-2</v>
      </c>
      <c r="Q32" s="3333">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2014</v>
      </c>
      <c r="C33" s="175" t="e">
        <f>ROUND(C5*C22*C23*C24*C25*C28,0)</f>
        <v>#DIV/0!</v>
      </c>
      <c r="D33" s="2098">
        <f>'数据-汇总表'!F19</f>
        <v>42571.529999999977</v>
      </c>
      <c r="E33" s="773" t="e">
        <f>ROUND(C33*D33/10000,0)</f>
        <v>#DIV/0!</v>
      </c>
      <c r="F33" s="3323" t="s">
        <v>3244</v>
      </c>
      <c r="G33" s="2099"/>
      <c r="H33" s="2099"/>
      <c r="I33" s="2099"/>
      <c r="J33" s="2100"/>
      <c r="K33" s="1119"/>
      <c r="L33" s="3326" t="s">
        <v>3247</v>
      </c>
      <c r="M33" s="3327">
        <v>5.5E-2</v>
      </c>
      <c r="N33" s="3327">
        <v>5.5E-2</v>
      </c>
      <c r="O33" s="3327">
        <v>0.05</v>
      </c>
      <c r="P33" s="3327">
        <v>0.05</v>
      </c>
      <c r="Q33" s="3327">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2015</v>
      </c>
      <c r="C34" s="187" t="e">
        <f>ROUND(IF(E2="工业",C33*M42,IF(B25="楼层修正",SUM(V2:V16)*M41*10000/D34,C33*M41)),0)</f>
        <v>#DIV/0!</v>
      </c>
      <c r="D34" s="2103"/>
      <c r="E34" s="773" t="e">
        <f>ROUND(IF(B25="楼层修正",SUM(V2:V16)*M40,C34*D34/10000),0)</f>
        <v>#DIV/0!</v>
      </c>
      <c r="F34" s="2104" t="s">
        <v>2016</v>
      </c>
      <c r="G34" s="2105"/>
      <c r="H34" s="2105"/>
      <c r="I34" s="2105"/>
      <c r="J34" s="2106"/>
      <c r="K34" s="1119"/>
      <c r="L34" s="3326" t="s">
        <v>3248</v>
      </c>
      <c r="M34" s="3327">
        <v>6.5000000000000002E-2</v>
      </c>
      <c r="N34" s="3327">
        <v>6.5000000000000002E-2</v>
      </c>
      <c r="O34" s="3327">
        <v>0.06</v>
      </c>
      <c r="P34" s="3327">
        <v>0.06</v>
      </c>
      <c r="Q34" s="3327">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2017</v>
      </c>
      <c r="C35" s="3324" t="s">
        <v>3245</v>
      </c>
      <c r="D35" s="2037"/>
      <c r="E35" s="2109"/>
      <c r="F35" s="2109"/>
      <c r="G35" s="2035" t="s">
        <v>2018</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2011</v>
      </c>
      <c r="D36" s="447" t="s">
        <v>2012</v>
      </c>
      <c r="E36" s="447" t="s">
        <v>2013</v>
      </c>
      <c r="F36" s="342" t="s">
        <v>2019</v>
      </c>
      <c r="G36" s="2112" t="s">
        <v>2011</v>
      </c>
      <c r="H36" s="2112" t="s">
        <v>2012</v>
      </c>
      <c r="I36" s="2112" t="s">
        <v>2013</v>
      </c>
      <c r="J36" s="243"/>
      <c r="K36" s="3334" t="s">
        <v>3249</v>
      </c>
      <c r="L36" s="3424">
        <f ca="1">'数据-取费表'!B40</f>
        <v>3.4500000000000003E-2</v>
      </c>
      <c r="M36" s="3335">
        <f ca="1">ROUND($L$36*(1+M31),3)</f>
        <v>4.2999999999999997E-2</v>
      </c>
      <c r="N36" s="3335">
        <f ca="1">ROUND($L$36*(1+N31),3)</f>
        <v>4.1000000000000002E-2</v>
      </c>
      <c r="O36" s="3335">
        <f ca="1">ROUND($L$36*(1+O31),3)</f>
        <v>0.04</v>
      </c>
      <c r="P36" s="3335">
        <f ca="1">ROUND($L$36*(1+P31),3)</f>
        <v>3.7999999999999999E-2</v>
      </c>
      <c r="Q36" s="3335">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4031"/>
      <c r="B37" s="2113" t="s">
        <v>2020</v>
      </c>
      <c r="C37" s="175">
        <f>ROUND(D5*C22*C23*C24*C28*F37,0)</f>
        <v>9078</v>
      </c>
      <c r="D37" s="2098"/>
      <c r="E37" s="171">
        <f>ROUND(C37*D37/10000,0)</f>
        <v>0</v>
      </c>
      <c r="F37" s="171">
        <f>SUMIF(修正!A57:A68,G2,修正!B57:B68)</f>
        <v>0.6</v>
      </c>
      <c r="G37" s="171">
        <f>ROUND(IF(E2="工业",C37*$M$42,C37*$M$41),0)</f>
        <v>2270</v>
      </c>
      <c r="H37" s="171">
        <f>D37</f>
        <v>0</v>
      </c>
      <c r="I37" s="171">
        <f>ROUND(G37*H37/10000,0)</f>
        <v>0</v>
      </c>
      <c r="J37" s="2989"/>
      <c r="K37" s="3336" t="s">
        <v>3250</v>
      </c>
      <c r="L37" s="3334">
        <f ca="1">L36+K38</f>
        <v>3.95E-2</v>
      </c>
      <c r="M37" s="3335">
        <f ca="1">ROUND($L$37*(1+M31),3)</f>
        <v>4.9000000000000002E-2</v>
      </c>
      <c r="N37" s="3335">
        <f t="shared" ref="N37:Q37" ca="1" si="3">ROUND($L$37*(1+N31),3)</f>
        <v>4.7E-2</v>
      </c>
      <c r="O37" s="3335">
        <f t="shared" ca="1" si="3"/>
        <v>4.4999999999999998E-2</v>
      </c>
      <c r="P37" s="3335">
        <f t="shared" ca="1" si="3"/>
        <v>4.2999999999999997E-2</v>
      </c>
      <c r="Q37" s="3335">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4032"/>
      <c r="B38" s="2041" t="s">
        <v>2021</v>
      </c>
      <c r="C38" s="175">
        <f>ROUND(D5*C22*C23*C24*C28*F38,0)</f>
        <v>4539</v>
      </c>
      <c r="D38" s="2098"/>
      <c r="E38" s="171">
        <f t="shared" ref="E38:E42" si="4">ROUND(C38*D38/10000,0)</f>
        <v>0</v>
      </c>
      <c r="F38" s="171">
        <f>SUMIF(修正!A57:A68,G2,修正!C57:C68)</f>
        <v>0.3</v>
      </c>
      <c r="G38" s="171">
        <f>ROUND(IF(E2="工业",C38*$M$42,C38*$M$41),0)</f>
        <v>1135</v>
      </c>
      <c r="H38" s="171">
        <f t="shared" ref="H38:H42" si="5">D38</f>
        <v>0</v>
      </c>
      <c r="I38" s="171">
        <f t="shared" ref="I38:I42" si="6">ROUND(G38*H38/10000,0)</f>
        <v>0</v>
      </c>
      <c r="J38" s="2988"/>
      <c r="K38" s="3334">
        <v>5.0000000000000001E-3</v>
      </c>
      <c r="L38" s="3334"/>
      <c r="M38" s="3334"/>
      <c r="N38" s="3334"/>
      <c r="O38" s="3334"/>
      <c r="P38" s="3334"/>
      <c r="Q38" s="3334"/>
      <c r="R38" s="1119"/>
      <c r="S38" s="1119"/>
      <c r="T38" s="1119"/>
      <c r="U38" s="1119"/>
      <c r="V38" s="1119"/>
      <c r="W38" s="1119"/>
      <c r="X38" s="1119"/>
      <c r="Y38" s="1119"/>
      <c r="Z38" s="1120"/>
      <c r="AA38" s="1120"/>
      <c r="AB38" s="1120"/>
      <c r="AC38" s="1120"/>
      <c r="AD38" s="1120"/>
    </row>
    <row r="39" spans="1:37" ht="13.5" thickBot="1">
      <c r="A39" s="4032"/>
      <c r="B39" s="2041" t="s">
        <v>3243</v>
      </c>
      <c r="C39" s="175">
        <f>ROUND(D5*C22*C23*C24*C28*F39,0)</f>
        <v>3783</v>
      </c>
      <c r="D39" s="2098"/>
      <c r="E39" s="171">
        <f t="shared" si="4"/>
        <v>0</v>
      </c>
      <c r="F39" s="171">
        <f>SUMIF(修正!A57:A68,G2,修正!D57:D68)</f>
        <v>0.25</v>
      </c>
      <c r="G39" s="171">
        <f>ROUND(IF(E2="工业",C39*$M$42,C39*$M$41),0)</f>
        <v>946</v>
      </c>
      <c r="H39" s="171">
        <f t="shared" si="5"/>
        <v>0</v>
      </c>
      <c r="I39" s="171">
        <f t="shared" si="6"/>
        <v>0</v>
      </c>
      <c r="J39" s="298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2022</v>
      </c>
      <c r="C40" s="171">
        <f>ROUND(D5*C22*C23*C24*C28*F40,0)</f>
        <v>3783</v>
      </c>
      <c r="D40" s="2098"/>
      <c r="E40" s="171">
        <f t="shared" si="4"/>
        <v>0</v>
      </c>
      <c r="F40" s="175">
        <f>SUMIF(修正!A57:A68,G2,修正!E57:E68)</f>
        <v>0.25</v>
      </c>
      <c r="G40" s="171">
        <f>ROUND(IF(E2="工业",C40*$M$42,C40*$M$41),0)</f>
        <v>946</v>
      </c>
      <c r="H40" s="171">
        <f t="shared" si="5"/>
        <v>0</v>
      </c>
      <c r="I40" s="171">
        <f t="shared" si="6"/>
        <v>0</v>
      </c>
      <c r="J40" s="2114"/>
      <c r="L40" s="2116" t="s">
        <v>2023</v>
      </c>
      <c r="M40" s="2117"/>
      <c r="Z40" s="1120"/>
      <c r="AA40" s="1120"/>
      <c r="AB40" s="1120"/>
      <c r="AC40" s="1120"/>
      <c r="AD40" s="1120"/>
      <c r="AE40" s="1120"/>
      <c r="AF40" s="1120"/>
      <c r="AG40" s="1120"/>
      <c r="AH40" s="1120"/>
      <c r="AI40" s="1120"/>
      <c r="AJ40" s="1120"/>
    </row>
    <row r="41" spans="1:37" s="1119" customFormat="1">
      <c r="A41" s="2115"/>
      <c r="B41" s="2041" t="s">
        <v>2024</v>
      </c>
      <c r="C41" s="171">
        <f>ROUND(D5*C22*C23*C44*C28*F41,0)</f>
        <v>4434</v>
      </c>
      <c r="D41" s="2098"/>
      <c r="E41" s="171">
        <f t="shared" si="4"/>
        <v>0</v>
      </c>
      <c r="F41" s="175">
        <f>SUMIF(修正!A57:A68,G2,修正!F57:F68)</f>
        <v>0.25</v>
      </c>
      <c r="G41" s="171">
        <f>ROUND(IF(E2="工业",C41*$M$42,C41*$M$41),0)</f>
        <v>1109</v>
      </c>
      <c r="H41" s="171">
        <f t="shared" si="5"/>
        <v>0</v>
      </c>
      <c r="I41" s="171">
        <f t="shared" si="6"/>
        <v>0</v>
      </c>
      <c r="J41" s="2114"/>
      <c r="L41" s="3337" t="s">
        <v>3251</v>
      </c>
      <c r="M41" s="2118">
        <v>0.25</v>
      </c>
      <c r="Z41" s="1120"/>
      <c r="AA41" s="1120"/>
      <c r="AB41" s="1120"/>
      <c r="AC41" s="1120"/>
      <c r="AD41" s="1120"/>
      <c r="AE41" s="1120"/>
      <c r="AF41" s="1120"/>
      <c r="AG41" s="1120"/>
      <c r="AH41" s="1120"/>
      <c r="AI41" s="1120"/>
      <c r="AJ41" s="1120"/>
    </row>
    <row r="42" spans="1:37" s="1119" customFormat="1" ht="13.5" thickBot="1">
      <c r="A42" s="2101"/>
      <c r="B42" s="2119" t="s">
        <v>2025</v>
      </c>
      <c r="C42" s="187">
        <f>ROUND(D5*C22*C23*C44*C28*F42,0)</f>
        <v>2660</v>
      </c>
      <c r="D42" s="2103">
        <f>'数据-汇总表'!G20</f>
        <v>6149.2</v>
      </c>
      <c r="E42" s="187">
        <f t="shared" si="4"/>
        <v>1636</v>
      </c>
      <c r="F42" s="767">
        <f>SUMIF(修正!A57:A68,G2,修正!G57:G68)</f>
        <v>0.15</v>
      </c>
      <c r="G42" s="187">
        <f>ROUND(IF(E2="工业",C42*$M$42,C42*$M$41),0)</f>
        <v>665</v>
      </c>
      <c r="H42" s="187">
        <f t="shared" si="5"/>
        <v>6149.2</v>
      </c>
      <c r="I42" s="187">
        <f t="shared" si="6"/>
        <v>409</v>
      </c>
      <c r="J42" s="2120"/>
      <c r="L42" s="2121" t="s">
        <v>1977</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2106</v>
      </c>
      <c r="C44" s="342">
        <f>ROUND(POWER(1+E44,H44-G44)*(POWER(1+E44,G44)-1)/(POWER(1+E44,H44)-1),4)</f>
        <v>0.84540000000000004</v>
      </c>
      <c r="D44" s="171" t="s">
        <v>1983</v>
      </c>
      <c r="E44" s="2153">
        <f>G24</f>
        <v>5.5E-2</v>
      </c>
      <c r="F44" s="171" t="s">
        <v>1992</v>
      </c>
      <c r="G44" s="183">
        <f>'数据-取费表'!F7</f>
        <v>28.91</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2026</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2027</v>
      </c>
      <c r="B48" s="2127">
        <f>1+E50</f>
        <v>1.0525</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2028</v>
      </c>
      <c r="B49" s="1351" t="s">
        <v>2029</v>
      </c>
      <c r="C49" s="1351" t="s">
        <v>2030</v>
      </c>
      <c r="D49" s="1351" t="s">
        <v>2031</v>
      </c>
      <c r="E49" s="743" t="s">
        <v>2032</v>
      </c>
      <c r="F49" s="2131" t="s">
        <v>2033</v>
      </c>
      <c r="G49" s="1351" t="s">
        <v>310</v>
      </c>
      <c r="H49" s="2132" t="s">
        <v>2034</v>
      </c>
      <c r="I49" s="1351" t="s">
        <v>2035</v>
      </c>
      <c r="J49" s="552" t="s">
        <v>1705</v>
      </c>
      <c r="K49" s="552" t="s">
        <v>1706</v>
      </c>
      <c r="L49" s="552" t="s">
        <v>1707</v>
      </c>
      <c r="M49" s="552" t="s">
        <v>1708</v>
      </c>
      <c r="N49" s="552" t="s">
        <v>1709</v>
      </c>
      <c r="AA49" s="1120"/>
      <c r="AB49" s="1120"/>
      <c r="AC49" s="1120"/>
      <c r="AD49" s="1120"/>
      <c r="AE49" s="1120"/>
      <c r="AF49" s="1120"/>
      <c r="AG49" s="1120"/>
      <c r="AH49" s="1120"/>
      <c r="AI49" s="1120"/>
      <c r="AJ49" s="1120"/>
      <c r="AK49" s="1120"/>
    </row>
    <row r="50" spans="1:37" s="1119" customFormat="1" ht="24.75">
      <c r="A50" s="2130" t="s">
        <v>2036</v>
      </c>
      <c r="B50" s="2133" t="str">
        <f>估价对象房地状况!C4</f>
        <v>一般</v>
      </c>
      <c r="C50" s="2044" t="s">
        <v>3428</v>
      </c>
      <c r="D50" s="1065">
        <f t="shared" ref="D50:D58" si="7">SUMIF($J$49:$N$49,C50,J50:N50)</f>
        <v>1.47E-2</v>
      </c>
      <c r="E50" s="744">
        <f>ROUND(SUM(D50:D58),4)</f>
        <v>5.2499999999999998E-2</v>
      </c>
      <c r="F50" s="1814">
        <f>IF(E2="商业",SUMIF(L1:L12,G2,N1:N12),"——")</f>
        <v>9.8000000000000004E-2</v>
      </c>
      <c r="G50" s="1063">
        <v>1.47E-2</v>
      </c>
      <c r="H50" s="1066">
        <f t="shared" ref="H50:H58" si="8">IFERROR(ROUNDDOWN($F$50*I50/2,4),"——")</f>
        <v>1.47E-2</v>
      </c>
      <c r="I50" s="3344">
        <v>0.3</v>
      </c>
      <c r="J50" s="1064">
        <f t="shared" ref="J50:J58" si="9">K50+$G50</f>
        <v>2.9399999999999999E-2</v>
      </c>
      <c r="K50" s="1064">
        <f t="shared" ref="K50:K58" si="10">$L50+$G50</f>
        <v>1.47E-2</v>
      </c>
      <c r="L50" s="1064">
        <v>0</v>
      </c>
      <c r="M50" s="1064">
        <f t="shared" ref="M50:N58" si="11">L50-$G50</f>
        <v>-1.47E-2</v>
      </c>
      <c r="N50" s="1064">
        <f t="shared" si="11"/>
        <v>-2.9399999999999999E-2</v>
      </c>
      <c r="AA50" s="1120"/>
      <c r="AB50" s="1120"/>
      <c r="AC50" s="1120"/>
      <c r="AD50" s="1120"/>
      <c r="AE50" s="1120"/>
      <c r="AF50" s="1120"/>
      <c r="AG50" s="1120"/>
      <c r="AH50" s="1120"/>
      <c r="AI50" s="1120"/>
      <c r="AJ50" s="1120"/>
      <c r="AK50" s="1120"/>
    </row>
    <row r="51" spans="1:37" s="1119" customFormat="1" ht="14.25">
      <c r="A51" s="2130" t="s">
        <v>2037</v>
      </c>
      <c r="B51" s="2134" t="str">
        <f>估价对象房地状况!C18</f>
        <v>一般</v>
      </c>
      <c r="C51" s="2044" t="s">
        <v>3428</v>
      </c>
      <c r="D51" s="1065">
        <f t="shared" si="7"/>
        <v>1.0699999999999999E-2</v>
      </c>
      <c r="E51" s="745"/>
      <c r="F51" s="1814"/>
      <c r="G51" s="1063">
        <v>1.0699999999999999E-2</v>
      </c>
      <c r="H51" s="1066">
        <f t="shared" si="8"/>
        <v>1.0699999999999999E-2</v>
      </c>
      <c r="I51" s="3344">
        <v>0.22</v>
      </c>
      <c r="J51" s="1064">
        <f t="shared" si="9"/>
        <v>2.1399999999999999E-2</v>
      </c>
      <c r="K51" s="1064">
        <f t="shared" si="10"/>
        <v>1.0699999999999999E-2</v>
      </c>
      <c r="L51" s="1064">
        <v>0</v>
      </c>
      <c r="M51" s="1064">
        <f t="shared" si="11"/>
        <v>-1.0699999999999999E-2</v>
      </c>
      <c r="N51" s="1064">
        <f t="shared" si="11"/>
        <v>-2.1399999999999999E-2</v>
      </c>
      <c r="AA51" s="1120"/>
      <c r="AB51" s="1120"/>
      <c r="AC51" s="1120"/>
      <c r="AD51" s="1120"/>
      <c r="AE51" s="1120"/>
      <c r="AF51" s="1120"/>
      <c r="AG51" s="1120"/>
      <c r="AH51" s="1120"/>
      <c r="AI51" s="1120"/>
      <c r="AJ51" s="1120"/>
      <c r="AK51" s="1120"/>
    </row>
    <row r="52" spans="1:37" s="1119" customFormat="1" ht="36">
      <c r="A52" s="3346" t="s">
        <v>3253</v>
      </c>
      <c r="B52" s="2134">
        <f>估价对象房地状况!C19</f>
        <v>0</v>
      </c>
      <c r="C52" s="2044" t="s">
        <v>3428</v>
      </c>
      <c r="D52" s="1065">
        <f t="shared" si="7"/>
        <v>5.7999999999999996E-3</v>
      </c>
      <c r="E52" s="745"/>
      <c r="F52" s="1814"/>
      <c r="G52" s="1063">
        <v>5.7999999999999996E-3</v>
      </c>
      <c r="H52" s="1066">
        <f t="shared" si="8"/>
        <v>5.7999999999999996E-3</v>
      </c>
      <c r="I52" s="3344">
        <v>0.12</v>
      </c>
      <c r="J52" s="1064">
        <f t="shared" si="9"/>
        <v>1.1599999999999999E-2</v>
      </c>
      <c r="K52" s="1064">
        <f t="shared" si="10"/>
        <v>5.7999999999999996E-3</v>
      </c>
      <c r="L52" s="1064">
        <v>0</v>
      </c>
      <c r="M52" s="1064">
        <f t="shared" si="11"/>
        <v>-5.7999999999999996E-3</v>
      </c>
      <c r="N52" s="1064">
        <f t="shared" si="11"/>
        <v>-1.1599999999999999E-2</v>
      </c>
      <c r="AA52" s="1120"/>
      <c r="AB52" s="1120"/>
      <c r="AC52" s="1120"/>
      <c r="AD52" s="1120"/>
      <c r="AE52" s="1120"/>
      <c r="AF52" s="1120"/>
      <c r="AG52" s="1120"/>
      <c r="AH52" s="1120"/>
      <c r="AI52" s="1120"/>
      <c r="AJ52" s="1120"/>
      <c r="AK52" s="1120"/>
    </row>
    <row r="53" spans="1:37" s="1119" customFormat="1" ht="36.75">
      <c r="A53" s="2130" t="s">
        <v>2038</v>
      </c>
      <c r="B53" s="2135" t="s">
        <v>2039</v>
      </c>
      <c r="C53" s="2044" t="s">
        <v>3428</v>
      </c>
      <c r="D53" s="1065">
        <f t="shared" si="7"/>
        <v>2.3999999999999998E-3</v>
      </c>
      <c r="E53" s="745"/>
      <c r="F53" s="1814"/>
      <c r="G53" s="1063">
        <v>2.3999999999999998E-3</v>
      </c>
      <c r="H53" s="1066">
        <f t="shared" si="8"/>
        <v>2.3999999999999998E-3</v>
      </c>
      <c r="I53" s="3344">
        <v>0.05</v>
      </c>
      <c r="J53" s="1064">
        <f t="shared" si="9"/>
        <v>4.7999999999999996E-3</v>
      </c>
      <c r="K53" s="1064">
        <f t="shared" si="10"/>
        <v>2.3999999999999998E-3</v>
      </c>
      <c r="L53" s="1064">
        <v>0</v>
      </c>
      <c r="M53" s="1064">
        <f t="shared" si="11"/>
        <v>-2.3999999999999998E-3</v>
      </c>
      <c r="N53" s="1064">
        <f t="shared" si="11"/>
        <v>-4.7999999999999996E-3</v>
      </c>
      <c r="AA53" s="1120"/>
      <c r="AB53" s="1120"/>
      <c r="AC53" s="1120"/>
      <c r="AD53" s="1120"/>
      <c r="AE53" s="1120"/>
      <c r="AF53" s="1120"/>
      <c r="AG53" s="1120"/>
      <c r="AH53" s="1120"/>
      <c r="AI53" s="1120"/>
      <c r="AJ53" s="1120"/>
      <c r="AK53" s="1120"/>
    </row>
    <row r="54" spans="1:37" s="1119" customFormat="1" ht="24">
      <c r="A54" s="2130" t="s">
        <v>2040</v>
      </c>
      <c r="B54" s="2134">
        <f>估价对象房地状况!C24</f>
        <v>0</v>
      </c>
      <c r="C54" s="2044" t="s">
        <v>3428</v>
      </c>
      <c r="D54" s="1065">
        <f t="shared" si="7"/>
        <v>3.8999999999999998E-3</v>
      </c>
      <c r="E54" s="745"/>
      <c r="F54" s="1814"/>
      <c r="G54" s="1063">
        <v>3.8999999999999998E-3</v>
      </c>
      <c r="H54" s="1066">
        <f t="shared" si="8"/>
        <v>3.8999999999999998E-3</v>
      </c>
      <c r="I54" s="3344">
        <v>0.08</v>
      </c>
      <c r="J54" s="1064">
        <f t="shared" si="9"/>
        <v>7.7999999999999996E-3</v>
      </c>
      <c r="K54" s="1064">
        <f t="shared" si="10"/>
        <v>3.8999999999999998E-3</v>
      </c>
      <c r="L54" s="1064">
        <v>0</v>
      </c>
      <c r="M54" s="1064">
        <f t="shared" si="11"/>
        <v>-3.8999999999999998E-3</v>
      </c>
      <c r="N54" s="1064">
        <f t="shared" si="11"/>
        <v>-7.7999999999999996E-3</v>
      </c>
      <c r="AA54" s="1120"/>
      <c r="AB54" s="1120"/>
      <c r="AC54" s="1120"/>
      <c r="AD54" s="1120"/>
      <c r="AE54" s="1120"/>
      <c r="AF54" s="1120"/>
      <c r="AG54" s="1120"/>
      <c r="AH54" s="1120"/>
      <c r="AI54" s="1120"/>
      <c r="AJ54" s="1120"/>
      <c r="AK54" s="1120"/>
    </row>
    <row r="55" spans="1:37" s="1119" customFormat="1" ht="24">
      <c r="A55" s="2130" t="s">
        <v>2041</v>
      </c>
      <c r="B55" s="2136" t="s">
        <v>2042</v>
      </c>
      <c r="C55" s="2044" t="s">
        <v>3428</v>
      </c>
      <c r="D55" s="1065">
        <f t="shared" si="7"/>
        <v>2.3999999999999998E-3</v>
      </c>
      <c r="E55" s="745"/>
      <c r="F55" s="1814"/>
      <c r="G55" s="1063">
        <v>2.3999999999999998E-3</v>
      </c>
      <c r="H55" s="1066">
        <f t="shared" si="8"/>
        <v>2.3999999999999998E-3</v>
      </c>
      <c r="I55" s="3344">
        <v>0.05</v>
      </c>
      <c r="J55" s="1064">
        <f t="shared" si="9"/>
        <v>4.7999999999999996E-3</v>
      </c>
      <c r="K55" s="1064">
        <f t="shared" si="10"/>
        <v>2.3999999999999998E-3</v>
      </c>
      <c r="L55" s="1064">
        <v>0</v>
      </c>
      <c r="M55" s="1064">
        <f t="shared" si="11"/>
        <v>-2.3999999999999998E-3</v>
      </c>
      <c r="N55" s="1064">
        <f t="shared" si="11"/>
        <v>-4.7999999999999996E-3</v>
      </c>
      <c r="AA55" s="1120"/>
      <c r="AB55" s="1120"/>
      <c r="AC55" s="1120"/>
      <c r="AD55" s="1120"/>
      <c r="AE55" s="1120"/>
      <c r="AF55" s="1120"/>
      <c r="AG55" s="1120"/>
      <c r="AH55" s="1120"/>
      <c r="AI55" s="1120"/>
      <c r="AJ55" s="1120"/>
      <c r="AK55" s="1120"/>
    </row>
    <row r="56" spans="1:37" s="1119" customFormat="1" ht="24">
      <c r="A56" s="2137" t="s">
        <v>2043</v>
      </c>
      <c r="B56" s="1326" t="str">
        <f>估价对象房地状况!C21</f>
        <v>较好</v>
      </c>
      <c r="C56" s="2044" t="s">
        <v>3428</v>
      </c>
      <c r="D56" s="1065">
        <f t="shared" si="7"/>
        <v>2.3999999999999998E-3</v>
      </c>
      <c r="E56" s="745"/>
      <c r="F56" s="1814"/>
      <c r="G56" s="1063">
        <v>2.3999999999999998E-3</v>
      </c>
      <c r="H56" s="1066">
        <f t="shared" si="8"/>
        <v>2.3999999999999998E-3</v>
      </c>
      <c r="I56" s="3344">
        <v>0.05</v>
      </c>
      <c r="J56" s="1064">
        <f t="shared" si="9"/>
        <v>4.7999999999999996E-3</v>
      </c>
      <c r="K56" s="1064">
        <f t="shared" si="10"/>
        <v>2.3999999999999998E-3</v>
      </c>
      <c r="L56" s="1064">
        <v>0</v>
      </c>
      <c r="M56" s="1064">
        <f t="shared" si="11"/>
        <v>-2.3999999999999998E-3</v>
      </c>
      <c r="N56" s="1064">
        <f t="shared" si="11"/>
        <v>-4.7999999999999996E-3</v>
      </c>
      <c r="AA56" s="1120"/>
      <c r="AB56" s="1120"/>
      <c r="AC56" s="1120"/>
      <c r="AD56" s="1120"/>
      <c r="AE56" s="1120"/>
      <c r="AF56" s="1120"/>
      <c r="AG56" s="1120"/>
      <c r="AH56" s="1120"/>
      <c r="AI56" s="1120"/>
      <c r="AJ56" s="1120"/>
      <c r="AK56" s="1120"/>
    </row>
    <row r="57" spans="1:37" s="1119" customFormat="1" ht="24">
      <c r="A57" s="2137" t="s">
        <v>2044</v>
      </c>
      <c r="B57" s="2134" t="str">
        <f>估价对象房地状况!C22</f>
        <v>七通</v>
      </c>
      <c r="C57" s="2044" t="s">
        <v>3429</v>
      </c>
      <c r="D57" s="1065">
        <f t="shared" si="7"/>
        <v>7.7999999999999996E-3</v>
      </c>
      <c r="E57" s="745"/>
      <c r="F57" s="1814"/>
      <c r="G57" s="1063">
        <v>3.8999999999999998E-3</v>
      </c>
      <c r="H57" s="1066">
        <f t="shared" si="8"/>
        <v>3.8999999999999998E-3</v>
      </c>
      <c r="I57" s="3344">
        <v>0.08</v>
      </c>
      <c r="J57" s="1064">
        <f t="shared" si="9"/>
        <v>7.7999999999999996E-3</v>
      </c>
      <c r="K57" s="1064">
        <f t="shared" si="10"/>
        <v>3.8999999999999998E-3</v>
      </c>
      <c r="L57" s="1064">
        <v>0</v>
      </c>
      <c r="M57" s="1064">
        <f t="shared" si="11"/>
        <v>-3.8999999999999998E-3</v>
      </c>
      <c r="N57" s="1064">
        <f t="shared" si="11"/>
        <v>-7.7999999999999996E-3</v>
      </c>
      <c r="AA57" s="1120"/>
      <c r="AB57" s="1120"/>
      <c r="AC57" s="1120"/>
      <c r="AD57" s="1120"/>
      <c r="AE57" s="1120"/>
      <c r="AF57" s="1120"/>
      <c r="AG57" s="1120"/>
      <c r="AH57" s="1120"/>
      <c r="AI57" s="1120"/>
      <c r="AJ57" s="1120"/>
      <c r="AK57" s="1120"/>
    </row>
    <row r="58" spans="1:37" s="1119" customFormat="1" ht="24.75" thickBot="1">
      <c r="A58" s="2138" t="s">
        <v>2045</v>
      </c>
      <c r="B58" s="2139" t="str">
        <f>估价对象房地状况!C20</f>
        <v>较好</v>
      </c>
      <c r="C58" s="2044" t="s">
        <v>3428</v>
      </c>
      <c r="D58" s="1065">
        <f t="shared" si="7"/>
        <v>2.3999999999999998E-3</v>
      </c>
      <c r="E58" s="746"/>
      <c r="F58" s="1814"/>
      <c r="G58" s="1063">
        <v>2.3999999999999998E-3</v>
      </c>
      <c r="H58" s="1066">
        <f t="shared" si="8"/>
        <v>2.3999999999999998E-3</v>
      </c>
      <c r="I58" s="3345">
        <v>0.05</v>
      </c>
      <c r="J58" s="1064">
        <f t="shared" si="9"/>
        <v>4.7999999999999996E-3</v>
      </c>
      <c r="K58" s="1064">
        <f t="shared" si="10"/>
        <v>2.3999999999999998E-3</v>
      </c>
      <c r="L58" s="1064">
        <v>0</v>
      </c>
      <c r="M58" s="1064">
        <f t="shared" si="11"/>
        <v>-2.3999999999999998E-3</v>
      </c>
      <c r="N58" s="1064">
        <f t="shared" si="11"/>
        <v>-4.7999999999999996E-3</v>
      </c>
      <c r="AA58" s="1120"/>
      <c r="AB58" s="1120"/>
      <c r="AC58" s="1120"/>
      <c r="AD58" s="1120"/>
      <c r="AE58" s="1120"/>
      <c r="AF58" s="1120"/>
      <c r="AG58" s="1120"/>
      <c r="AH58" s="1120"/>
      <c r="AI58" s="1120"/>
      <c r="AJ58" s="1120"/>
      <c r="AK58" s="1120"/>
    </row>
    <row r="59" spans="1:37" s="1119" customFormat="1" ht="15">
      <c r="A59" s="2126" t="s">
        <v>2046</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2028</v>
      </c>
      <c r="B60" s="1351"/>
      <c r="C60" s="1351" t="s">
        <v>2030</v>
      </c>
      <c r="D60" s="1351" t="s">
        <v>2031</v>
      </c>
      <c r="E60" s="743" t="s">
        <v>2032</v>
      </c>
      <c r="F60" s="2131" t="s">
        <v>2047</v>
      </c>
      <c r="G60" s="1351" t="s">
        <v>310</v>
      </c>
      <c r="H60" s="2132" t="s">
        <v>2034</v>
      </c>
      <c r="I60" s="1351" t="s">
        <v>2035</v>
      </c>
      <c r="J60" s="552" t="s">
        <v>1705</v>
      </c>
      <c r="K60" s="552" t="s">
        <v>1706</v>
      </c>
      <c r="L60" s="552" t="s">
        <v>1707</v>
      </c>
      <c r="M60" s="552" t="s">
        <v>1708</v>
      </c>
      <c r="N60" s="552" t="s">
        <v>1709</v>
      </c>
      <c r="AA60" s="1120"/>
      <c r="AB60" s="1120"/>
      <c r="AC60" s="1120"/>
      <c r="AD60" s="1120"/>
      <c r="AE60" s="1120"/>
      <c r="AF60" s="1120"/>
      <c r="AG60" s="1120"/>
      <c r="AH60" s="1120"/>
      <c r="AI60" s="1120"/>
      <c r="AJ60" s="1120"/>
      <c r="AK60" s="1120"/>
    </row>
    <row r="61" spans="1:37" s="1119" customFormat="1" ht="24">
      <c r="A61" s="2130" t="s">
        <v>2048</v>
      </c>
      <c r="B61" s="2133" t="str">
        <f>估价对象房地状况!C17</f>
        <v>一般</v>
      </c>
      <c r="C61" s="2044"/>
      <c r="D61" s="1065">
        <f t="shared" ref="D61:D69" si="12">SUMIF($J$60:$N$60,C61,J61:N61)</f>
        <v>0</v>
      </c>
      <c r="E61" s="744">
        <f>ROUND(SUM(D61:D69),4)</f>
        <v>0</v>
      </c>
      <c r="F61" s="1814" t="str">
        <f>IF(E2="办公",SUMIF(L1:L12,G2,N1:N12),"——")</f>
        <v>——</v>
      </c>
      <c r="G61" s="1063"/>
      <c r="H61" s="1066" t="str">
        <f t="shared" ref="H61:H69" si="13">IFERROR(ROUNDDOWN($F$61*I61/2,4),"——")</f>
        <v>——</v>
      </c>
      <c r="I61" s="3344">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2037</v>
      </c>
      <c r="B62" s="2134" t="str">
        <f>估价对象房地状况!C18</f>
        <v>一般</v>
      </c>
      <c r="C62" s="2044"/>
      <c r="D62" s="1065">
        <f t="shared" si="12"/>
        <v>0</v>
      </c>
      <c r="E62" s="745"/>
      <c r="F62" s="1814"/>
      <c r="G62" s="1063"/>
      <c r="H62" s="1066" t="str">
        <f t="shared" si="13"/>
        <v>——</v>
      </c>
      <c r="I62" s="3344">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46" t="s">
        <v>3253</v>
      </c>
      <c r="B63" s="2134">
        <f>估价对象房地状况!C19</f>
        <v>0</v>
      </c>
      <c r="C63" s="2044"/>
      <c r="D63" s="1065">
        <f t="shared" si="12"/>
        <v>0</v>
      </c>
      <c r="E63" s="745"/>
      <c r="F63" s="1814"/>
      <c r="G63" s="1063"/>
      <c r="H63" s="1066" t="str">
        <f t="shared" si="13"/>
        <v>——</v>
      </c>
      <c r="I63" s="3344">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2038</v>
      </c>
      <c r="B64" s="2135" t="s">
        <v>2039</v>
      </c>
      <c r="C64" s="2044"/>
      <c r="D64" s="1065">
        <f t="shared" si="12"/>
        <v>0</v>
      </c>
      <c r="E64" s="745"/>
      <c r="F64" s="1814"/>
      <c r="G64" s="1063"/>
      <c r="H64" s="1066" t="str">
        <f t="shared" si="13"/>
        <v>——</v>
      </c>
      <c r="I64" s="3344">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2040</v>
      </c>
      <c r="B65" s="2134">
        <f>估价对象房地状况!C24</f>
        <v>0</v>
      </c>
      <c r="C65" s="2044"/>
      <c r="D65" s="1065">
        <f t="shared" si="12"/>
        <v>0</v>
      </c>
      <c r="E65" s="745"/>
      <c r="F65" s="1814"/>
      <c r="G65" s="1063"/>
      <c r="H65" s="1066" t="str">
        <f t="shared" si="13"/>
        <v>——</v>
      </c>
      <c r="I65" s="3344">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2041</v>
      </c>
      <c r="B66" s="2136" t="s">
        <v>2042</v>
      </c>
      <c r="C66" s="2044"/>
      <c r="D66" s="1065">
        <f t="shared" si="12"/>
        <v>0</v>
      </c>
      <c r="E66" s="745"/>
      <c r="F66" s="1814"/>
      <c r="G66" s="1063"/>
      <c r="H66" s="1066" t="str">
        <f t="shared" si="13"/>
        <v>——</v>
      </c>
      <c r="I66" s="3344">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2043</v>
      </c>
      <c r="B67" s="1326" t="str">
        <f>估价对象房地状况!C21</f>
        <v>较好</v>
      </c>
      <c r="C67" s="2044"/>
      <c r="D67" s="1065">
        <f t="shared" si="12"/>
        <v>0</v>
      </c>
      <c r="E67" s="745"/>
      <c r="F67" s="1814"/>
      <c r="G67" s="1063"/>
      <c r="H67" s="1066" t="str">
        <f t="shared" si="13"/>
        <v>——</v>
      </c>
      <c r="I67" s="3344">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2044</v>
      </c>
      <c r="B68" s="1326" t="str">
        <f>估价对象房地状况!C22</f>
        <v>七通</v>
      </c>
      <c r="C68" s="2044"/>
      <c r="D68" s="1065">
        <f t="shared" si="12"/>
        <v>0</v>
      </c>
      <c r="E68" s="745"/>
      <c r="F68" s="1814"/>
      <c r="G68" s="1063"/>
      <c r="H68" s="1066" t="str">
        <f t="shared" si="13"/>
        <v>——</v>
      </c>
      <c r="I68" s="3344">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2045</v>
      </c>
      <c r="B69" s="2140" t="str">
        <f>估价对象房地状况!C20</f>
        <v>较好</v>
      </c>
      <c r="C69" s="2044"/>
      <c r="D69" s="1065">
        <f t="shared" si="12"/>
        <v>0</v>
      </c>
      <c r="E69" s="746"/>
      <c r="F69" s="1814"/>
      <c r="G69" s="1063"/>
      <c r="H69" s="1066" t="str">
        <f t="shared" si="13"/>
        <v>——</v>
      </c>
      <c r="I69" s="3345">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2049</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2028</v>
      </c>
      <c r="B71" s="1351"/>
      <c r="C71" s="1351" t="s">
        <v>2030</v>
      </c>
      <c r="D71" s="1351" t="s">
        <v>2031</v>
      </c>
      <c r="E71" s="743" t="s">
        <v>2032</v>
      </c>
      <c r="F71" s="2131" t="s">
        <v>2047</v>
      </c>
      <c r="G71" s="1351" t="s">
        <v>310</v>
      </c>
      <c r="H71" s="2132" t="s">
        <v>2034</v>
      </c>
      <c r="I71" s="1351" t="s">
        <v>2035</v>
      </c>
      <c r="J71" s="552" t="s">
        <v>1705</v>
      </c>
      <c r="K71" s="552" t="s">
        <v>1706</v>
      </c>
      <c r="L71" s="552" t="s">
        <v>1707</v>
      </c>
      <c r="M71" s="552" t="s">
        <v>1708</v>
      </c>
      <c r="N71" s="552" t="s">
        <v>1709</v>
      </c>
      <c r="AA71" s="1120"/>
      <c r="AB71" s="1120"/>
      <c r="AC71" s="1120"/>
      <c r="AD71" s="1120"/>
      <c r="AE71" s="1120"/>
      <c r="AF71" s="1120"/>
      <c r="AG71" s="1120"/>
      <c r="AH71" s="1120"/>
      <c r="AI71" s="1120"/>
      <c r="AJ71" s="1120"/>
      <c r="AK71" s="1120"/>
    </row>
    <row r="72" spans="1:37" s="1119" customFormat="1" ht="24">
      <c r="A72" s="2130" t="s">
        <v>2050</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4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2037</v>
      </c>
      <c r="B73" s="2134" t="str">
        <f>估价对象房地状况!C18</f>
        <v>一般</v>
      </c>
      <c r="C73" s="2044"/>
      <c r="D73" s="1065">
        <f t="shared" si="17"/>
        <v>0</v>
      </c>
      <c r="E73" s="747"/>
      <c r="F73" s="1814"/>
      <c r="G73" s="1063"/>
      <c r="H73" s="1066" t="str">
        <f t="shared" si="18"/>
        <v>——</v>
      </c>
      <c r="I73" s="334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46" t="s">
        <v>3253</v>
      </c>
      <c r="B74" s="2134">
        <f>估价对象房地状况!C19</f>
        <v>0</v>
      </c>
      <c r="C74" s="2044"/>
      <c r="D74" s="1065">
        <f t="shared" si="17"/>
        <v>0</v>
      </c>
      <c r="E74" s="747"/>
      <c r="F74" s="1814"/>
      <c r="G74" s="1063"/>
      <c r="H74" s="1066" t="str">
        <f t="shared" si="18"/>
        <v>——</v>
      </c>
      <c r="I74" s="3344">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2051</v>
      </c>
      <c r="B75" s="2134">
        <f>估价对象房地状况!C24</f>
        <v>0</v>
      </c>
      <c r="C75" s="2044"/>
      <c r="D75" s="1065">
        <f t="shared" si="17"/>
        <v>0</v>
      </c>
      <c r="E75" s="747"/>
      <c r="F75" s="1814"/>
      <c r="G75" s="1063"/>
      <c r="H75" s="1066" t="str">
        <f t="shared" si="18"/>
        <v>——</v>
      </c>
      <c r="I75" s="3344">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2043</v>
      </c>
      <c r="B76" s="1326" t="str">
        <f>估价对象房地状况!C21</f>
        <v>较好</v>
      </c>
      <c r="C76" s="2044"/>
      <c r="D76" s="1065">
        <f t="shared" si="17"/>
        <v>0</v>
      </c>
      <c r="E76" s="747"/>
      <c r="F76" s="1814"/>
      <c r="G76" s="1063"/>
      <c r="H76" s="1066" t="str">
        <f t="shared" si="18"/>
        <v>——</v>
      </c>
      <c r="I76" s="3344">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2044</v>
      </c>
      <c r="B77" s="1326" t="str">
        <f>估价对象房地状况!C22</f>
        <v>七通</v>
      </c>
      <c r="C77" s="2044"/>
      <c r="D77" s="1065">
        <f t="shared" si="17"/>
        <v>0</v>
      </c>
      <c r="E77" s="747"/>
      <c r="F77" s="1814"/>
      <c r="G77" s="1063"/>
      <c r="H77" s="1066" t="str">
        <f t="shared" si="18"/>
        <v>——</v>
      </c>
      <c r="I77" s="3344">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2041</v>
      </c>
      <c r="B78" s="2136" t="s">
        <v>2042</v>
      </c>
      <c r="C78" s="2044"/>
      <c r="D78" s="1065">
        <f t="shared" si="17"/>
        <v>0</v>
      </c>
      <c r="E78" s="747"/>
      <c r="F78" s="1814"/>
      <c r="G78" s="1063"/>
      <c r="H78" s="1066" t="str">
        <f t="shared" si="18"/>
        <v>——</v>
      </c>
      <c r="I78" s="3344">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2045</v>
      </c>
      <c r="B79" s="2133" t="str">
        <f>估价对象房地状况!C20</f>
        <v>较好</v>
      </c>
      <c r="C79" s="2044"/>
      <c r="D79" s="1065">
        <f t="shared" si="17"/>
        <v>0</v>
      </c>
      <c r="E79" s="747"/>
      <c r="F79" s="1814"/>
      <c r="G79" s="1063"/>
      <c r="H79" s="1066" t="str">
        <f t="shared" si="18"/>
        <v>——</v>
      </c>
      <c r="I79" s="3344">
        <v>0.12</v>
      </c>
      <c r="J79" s="1064">
        <f t="shared" si="19"/>
        <v>0</v>
      </c>
      <c r="K79" s="1064">
        <f t="shared" si="20"/>
        <v>0</v>
      </c>
      <c r="L79" s="1064">
        <v>0</v>
      </c>
      <c r="M79" s="1064">
        <f t="shared" si="21"/>
        <v>0</v>
      </c>
      <c r="N79" s="1064">
        <f t="shared" si="21"/>
        <v>0</v>
      </c>
      <c r="Z79" s="1998"/>
      <c r="AA79" s="2053"/>
      <c r="AG79" s="1121"/>
      <c r="AK79" s="2053"/>
    </row>
    <row r="80" spans="1:37" ht="24.75" thickBot="1">
      <c r="A80" s="2138" t="s">
        <v>2052</v>
      </c>
      <c r="B80" s="2142"/>
      <c r="C80" s="2044"/>
      <c r="D80" s="1065">
        <f t="shared" si="17"/>
        <v>0</v>
      </c>
      <c r="E80" s="748"/>
      <c r="F80" s="1814"/>
      <c r="G80" s="1063"/>
      <c r="H80" s="1066" t="str">
        <f t="shared" si="18"/>
        <v>——</v>
      </c>
      <c r="I80" s="3345">
        <v>0.05</v>
      </c>
      <c r="J80" s="1064">
        <f t="shared" si="19"/>
        <v>0</v>
      </c>
      <c r="K80" s="1064">
        <f t="shared" si="20"/>
        <v>0</v>
      </c>
      <c r="L80" s="1064">
        <v>0</v>
      </c>
      <c r="M80" s="1064">
        <f t="shared" si="21"/>
        <v>0</v>
      </c>
      <c r="N80" s="1064">
        <f t="shared" si="21"/>
        <v>0</v>
      </c>
      <c r="Z80" s="1998"/>
      <c r="AA80" s="2053"/>
      <c r="AG80" s="1121"/>
      <c r="AK80" s="2053"/>
    </row>
    <row r="81" spans="1:37" ht="15">
      <c r="A81" s="2126" t="s">
        <v>2053</v>
      </c>
      <c r="B81" s="2127">
        <f>1+E83</f>
        <v>1</v>
      </c>
      <c r="C81" s="741"/>
      <c r="D81" s="741"/>
      <c r="E81" s="742"/>
      <c r="F81" s="2129"/>
      <c r="G81" s="3"/>
      <c r="H81" s="3"/>
      <c r="I81" s="3"/>
      <c r="J81" s="4"/>
      <c r="K81" s="4"/>
      <c r="L81" s="4"/>
      <c r="M81" s="4"/>
      <c r="N81" s="4"/>
      <c r="Z81" s="1998"/>
      <c r="AA81" s="2053"/>
      <c r="AG81" s="1121"/>
      <c r="AK81" s="2053"/>
    </row>
    <row r="82" spans="1:37" ht="24.75">
      <c r="A82" s="2130" t="s">
        <v>2028</v>
      </c>
      <c r="B82" s="1351"/>
      <c r="C82" s="1351" t="s">
        <v>2030</v>
      </c>
      <c r="D82" s="1351" t="s">
        <v>2031</v>
      </c>
      <c r="E82" s="743" t="s">
        <v>2032</v>
      </c>
      <c r="F82" s="2131" t="s">
        <v>2047</v>
      </c>
      <c r="G82" s="1351" t="s">
        <v>310</v>
      </c>
      <c r="H82" s="2132" t="s">
        <v>2034</v>
      </c>
      <c r="I82" s="1351" t="s">
        <v>2035</v>
      </c>
      <c r="J82" s="552" t="s">
        <v>1705</v>
      </c>
      <c r="K82" s="552" t="s">
        <v>1706</v>
      </c>
      <c r="L82" s="552" t="s">
        <v>1707</v>
      </c>
      <c r="M82" s="552" t="s">
        <v>1708</v>
      </c>
      <c r="N82" s="552" t="s">
        <v>1709</v>
      </c>
      <c r="Z82" s="1998"/>
      <c r="AA82" s="2053"/>
      <c r="AG82" s="1121"/>
      <c r="AK82" s="2053"/>
    </row>
    <row r="83" spans="1:37" ht="38.25">
      <c r="A83" s="2130" t="s">
        <v>2054</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44">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2037</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44">
        <v>0.3</v>
      </c>
      <c r="J84" s="1064">
        <f t="shared" si="24"/>
        <v>0</v>
      </c>
      <c r="K84" s="1064">
        <f t="shared" si="25"/>
        <v>0</v>
      </c>
      <c r="L84" s="1064">
        <v>0</v>
      </c>
      <c r="M84" s="1064">
        <f t="shared" si="26"/>
        <v>0</v>
      </c>
      <c r="N84" s="1064">
        <f t="shared" si="26"/>
        <v>0</v>
      </c>
      <c r="Z84" s="1998"/>
      <c r="AA84" s="2053"/>
      <c r="AG84" s="1121"/>
      <c r="AK84" s="2053"/>
    </row>
    <row r="85" spans="1:37" ht="36">
      <c r="A85" s="3346" t="s">
        <v>3254</v>
      </c>
      <c r="B85" s="2134">
        <f>估价对象房地状况!G17</f>
        <v>0</v>
      </c>
      <c r="C85" s="2044"/>
      <c r="D85" s="1065">
        <f t="shared" si="22"/>
        <v>0</v>
      </c>
      <c r="E85" s="747"/>
      <c r="F85" s="1814"/>
      <c r="G85" s="1063"/>
      <c r="H85" s="1066" t="str">
        <f t="shared" si="23"/>
        <v>——</v>
      </c>
      <c r="I85" s="3344">
        <v>0.1</v>
      </c>
      <c r="J85" s="1064">
        <f t="shared" si="24"/>
        <v>0</v>
      </c>
      <c r="K85" s="1064">
        <f t="shared" si="25"/>
        <v>0</v>
      </c>
      <c r="L85" s="1064">
        <v>0</v>
      </c>
      <c r="M85" s="1064">
        <f t="shared" si="26"/>
        <v>0</v>
      </c>
      <c r="N85" s="1064">
        <f t="shared" si="26"/>
        <v>0</v>
      </c>
      <c r="Z85" s="1998"/>
      <c r="AA85" s="2053"/>
      <c r="AG85" s="1121"/>
      <c r="AK85" s="2053"/>
    </row>
    <row r="86" spans="1:37" ht="14.25">
      <c r="A86" s="2130" t="s">
        <v>2051</v>
      </c>
      <c r="B86" s="2134">
        <f>估价对象房地状况!G22</f>
        <v>0</v>
      </c>
      <c r="C86" s="2044"/>
      <c r="D86" s="1065">
        <f t="shared" si="22"/>
        <v>0</v>
      </c>
      <c r="E86" s="747"/>
      <c r="F86" s="1814"/>
      <c r="G86" s="1063"/>
      <c r="H86" s="1066" t="str">
        <f t="shared" si="23"/>
        <v>——</v>
      </c>
      <c r="I86" s="3344">
        <v>0.05</v>
      </c>
      <c r="J86" s="1064">
        <f t="shared" si="24"/>
        <v>0</v>
      </c>
      <c r="K86" s="1064">
        <f t="shared" si="25"/>
        <v>0</v>
      </c>
      <c r="L86" s="1064">
        <v>0</v>
      </c>
      <c r="M86" s="1064">
        <f t="shared" si="26"/>
        <v>0</v>
      </c>
      <c r="N86" s="1064">
        <f t="shared" si="26"/>
        <v>0</v>
      </c>
      <c r="Z86" s="1998"/>
      <c r="AA86" s="2053"/>
      <c r="AG86" s="1121"/>
      <c r="AK86" s="2053"/>
    </row>
    <row r="87" spans="1:37" ht="25.5">
      <c r="A87" s="2130" t="s">
        <v>2043</v>
      </c>
      <c r="B87" s="1326" t="str">
        <f>估价对象房地状况!G19</f>
        <v>估价对象所在区域公共配套设施齐备情况</v>
      </c>
      <c r="C87" s="2044"/>
      <c r="D87" s="1065">
        <f t="shared" si="22"/>
        <v>0</v>
      </c>
      <c r="E87" s="747"/>
      <c r="F87" s="1814"/>
      <c r="G87" s="1063"/>
      <c r="H87" s="1066" t="str">
        <f t="shared" si="23"/>
        <v>——</v>
      </c>
      <c r="I87" s="3344">
        <v>0.06</v>
      </c>
      <c r="J87" s="1064">
        <f t="shared" si="24"/>
        <v>0</v>
      </c>
      <c r="K87" s="1064">
        <f t="shared" si="25"/>
        <v>0</v>
      </c>
      <c r="L87" s="1064">
        <v>0</v>
      </c>
      <c r="M87" s="1064">
        <f t="shared" si="26"/>
        <v>0</v>
      </c>
      <c r="N87" s="1064">
        <f t="shared" si="26"/>
        <v>0</v>
      </c>
    </row>
    <row r="88" spans="1:37" ht="25.5">
      <c r="A88" s="2130" t="s">
        <v>2044</v>
      </c>
      <c r="B88" s="1326" t="str">
        <f>估价对象房地状况!G20</f>
        <v>估价对象所在区域基础设施水平</v>
      </c>
      <c r="C88" s="2044"/>
      <c r="D88" s="1065">
        <f t="shared" si="22"/>
        <v>0</v>
      </c>
      <c r="E88" s="747"/>
      <c r="F88" s="1814"/>
      <c r="G88" s="1063"/>
      <c r="H88" s="1066" t="str">
        <f t="shared" si="23"/>
        <v>——</v>
      </c>
      <c r="I88" s="3344">
        <v>0.12</v>
      </c>
      <c r="J88" s="1064">
        <f t="shared" si="24"/>
        <v>0</v>
      </c>
      <c r="K88" s="1064">
        <f t="shared" si="25"/>
        <v>0</v>
      </c>
      <c r="L88" s="1064">
        <v>0</v>
      </c>
      <c r="M88" s="1064">
        <f t="shared" si="26"/>
        <v>0</v>
      </c>
      <c r="N88" s="1064">
        <f t="shared" si="26"/>
        <v>0</v>
      </c>
    </row>
    <row r="89" spans="1:37" ht="24">
      <c r="A89" s="2130" t="s">
        <v>2041</v>
      </c>
      <c r="B89" s="2136" t="s">
        <v>2055</v>
      </c>
      <c r="C89" s="2044"/>
      <c r="D89" s="1065">
        <f t="shared" si="22"/>
        <v>0</v>
      </c>
      <c r="E89" s="747"/>
      <c r="F89" s="1814"/>
      <c r="G89" s="1063"/>
      <c r="H89" s="1066" t="str">
        <f t="shared" si="23"/>
        <v>——</v>
      </c>
      <c r="I89" s="3344">
        <v>0.06</v>
      </c>
      <c r="J89" s="1064">
        <f t="shared" si="24"/>
        <v>0</v>
      </c>
      <c r="K89" s="1064">
        <f t="shared" si="25"/>
        <v>0</v>
      </c>
      <c r="L89" s="1064">
        <v>0</v>
      </c>
      <c r="M89" s="1064">
        <f t="shared" si="26"/>
        <v>0</v>
      </c>
      <c r="N89" s="1064">
        <f t="shared" si="26"/>
        <v>0</v>
      </c>
    </row>
    <row r="90" spans="1:37" ht="39" thickBot="1">
      <c r="A90" s="2138" t="s">
        <v>2056</v>
      </c>
      <c r="B90" s="2143" t="str">
        <f>估价对象房地状况!G18</f>
        <v>该园区内是否有污染型企业，绿化情况，卫生条件，整体环境状况判断</v>
      </c>
      <c r="C90" s="2044"/>
      <c r="D90" s="1065">
        <f t="shared" si="22"/>
        <v>0</v>
      </c>
      <c r="E90" s="748"/>
      <c r="F90" s="1814"/>
      <c r="G90" s="1063"/>
      <c r="H90" s="1066" t="str">
        <f t="shared" si="23"/>
        <v>——</v>
      </c>
      <c r="I90" s="3345">
        <v>0.05</v>
      </c>
      <c r="J90" s="1064">
        <f t="shared" si="24"/>
        <v>0</v>
      </c>
      <c r="K90" s="1064">
        <f t="shared" si="25"/>
        <v>0</v>
      </c>
      <c r="L90" s="1064">
        <v>0</v>
      </c>
      <c r="M90" s="1064">
        <f t="shared" si="26"/>
        <v>0</v>
      </c>
      <c r="N90" s="1064">
        <f t="shared" si="26"/>
        <v>0</v>
      </c>
    </row>
    <row r="91" spans="1:37" ht="15">
      <c r="A91" s="3354" t="s">
        <v>2596</v>
      </c>
      <c r="B91" s="3355">
        <f>1+E93</f>
        <v>1</v>
      </c>
      <c r="C91" s="3348"/>
      <c r="D91" s="3349"/>
      <c r="E91" s="1814"/>
      <c r="F91" s="1814"/>
      <c r="G91" s="3350"/>
      <c r="H91" s="3351"/>
      <c r="I91" s="3352"/>
      <c r="J91" s="3353"/>
      <c r="K91" s="3353"/>
      <c r="L91" s="3353"/>
      <c r="M91" s="3353"/>
      <c r="N91" s="3353"/>
    </row>
    <row r="92" spans="1:37" ht="24.75">
      <c r="A92" s="3356" t="s">
        <v>3255</v>
      </c>
      <c r="B92" s="3343"/>
      <c r="C92" s="3343" t="s">
        <v>3264</v>
      </c>
      <c r="D92" s="3343" t="s">
        <v>3265</v>
      </c>
      <c r="E92" s="3325" t="s">
        <v>3266</v>
      </c>
      <c r="F92" s="3358" t="s">
        <v>3267</v>
      </c>
      <c r="G92" s="3343" t="s">
        <v>3268</v>
      </c>
      <c r="H92" s="3365" t="s">
        <v>3271</v>
      </c>
      <c r="I92" s="3343" t="s">
        <v>3272</v>
      </c>
      <c r="J92" s="3366" t="s">
        <v>3273</v>
      </c>
      <c r="K92" s="3366" t="s">
        <v>3274</v>
      </c>
      <c r="L92" s="3366" t="s">
        <v>3275</v>
      </c>
      <c r="M92" s="3366" t="s">
        <v>3276</v>
      </c>
      <c r="N92" s="3366" t="s">
        <v>3277</v>
      </c>
    </row>
    <row r="93" spans="1:37" ht="24">
      <c r="A93" s="3346" t="s">
        <v>3256</v>
      </c>
      <c r="B93" s="1306"/>
      <c r="C93" s="2044"/>
      <c r="D93" s="3343">
        <f>SUMIF($J$92:$N$92,C93,J93:N93)</f>
        <v>0</v>
      </c>
      <c r="E93" s="3359">
        <f>ROUND(SUM(D93:D101),4)</f>
        <v>0</v>
      </c>
      <c r="F93" s="1814" t="str">
        <f>IF(E2="公共服务",SUMIF(L1:L12,G2,N1:N12),"——")</f>
        <v>——</v>
      </c>
      <c r="G93" s="3350"/>
      <c r="H93" s="3398" t="str">
        <f>IFERROR(ROUNDDOWN($F$93*I93/2,4),"——")</f>
        <v>——</v>
      </c>
      <c r="I93" s="3344">
        <v>0.25</v>
      </c>
      <c r="J93" s="3322">
        <f t="shared" ref="J93:J101" si="27">K93+$G93</f>
        <v>0</v>
      </c>
      <c r="K93" s="3322">
        <f t="shared" ref="K93:K101" si="28">$L93+$G93</f>
        <v>0</v>
      </c>
      <c r="L93" s="3322">
        <v>0</v>
      </c>
      <c r="M93" s="3322">
        <f t="shared" ref="M93:N101" si="29">L93-$G93</f>
        <v>0</v>
      </c>
      <c r="N93" s="3322">
        <f t="shared" si="29"/>
        <v>0</v>
      </c>
    </row>
    <row r="94" spans="1:37" ht="14.25">
      <c r="A94" s="3356" t="s">
        <v>3257</v>
      </c>
      <c r="B94" s="3347" t="str">
        <f>估价对象房地状况!C18</f>
        <v>一般</v>
      </c>
      <c r="C94" s="2044"/>
      <c r="D94" s="3343">
        <f t="shared" ref="D94:D101" si="30">SUMIF($J$60:$N$60,C94,J94:N94)</f>
        <v>0</v>
      </c>
      <c r="E94" s="3360"/>
      <c r="F94" s="1814"/>
      <c r="G94" s="3350"/>
      <c r="H94" s="3398" t="str">
        <f>IFERROR(ROUNDDOWN($F$93*I94/2,4),"——")</f>
        <v>——</v>
      </c>
      <c r="I94" s="3344">
        <v>0.26</v>
      </c>
      <c r="J94" s="3322">
        <f t="shared" si="27"/>
        <v>0</v>
      </c>
      <c r="K94" s="3322">
        <f t="shared" si="28"/>
        <v>0</v>
      </c>
      <c r="L94" s="3322">
        <v>0</v>
      </c>
      <c r="M94" s="3322">
        <f t="shared" si="29"/>
        <v>0</v>
      </c>
      <c r="N94" s="3322">
        <f t="shared" si="29"/>
        <v>0</v>
      </c>
    </row>
    <row r="95" spans="1:37" ht="36">
      <c r="A95" s="3346" t="s">
        <v>3253</v>
      </c>
      <c r="B95" s="3347">
        <f>估价对象房地状况!C19</f>
        <v>0</v>
      </c>
      <c r="C95" s="2044"/>
      <c r="D95" s="3343">
        <f t="shared" si="30"/>
        <v>0</v>
      </c>
      <c r="E95" s="3360"/>
      <c r="F95" s="1814"/>
      <c r="G95" s="3350"/>
      <c r="H95" s="3398" t="str">
        <f t="shared" ref="H95:H101" si="31">IFERROR(ROUNDDOWN($F$93*I95/2,4),"——")</f>
        <v>——</v>
      </c>
      <c r="I95" s="3344">
        <v>0.11</v>
      </c>
      <c r="J95" s="3322">
        <f t="shared" si="27"/>
        <v>0</v>
      </c>
      <c r="K95" s="3322">
        <f t="shared" si="28"/>
        <v>0</v>
      </c>
      <c r="L95" s="3322">
        <v>0</v>
      </c>
      <c r="M95" s="3322">
        <f t="shared" si="29"/>
        <v>0</v>
      </c>
      <c r="N95" s="3322">
        <f t="shared" si="29"/>
        <v>0</v>
      </c>
    </row>
    <row r="96" spans="1:37" ht="36.75">
      <c r="A96" s="3356" t="s">
        <v>3258</v>
      </c>
      <c r="B96" s="3362" t="s">
        <v>3269</v>
      </c>
      <c r="C96" s="2044"/>
      <c r="D96" s="3343">
        <f t="shared" si="30"/>
        <v>0</v>
      </c>
      <c r="E96" s="3360"/>
      <c r="F96" s="1814"/>
      <c r="G96" s="3350"/>
      <c r="H96" s="3398" t="str">
        <f t="shared" si="31"/>
        <v>——</v>
      </c>
      <c r="I96" s="3344">
        <v>0.05</v>
      </c>
      <c r="J96" s="3322">
        <f t="shared" si="27"/>
        <v>0</v>
      </c>
      <c r="K96" s="3322">
        <f t="shared" si="28"/>
        <v>0</v>
      </c>
      <c r="L96" s="3322">
        <v>0</v>
      </c>
      <c r="M96" s="3322">
        <f t="shared" si="29"/>
        <v>0</v>
      </c>
      <c r="N96" s="3322">
        <f t="shared" si="29"/>
        <v>0</v>
      </c>
    </row>
    <row r="97" spans="1:14" ht="24">
      <c r="A97" s="3356" t="s">
        <v>3259</v>
      </c>
      <c r="B97" s="3347">
        <f>估价对象房地状况!C24</f>
        <v>0</v>
      </c>
      <c r="C97" s="2044"/>
      <c r="D97" s="3343">
        <f t="shared" si="30"/>
        <v>0</v>
      </c>
      <c r="E97" s="3360"/>
      <c r="F97" s="1814"/>
      <c r="G97" s="3350"/>
      <c r="H97" s="3398" t="str">
        <f t="shared" si="31"/>
        <v>——</v>
      </c>
      <c r="I97" s="3344">
        <v>0.05</v>
      </c>
      <c r="J97" s="3322">
        <f t="shared" si="27"/>
        <v>0</v>
      </c>
      <c r="K97" s="3322">
        <f t="shared" si="28"/>
        <v>0</v>
      </c>
      <c r="L97" s="3322">
        <v>0</v>
      </c>
      <c r="M97" s="3322">
        <f t="shared" si="29"/>
        <v>0</v>
      </c>
      <c r="N97" s="3322">
        <f t="shared" si="29"/>
        <v>0</v>
      </c>
    </row>
    <row r="98" spans="1:14" ht="24">
      <c r="A98" s="3356" t="s">
        <v>3260</v>
      </c>
      <c r="B98" s="3363" t="s">
        <v>3270</v>
      </c>
      <c r="C98" s="2044"/>
      <c r="D98" s="3343">
        <f t="shared" si="30"/>
        <v>0</v>
      </c>
      <c r="E98" s="3360"/>
      <c r="F98" s="1814"/>
      <c r="G98" s="3350"/>
      <c r="H98" s="3398" t="str">
        <f t="shared" si="31"/>
        <v>——</v>
      </c>
      <c r="I98" s="3344">
        <v>0.06</v>
      </c>
      <c r="J98" s="3322">
        <f t="shared" si="27"/>
        <v>0</v>
      </c>
      <c r="K98" s="3322">
        <f t="shared" si="28"/>
        <v>0</v>
      </c>
      <c r="L98" s="3322">
        <v>0</v>
      </c>
      <c r="M98" s="3322">
        <f t="shared" si="29"/>
        <v>0</v>
      </c>
      <c r="N98" s="3322">
        <f t="shared" si="29"/>
        <v>0</v>
      </c>
    </row>
    <row r="99" spans="1:14" ht="24">
      <c r="A99" s="3356" t="s">
        <v>3261</v>
      </c>
      <c r="B99" s="3347" t="str">
        <f>估价对象房地状况!C21</f>
        <v>较好</v>
      </c>
      <c r="C99" s="2044"/>
      <c r="D99" s="3343">
        <f t="shared" si="30"/>
        <v>0</v>
      </c>
      <c r="E99" s="3360"/>
      <c r="F99" s="1814"/>
      <c r="G99" s="3350"/>
      <c r="H99" s="3398" t="str">
        <f t="shared" si="31"/>
        <v>——</v>
      </c>
      <c r="I99" s="3344">
        <v>0.06</v>
      </c>
      <c r="J99" s="3322">
        <f t="shared" si="27"/>
        <v>0</v>
      </c>
      <c r="K99" s="3322">
        <f t="shared" si="28"/>
        <v>0</v>
      </c>
      <c r="L99" s="3322">
        <v>0</v>
      </c>
      <c r="M99" s="3322">
        <f t="shared" si="29"/>
        <v>0</v>
      </c>
      <c r="N99" s="3322">
        <f t="shared" si="29"/>
        <v>0</v>
      </c>
    </row>
    <row r="100" spans="1:14" ht="24">
      <c r="A100" s="3356" t="s">
        <v>3262</v>
      </c>
      <c r="B100" s="3347" t="str">
        <f>估价对象房地状况!C22</f>
        <v>七通</v>
      </c>
      <c r="C100" s="2044"/>
      <c r="D100" s="3343">
        <f t="shared" si="30"/>
        <v>0</v>
      </c>
      <c r="E100" s="3360"/>
      <c r="F100" s="1814"/>
      <c r="G100" s="3350"/>
      <c r="H100" s="3398" t="str">
        <f t="shared" si="31"/>
        <v>——</v>
      </c>
      <c r="I100" s="3344">
        <v>0.09</v>
      </c>
      <c r="J100" s="3322">
        <f t="shared" si="27"/>
        <v>0</v>
      </c>
      <c r="K100" s="3322">
        <f t="shared" si="28"/>
        <v>0</v>
      </c>
      <c r="L100" s="3322">
        <v>0</v>
      </c>
      <c r="M100" s="3322">
        <f t="shared" si="29"/>
        <v>0</v>
      </c>
      <c r="N100" s="3322">
        <f t="shared" si="29"/>
        <v>0</v>
      </c>
    </row>
    <row r="101" spans="1:14" ht="24.75" thickBot="1">
      <c r="A101" s="3357" t="s">
        <v>3263</v>
      </c>
      <c r="B101" s="3364" t="str">
        <f>估价对象房地状况!C20</f>
        <v>较好</v>
      </c>
      <c r="C101" s="2044"/>
      <c r="D101" s="3343">
        <f t="shared" si="30"/>
        <v>0</v>
      </c>
      <c r="E101" s="3361"/>
      <c r="F101" s="1814"/>
      <c r="G101" s="3350"/>
      <c r="H101" s="3398" t="str">
        <f t="shared" si="31"/>
        <v>——</v>
      </c>
      <c r="I101" s="3345">
        <v>7.0000000000000007E-2</v>
      </c>
      <c r="J101" s="3322">
        <f t="shared" si="27"/>
        <v>0</v>
      </c>
      <c r="K101" s="3322">
        <f t="shared" si="28"/>
        <v>0</v>
      </c>
      <c r="L101" s="3322">
        <v>0</v>
      </c>
      <c r="M101" s="3322">
        <f t="shared" si="29"/>
        <v>0</v>
      </c>
      <c r="N101" s="3322">
        <f t="shared" si="29"/>
        <v>0</v>
      </c>
    </row>
    <row r="103" spans="1:14">
      <c r="A103" s="4029" t="s">
        <v>3278</v>
      </c>
      <c r="B103" s="4029"/>
      <c r="C103" s="4029"/>
      <c r="D103" s="4029"/>
      <c r="E103" s="4029"/>
      <c r="F103" s="4029"/>
      <c r="G103" s="4029"/>
      <c r="H103" s="4029"/>
      <c r="I103" s="4029"/>
      <c r="J103" s="4029"/>
      <c r="K103" s="3367"/>
      <c r="L103" s="3367"/>
      <c r="M103" s="3367"/>
      <c r="N103" s="3367"/>
    </row>
    <row r="104" spans="1:14">
      <c r="A104" s="4030" t="s">
        <v>3279</v>
      </c>
      <c r="B104" s="4030" t="s">
        <v>3280</v>
      </c>
      <c r="C104" s="3368" t="s">
        <v>3281</v>
      </c>
      <c r="D104" s="3369"/>
      <c r="E104" s="3369"/>
      <c r="F104" s="3369"/>
      <c r="G104" s="3369"/>
      <c r="H104" s="3369"/>
      <c r="I104" s="3369"/>
      <c r="J104" s="3370"/>
      <c r="K104" s="3371"/>
      <c r="L104" s="3371"/>
      <c r="M104" s="3371"/>
      <c r="N104" s="3371"/>
    </row>
    <row r="105" spans="1:14">
      <c r="A105" s="4030"/>
      <c r="B105" s="4030"/>
      <c r="C105" s="3372" t="s">
        <v>3282</v>
      </c>
      <c r="D105" s="3372" t="s">
        <v>3283</v>
      </c>
      <c r="E105" s="3372" t="s">
        <v>3284</v>
      </c>
      <c r="F105" s="3372" t="s">
        <v>3285</v>
      </c>
      <c r="G105" s="3372" t="s">
        <v>3286</v>
      </c>
      <c r="H105" s="3372" t="s">
        <v>3287</v>
      </c>
      <c r="I105" s="3372" t="s">
        <v>3288</v>
      </c>
      <c r="J105" s="3372" t="s">
        <v>3289</v>
      </c>
      <c r="K105" s="3372" t="s">
        <v>3290</v>
      </c>
      <c r="L105" s="3372" t="s">
        <v>3291</v>
      </c>
      <c r="M105" s="3372" t="s">
        <v>3292</v>
      </c>
      <c r="N105" s="3372" t="s">
        <v>3293</v>
      </c>
    </row>
    <row r="106" spans="1:14">
      <c r="A106" s="4016" t="s">
        <v>3294</v>
      </c>
      <c r="B106" s="3372">
        <v>1</v>
      </c>
      <c r="C106" s="3372">
        <v>1.5206</v>
      </c>
      <c r="D106" s="3372">
        <v>1.5206</v>
      </c>
      <c r="E106" s="3372">
        <v>1.5019</v>
      </c>
      <c r="F106" s="3372">
        <v>1.5019</v>
      </c>
      <c r="G106" s="3372">
        <v>1.5019</v>
      </c>
      <c r="H106" s="3372">
        <v>1.5019</v>
      </c>
      <c r="I106" s="3372">
        <v>1.5019</v>
      </c>
      <c r="J106" s="3372">
        <v>1.5418000000000001</v>
      </c>
      <c r="K106" s="3372">
        <v>1.5418000000000001</v>
      </c>
      <c r="L106" s="3372">
        <v>1.5418000000000001</v>
      </c>
      <c r="M106" s="3372">
        <v>1.5418000000000001</v>
      </c>
      <c r="N106" s="3372">
        <v>1.5418000000000001</v>
      </c>
    </row>
    <row r="107" spans="1:14">
      <c r="A107" s="4017"/>
      <c r="B107" s="3372">
        <v>2</v>
      </c>
      <c r="C107" s="3372">
        <v>1.2072000000000001</v>
      </c>
      <c r="D107" s="3372">
        <v>1.2072000000000001</v>
      </c>
      <c r="E107" s="3372">
        <v>1.1838</v>
      </c>
      <c r="F107" s="3372">
        <v>1.1838</v>
      </c>
      <c r="G107" s="3372">
        <v>1.1838</v>
      </c>
      <c r="H107" s="3372">
        <v>1.1838</v>
      </c>
      <c r="I107" s="3372">
        <v>1.1838</v>
      </c>
      <c r="J107" s="3372">
        <v>1.1883999999999999</v>
      </c>
      <c r="K107" s="3372">
        <v>1.1883999999999999</v>
      </c>
      <c r="L107" s="3372">
        <v>1.1883999999999999</v>
      </c>
      <c r="M107" s="3372">
        <v>1.1883999999999999</v>
      </c>
      <c r="N107" s="3372">
        <v>1.1883999999999999</v>
      </c>
    </row>
    <row r="108" spans="1:14">
      <c r="A108" s="4017"/>
      <c r="B108" s="3372">
        <v>3</v>
      </c>
      <c r="C108" s="3372">
        <v>1.0430999999999999</v>
      </c>
      <c r="D108" s="3372">
        <v>1.0430999999999999</v>
      </c>
      <c r="E108" s="3372">
        <v>1.0004999999999999</v>
      </c>
      <c r="F108" s="3372">
        <v>1.0004999999999999</v>
      </c>
      <c r="G108" s="3372">
        <v>1.0004999999999999</v>
      </c>
      <c r="H108" s="3372">
        <v>1.0004999999999999</v>
      </c>
      <c r="I108" s="3372">
        <v>1.0004999999999999</v>
      </c>
      <c r="J108" s="3372">
        <v>0.96940000000000004</v>
      </c>
      <c r="K108" s="3372">
        <v>0.96940000000000004</v>
      </c>
      <c r="L108" s="3372">
        <v>0.96940000000000004</v>
      </c>
      <c r="M108" s="3372">
        <v>0.96940000000000004</v>
      </c>
      <c r="N108" s="3372">
        <v>0.96940000000000004</v>
      </c>
    </row>
    <row r="109" spans="1:14">
      <c r="A109" s="4017"/>
      <c r="B109" s="3372">
        <v>4</v>
      </c>
      <c r="C109" s="3372">
        <v>0.94389999999999996</v>
      </c>
      <c r="D109" s="3372">
        <v>0.94389999999999996</v>
      </c>
      <c r="E109" s="3372">
        <v>0.88239999999999996</v>
      </c>
      <c r="F109" s="3372">
        <v>0.88239999999999996</v>
      </c>
      <c r="G109" s="3372">
        <v>0.88239999999999996</v>
      </c>
      <c r="H109" s="3372">
        <v>0.88239999999999996</v>
      </c>
      <c r="I109" s="3372">
        <v>0.88239999999999996</v>
      </c>
      <c r="J109" s="3372">
        <v>0.82299999999999995</v>
      </c>
      <c r="K109" s="3372">
        <v>0.82299999999999995</v>
      </c>
      <c r="L109" s="3372">
        <v>0.82299999999999995</v>
      </c>
      <c r="M109" s="3372">
        <v>0.82299999999999995</v>
      </c>
      <c r="N109" s="3372">
        <v>0.82299999999999995</v>
      </c>
    </row>
    <row r="110" spans="1:14">
      <c r="A110" s="4017"/>
      <c r="B110" s="3372">
        <v>5</v>
      </c>
      <c r="C110" s="3372">
        <v>0.89959999999999996</v>
      </c>
      <c r="D110" s="3372">
        <v>0.89959999999999996</v>
      </c>
      <c r="E110" s="3372">
        <v>0.84799999999999998</v>
      </c>
      <c r="F110" s="3372">
        <v>0.84799999999999998</v>
      </c>
      <c r="G110" s="3372">
        <v>0.84799999999999998</v>
      </c>
      <c r="H110" s="3372">
        <v>0.84799999999999998</v>
      </c>
      <c r="I110" s="3372">
        <v>0.84799999999999998</v>
      </c>
      <c r="J110" s="3372">
        <v>0.74980000000000002</v>
      </c>
      <c r="K110" s="3372">
        <v>0.74980000000000002</v>
      </c>
      <c r="L110" s="3372">
        <v>0.74980000000000002</v>
      </c>
      <c r="M110" s="3372">
        <v>0.74980000000000002</v>
      </c>
      <c r="N110" s="3372">
        <v>0.74980000000000002</v>
      </c>
    </row>
    <row r="111" spans="1:14">
      <c r="A111" s="4017"/>
      <c r="B111" s="3372" t="s">
        <v>3252</v>
      </c>
      <c r="C111" s="3373">
        <f>$I$3</f>
        <v>0</v>
      </c>
      <c r="D111" s="3373">
        <f t="shared" ref="D111:M111" si="32">$I$3</f>
        <v>0</v>
      </c>
      <c r="E111" s="3373">
        <f t="shared" si="32"/>
        <v>0</v>
      </c>
      <c r="F111" s="3373">
        <f t="shared" si="32"/>
        <v>0</v>
      </c>
      <c r="G111" s="3373">
        <f t="shared" si="32"/>
        <v>0</v>
      </c>
      <c r="H111" s="3373">
        <f t="shared" si="32"/>
        <v>0</v>
      </c>
      <c r="I111" s="3373">
        <f t="shared" si="32"/>
        <v>0</v>
      </c>
      <c r="J111" s="3373">
        <f t="shared" si="32"/>
        <v>0</v>
      </c>
      <c r="K111" s="3373">
        <f t="shared" si="32"/>
        <v>0</v>
      </c>
      <c r="L111" s="3373">
        <f t="shared" si="32"/>
        <v>0</v>
      </c>
      <c r="M111" s="3373">
        <f t="shared" si="32"/>
        <v>0</v>
      </c>
      <c r="N111" s="3373">
        <f>$I$3</f>
        <v>0</v>
      </c>
    </row>
    <row r="112" spans="1:14">
      <c r="A112" s="4018"/>
      <c r="B112" s="3372">
        <v>6</v>
      </c>
      <c r="C112" s="3365">
        <f>(-0.5556*(C111^2)-0.2719*C111+8944)*(10^(-4))</f>
        <v>0.89440000000000008</v>
      </c>
      <c r="D112" s="3365">
        <f>(-0.5556*(D111^2)-0.2719*D111+8944)*(10^(-4))</f>
        <v>0.89440000000000008</v>
      </c>
      <c r="E112" s="3365">
        <f>(-0.7912*(E111^2)-11.3794*E111+8482)*(10^(-4))</f>
        <v>0.84820000000000007</v>
      </c>
      <c r="F112" s="3365">
        <f t="shared" ref="F112:I112" si="33">(-0.7912*(F111^2)-11.3794*F111+8482)*(10^(-4))</f>
        <v>0.84820000000000007</v>
      </c>
      <c r="G112" s="3365">
        <f t="shared" si="33"/>
        <v>0.84820000000000007</v>
      </c>
      <c r="H112" s="3365">
        <f t="shared" si="33"/>
        <v>0.84820000000000007</v>
      </c>
      <c r="I112" s="3365">
        <f t="shared" si="33"/>
        <v>0.84820000000000007</v>
      </c>
      <c r="J112" s="3365">
        <f>(-0.989*(J111^2)-63.78*J111+7771)*(10^(-4))</f>
        <v>0.77710000000000001</v>
      </c>
      <c r="K112" s="3365">
        <f t="shared" ref="K112:N112" si="34">(-0.989*(K111^2)-63.78*K111+7771)*(10^(-4))</f>
        <v>0.77710000000000001</v>
      </c>
      <c r="L112" s="3365">
        <f t="shared" si="34"/>
        <v>0.77710000000000001</v>
      </c>
      <c r="M112" s="3365">
        <f t="shared" si="34"/>
        <v>0.77710000000000001</v>
      </c>
      <c r="N112" s="3365">
        <f t="shared" si="34"/>
        <v>0.77710000000000001</v>
      </c>
    </row>
    <row r="113" spans="1:14">
      <c r="A113" s="4019" t="s">
        <v>3295</v>
      </c>
      <c r="B113" s="4019"/>
      <c r="C113" s="4019"/>
      <c r="D113" s="4019"/>
      <c r="E113" s="4019"/>
      <c r="F113" s="4019"/>
      <c r="G113" s="4019"/>
      <c r="H113" s="4019"/>
      <c r="I113" s="4019"/>
      <c r="J113" s="4019"/>
      <c r="K113" s="3374"/>
      <c r="L113" s="3374"/>
      <c r="M113" s="3374"/>
      <c r="N113" s="3374"/>
    </row>
    <row r="114" spans="1:14">
      <c r="A114" s="3375"/>
      <c r="B114" s="3375"/>
      <c r="C114" s="3375"/>
      <c r="D114" s="3375"/>
      <c r="E114" s="3375"/>
      <c r="F114" s="3375"/>
      <c r="G114" s="3375"/>
      <c r="H114" s="3375"/>
      <c r="I114" s="3375"/>
      <c r="J114" s="3375"/>
      <c r="K114" s="3334"/>
      <c r="L114" s="3375"/>
      <c r="M114" s="3375"/>
      <c r="N114" s="3375"/>
    </row>
    <row r="115" spans="1:14" ht="13.5" thickBot="1">
      <c r="A115" s="3375"/>
      <c r="B115" s="3375"/>
      <c r="C115" s="3375"/>
      <c r="D115" s="3375"/>
      <c r="E115" s="3375"/>
      <c r="F115" s="3375"/>
      <c r="G115" s="3375"/>
      <c r="H115" s="3375"/>
      <c r="I115" s="3375"/>
      <c r="J115" s="3375"/>
      <c r="K115" s="3334"/>
      <c r="L115" s="3375"/>
      <c r="M115" s="3375"/>
      <c r="N115" s="3375"/>
    </row>
    <row r="116" spans="1:14" ht="25.5" thickBot="1">
      <c r="A116" s="3376" t="s">
        <v>3296</v>
      </c>
      <c r="B116" s="3393" t="e">
        <f>G3</f>
        <v>#DIV/0!</v>
      </c>
      <c r="C116" s="3377" t="s">
        <v>3297</v>
      </c>
      <c r="D116" s="3378" t="e">
        <f>SUMPRODUCT((A118:A122=F116)*(B117:M117=H116)*B118:M122)</f>
        <v>#DIV/0!</v>
      </c>
      <c r="E116" s="2000" t="s">
        <v>3298</v>
      </c>
      <c r="F116" s="3379" t="str">
        <f>E2</f>
        <v>商业</v>
      </c>
      <c r="G116" s="2000" t="s">
        <v>3299</v>
      </c>
      <c r="H116" s="3379" t="str">
        <f>G2</f>
        <v>三级</v>
      </c>
      <c r="I116" s="2000"/>
      <c r="J116" s="3380"/>
      <c r="K116" s="3380"/>
      <c r="L116" s="3380"/>
      <c r="M116" s="3380"/>
      <c r="N116" s="3375"/>
    </row>
    <row r="117" spans="1:14">
      <c r="A117" s="3381"/>
      <c r="B117" s="3382" t="s">
        <v>3300</v>
      </c>
      <c r="C117" s="3382" t="s">
        <v>3301</v>
      </c>
      <c r="D117" s="3382" t="s">
        <v>3302</v>
      </c>
      <c r="E117" s="3383" t="s">
        <v>3303</v>
      </c>
      <c r="F117" s="3383" t="s">
        <v>3304</v>
      </c>
      <c r="G117" s="3383" t="s">
        <v>3305</v>
      </c>
      <c r="H117" s="3384" t="s">
        <v>3306</v>
      </c>
      <c r="I117" s="3384" t="s">
        <v>3307</v>
      </c>
      <c r="J117" s="3385" t="s">
        <v>3308</v>
      </c>
      <c r="K117" s="3385" t="s">
        <v>3309</v>
      </c>
      <c r="L117" s="3385" t="s">
        <v>3310</v>
      </c>
      <c r="M117" s="3386" t="s">
        <v>3311</v>
      </c>
      <c r="N117" s="3375"/>
    </row>
    <row r="118" spans="1:14">
      <c r="A118" s="3387" t="s">
        <v>3312</v>
      </c>
      <c r="B118" s="3365" t="e">
        <f>ROUND(0.9968-0.011*B116,4)</f>
        <v>#DIV/0!</v>
      </c>
      <c r="C118" s="3365" t="e">
        <f>B118</f>
        <v>#DIV/0!</v>
      </c>
      <c r="D118" s="3365" t="e">
        <f>ROUND(0.949-0.014*B116,4)</f>
        <v>#DIV/0!</v>
      </c>
      <c r="E118" s="3365" t="e">
        <f>D118</f>
        <v>#DIV/0!</v>
      </c>
      <c r="F118" s="3365" t="e">
        <f>E118</f>
        <v>#DIV/0!</v>
      </c>
      <c r="G118" s="3365" t="e">
        <f>F118</f>
        <v>#DIV/0!</v>
      </c>
      <c r="H118" s="3365" t="e">
        <f>G118</f>
        <v>#DIV/0!</v>
      </c>
      <c r="I118" s="3365" t="e">
        <f>ROUND(0.8486-0.018*B116,4)</f>
        <v>#DIV/0!</v>
      </c>
      <c r="J118" s="3365" t="e">
        <f t="shared" ref="J118:M122" si="35">I118</f>
        <v>#DIV/0!</v>
      </c>
      <c r="K118" s="3365" t="e">
        <f t="shared" si="35"/>
        <v>#DIV/0!</v>
      </c>
      <c r="L118" s="3365" t="e">
        <f t="shared" si="35"/>
        <v>#DIV/0!</v>
      </c>
      <c r="M118" s="3388" t="e">
        <f t="shared" si="35"/>
        <v>#DIV/0!</v>
      </c>
      <c r="N118" s="3375"/>
    </row>
    <row r="119" spans="1:14">
      <c r="A119" s="3387" t="s">
        <v>3313</v>
      </c>
      <c r="B119" s="3365" t="e">
        <f>ROUND(0.993-0.0112*B116,4)</f>
        <v>#DIV/0!</v>
      </c>
      <c r="C119" s="3365" t="e">
        <f>B119</f>
        <v>#DIV/0!</v>
      </c>
      <c r="D119" s="3365" t="e">
        <f>ROUND(0.9415-0.0142*B116,4)</f>
        <v>#DIV/0!</v>
      </c>
      <c r="E119" s="3365" t="e">
        <f t="shared" ref="E119:H120" si="36">D119</f>
        <v>#DIV/0!</v>
      </c>
      <c r="F119" s="3365" t="e">
        <f t="shared" si="36"/>
        <v>#DIV/0!</v>
      </c>
      <c r="G119" s="3365" t="e">
        <f t="shared" si="36"/>
        <v>#DIV/0!</v>
      </c>
      <c r="H119" s="3365" t="e">
        <f t="shared" si="36"/>
        <v>#DIV/0!</v>
      </c>
      <c r="I119" s="3365" t="e">
        <f>ROUND(0.838-0.0182*B116,4)</f>
        <v>#DIV/0!</v>
      </c>
      <c r="J119" s="3365" t="e">
        <f t="shared" si="35"/>
        <v>#DIV/0!</v>
      </c>
      <c r="K119" s="3365" t="e">
        <f t="shared" si="35"/>
        <v>#DIV/0!</v>
      </c>
      <c r="L119" s="3365" t="e">
        <f t="shared" si="35"/>
        <v>#DIV/0!</v>
      </c>
      <c r="M119" s="3388" t="e">
        <f t="shared" si="35"/>
        <v>#DIV/0!</v>
      </c>
      <c r="N119" s="3375"/>
    </row>
    <row r="120" spans="1:14">
      <c r="A120" s="3387" t="s">
        <v>3314</v>
      </c>
      <c r="B120" s="3365" t="e">
        <f>ROUND(0.9448-0.0115*B116,4)</f>
        <v>#DIV/0!</v>
      </c>
      <c r="C120" s="3365" t="e">
        <f>B120</f>
        <v>#DIV/0!</v>
      </c>
      <c r="D120" s="3365" t="e">
        <f>ROUND(0.937-0.0145*B116,4)</f>
        <v>#DIV/0!</v>
      </c>
      <c r="E120" s="3365" t="e">
        <f t="shared" si="36"/>
        <v>#DIV/0!</v>
      </c>
      <c r="F120" s="3365" t="e">
        <f t="shared" si="36"/>
        <v>#DIV/0!</v>
      </c>
      <c r="G120" s="3365" t="e">
        <f t="shared" si="36"/>
        <v>#DIV/0!</v>
      </c>
      <c r="H120" s="3365" t="e">
        <f t="shared" si="36"/>
        <v>#DIV/0!</v>
      </c>
      <c r="I120" s="3365" t="e">
        <f>ROUND(0.7965-0.0185*B116,4)</f>
        <v>#DIV/0!</v>
      </c>
      <c r="J120" s="3365" t="e">
        <f t="shared" si="35"/>
        <v>#DIV/0!</v>
      </c>
      <c r="K120" s="3365" t="e">
        <f t="shared" si="35"/>
        <v>#DIV/0!</v>
      </c>
      <c r="L120" s="3365" t="e">
        <f t="shared" si="35"/>
        <v>#DIV/0!</v>
      </c>
      <c r="M120" s="3388" t="e">
        <f t="shared" si="35"/>
        <v>#DIV/0!</v>
      </c>
      <c r="N120" s="3375"/>
    </row>
    <row r="121" spans="1:14" ht="13.5" thickBot="1">
      <c r="A121" s="3389" t="s">
        <v>3315</v>
      </c>
      <c r="B121" s="3390" t="e">
        <f>ROUND(0.7836-0.012*B116,4)</f>
        <v>#DIV/0!</v>
      </c>
      <c r="C121" s="3390" t="e">
        <f>B121</f>
        <v>#DIV/0!</v>
      </c>
      <c r="D121" s="3390" t="e">
        <f>ROUND(0.753-0.015*B116,4)</f>
        <v>#DIV/0!</v>
      </c>
      <c r="E121" s="3390" t="e">
        <f>D121</f>
        <v>#DIV/0!</v>
      </c>
      <c r="F121" s="3390" t="e">
        <f>E121</f>
        <v>#DIV/0!</v>
      </c>
      <c r="G121" s="3390" t="e">
        <f>ROUND(0.6612-0.018*B116,4)</f>
        <v>#DIV/0!</v>
      </c>
      <c r="H121" s="3390" t="e">
        <f>G121</f>
        <v>#DIV/0!</v>
      </c>
      <c r="I121" s="3390" t="e">
        <f>ROUND(0.5905-0.019*B116,4)</f>
        <v>#DIV/0!</v>
      </c>
      <c r="J121" s="3390" t="e">
        <f t="shared" si="35"/>
        <v>#DIV/0!</v>
      </c>
      <c r="K121" s="3390" t="e">
        <f t="shared" si="35"/>
        <v>#DIV/0!</v>
      </c>
      <c r="L121" s="3390" t="e">
        <f t="shared" si="35"/>
        <v>#DIV/0!</v>
      </c>
      <c r="M121" s="3391" t="e">
        <f t="shared" si="35"/>
        <v>#DIV/0!</v>
      </c>
      <c r="N121" s="3375"/>
    </row>
    <row r="122" spans="1:14">
      <c r="A122" s="3392" t="s">
        <v>2596</v>
      </c>
      <c r="B122" s="3365" t="e">
        <f>ROUND(0.9404-0.0106*B116,4)</f>
        <v>#DIV/0!</v>
      </c>
      <c r="C122" s="3365" t="e">
        <f>B122</f>
        <v>#DIV/0!</v>
      </c>
      <c r="D122" s="3365" t="e">
        <f>ROUND(0.8955-0.0135*B116,4)</f>
        <v>#DIV/0!</v>
      </c>
      <c r="E122" s="3365" t="e">
        <f t="shared" ref="E122:H122" si="37">D122</f>
        <v>#DIV/0!</v>
      </c>
      <c r="F122" s="3365" t="e">
        <f t="shared" si="37"/>
        <v>#DIV/0!</v>
      </c>
      <c r="G122" s="3365" t="e">
        <f t="shared" si="37"/>
        <v>#DIV/0!</v>
      </c>
      <c r="H122" s="3365" t="e">
        <f t="shared" si="37"/>
        <v>#DIV/0!</v>
      </c>
      <c r="I122" s="3365" t="e">
        <f>ROUND(0.7632-0.0166*B116,4)</f>
        <v>#DIV/0!</v>
      </c>
      <c r="J122" s="3365" t="e">
        <f t="shared" si="35"/>
        <v>#DIV/0!</v>
      </c>
      <c r="K122" s="3365" t="e">
        <f t="shared" si="35"/>
        <v>#DIV/0!</v>
      </c>
      <c r="L122" s="3365" t="e">
        <f t="shared" si="35"/>
        <v>#DIV/0!</v>
      </c>
      <c r="M122" s="3388" t="e">
        <f t="shared" si="35"/>
        <v>#DIV/0!</v>
      </c>
      <c r="N122" s="337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workbookViewId="0">
      <selection activeCell="A54" sqref="A54"/>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711" t="str">
        <f>IF(项目基本情况!B9="房地产市场价值","估价结果一览表","结果表-2")</f>
        <v>估价结果一览表</v>
      </c>
      <c r="B1" s="3711"/>
      <c r="C1" s="3711"/>
      <c r="D1" s="3711"/>
      <c r="E1" s="3711"/>
      <c r="F1" s="3711"/>
      <c r="G1" s="3711"/>
      <c r="H1" s="3711"/>
      <c r="I1" s="3711"/>
    </row>
    <row r="2" spans="1:9" ht="30" customHeight="1" thickTop="1">
      <c r="A2" s="3712" t="s">
        <v>928</v>
      </c>
      <c r="B2" s="3712" t="s">
        <v>929</v>
      </c>
      <c r="C2" s="3712" t="s">
        <v>930</v>
      </c>
      <c r="D2" s="3712" t="str">
        <f>结果表!D116</f>
        <v>出让国有建设用地使用权价值</v>
      </c>
      <c r="E2" s="3712"/>
      <c r="F2" s="3712" t="str">
        <f>结果表!F116</f>
        <v>在建建筑物价值</v>
      </c>
      <c r="G2" s="3712"/>
      <c r="H2" s="3712" t="str">
        <f>IF(项目基本情况!B9="房地产市场价值","房地产市场价值","房地产价值")</f>
        <v>房地产市场价值</v>
      </c>
      <c r="I2" s="3712"/>
    </row>
    <row r="3" spans="1:9" ht="15">
      <c r="A3" s="3707"/>
      <c r="B3" s="3707"/>
      <c r="C3" s="3707"/>
      <c r="D3" s="854" t="s">
        <v>925</v>
      </c>
      <c r="E3" s="854" t="s">
        <v>931</v>
      </c>
      <c r="F3" s="854" t="s">
        <v>925</v>
      </c>
      <c r="G3" s="854" t="s">
        <v>926</v>
      </c>
      <c r="H3" s="854" t="s">
        <v>925</v>
      </c>
      <c r="I3" s="854" t="s">
        <v>926</v>
      </c>
    </row>
    <row r="4" spans="1:9" ht="30">
      <c r="A4" s="1505" t="str">
        <f>项目基本情况!S2</f>
        <v>北京市朝阳区东四环北路2号房地产</v>
      </c>
      <c r="B4" s="854">
        <f>项目基本情况!C17</f>
        <v>48720.729999999974</v>
      </c>
      <c r="C4" s="854">
        <f>项目基本情况!C18</f>
        <v>0</v>
      </c>
      <c r="D4" s="854">
        <f>结果表!D118</f>
        <v>0</v>
      </c>
      <c r="E4" s="854">
        <f>结果表!E118</f>
        <v>0</v>
      </c>
      <c r="F4" s="854">
        <f>结果表!F118</f>
        <v>0</v>
      </c>
      <c r="G4" s="854">
        <f>结果表!G118</f>
        <v>0</v>
      </c>
      <c r="H4" s="854">
        <f ca="1">结果表!H118</f>
        <v>196852</v>
      </c>
      <c r="I4" s="854">
        <f ca="1">结果表!I118</f>
        <v>40404</v>
      </c>
    </row>
    <row r="5" spans="1:9" ht="30" customHeight="1">
      <c r="A5" s="3707" t="s">
        <v>927</v>
      </c>
      <c r="B5" s="3707"/>
      <c r="C5" s="3707"/>
      <c r="D5" s="3707" t="str">
        <f>结果表!D119</f>
        <v>零元整</v>
      </c>
      <c r="E5" s="3707"/>
      <c r="F5" s="3707" t="str">
        <f>结果表!F119</f>
        <v>零元整</v>
      </c>
      <c r="G5" s="3707"/>
      <c r="H5" s="3707" t="str">
        <f ca="1">结果表!H119</f>
        <v>壹拾玖亿陆仟捌佰伍拾贰万元整</v>
      </c>
      <c r="I5" s="3707"/>
    </row>
    <row r="6" spans="1:9" ht="15.75">
      <c r="A6" s="3706" t="str">
        <f>结果表!A120</f>
        <v/>
      </c>
      <c r="B6" s="3706"/>
      <c r="C6" s="3706"/>
      <c r="D6" s="3706">
        <f>结果表!D120</f>
        <v>0</v>
      </c>
      <c r="E6" s="3706"/>
      <c r="F6" s="3706"/>
      <c r="G6" s="3706"/>
      <c r="H6" s="3706"/>
      <c r="I6" s="3706"/>
    </row>
    <row r="7" spans="1:9" ht="15">
      <c r="A7" s="3707" t="s">
        <v>927</v>
      </c>
      <c r="B7" s="3707"/>
      <c r="C7" s="3707"/>
      <c r="D7" s="3708" t="str">
        <f>结果表!D121</f>
        <v>零元整</v>
      </c>
      <c r="E7" s="3709"/>
      <c r="F7" s="3709"/>
      <c r="G7" s="3709"/>
      <c r="H7" s="3709"/>
      <c r="I7" s="3710"/>
    </row>
    <row r="8" spans="1:9" ht="15.75">
      <c r="A8" s="3706" t="str">
        <f>结果表!A122</f>
        <v/>
      </c>
      <c r="B8" s="3706"/>
      <c r="C8" s="3706"/>
      <c r="D8" s="3706">
        <f ca="1">结果表!D122</f>
        <v>196852</v>
      </c>
      <c r="E8" s="3706"/>
      <c r="F8" s="3706"/>
      <c r="G8" s="3706"/>
      <c r="H8" s="3706"/>
      <c r="I8" s="3706"/>
    </row>
    <row r="9" spans="1:9" ht="15">
      <c r="A9" s="3707" t="s">
        <v>927</v>
      </c>
      <c r="B9" s="3707"/>
      <c r="C9" s="3707"/>
      <c r="D9" s="3707" t="str">
        <f ca="1">结果表!D123</f>
        <v>壹拾玖亿陆仟捌佰伍拾贰万元整</v>
      </c>
      <c r="E9" s="3707"/>
      <c r="F9" s="3707"/>
      <c r="G9" s="3707"/>
      <c r="H9" s="3707"/>
      <c r="I9" s="3707"/>
    </row>
    <row r="10" spans="1:9" ht="15.75">
      <c r="A10" s="3706" t="str">
        <f>结果表!A124</f>
        <v/>
      </c>
      <c r="B10" s="3706"/>
      <c r="C10" s="3706"/>
      <c r="D10" s="3706" t="str">
        <f>结果表!D124</f>
        <v>——</v>
      </c>
      <c r="E10" s="3706"/>
      <c r="F10" s="3706"/>
      <c r="G10" s="3706"/>
      <c r="H10" s="3706"/>
      <c r="I10" s="3706"/>
    </row>
    <row r="11" spans="1:9" ht="15">
      <c r="A11" s="3707" t="s">
        <v>927</v>
      </c>
      <c r="B11" s="3707"/>
      <c r="C11" s="3707"/>
      <c r="D11" s="3707" t="e">
        <f>结果表!D125</f>
        <v>#VALUE!</v>
      </c>
      <c r="E11" s="3707"/>
      <c r="F11" s="3707"/>
      <c r="G11" s="3707"/>
      <c r="H11" s="3707"/>
      <c r="I11" s="3707"/>
    </row>
    <row r="12" spans="1:9" ht="15.75">
      <c r="A12" s="3706" t="str">
        <f>结果表!A126</f>
        <v/>
      </c>
      <c r="B12" s="3706"/>
      <c r="C12" s="3706"/>
      <c r="D12" s="3706">
        <f ca="1">结果表!D126</f>
        <v>188390</v>
      </c>
      <c r="E12" s="3706"/>
      <c r="F12" s="3706"/>
      <c r="G12" s="3706"/>
      <c r="H12" s="3706"/>
      <c r="I12" s="3706"/>
    </row>
    <row r="13" spans="1:9" ht="15.75" thickBot="1">
      <c r="A13" s="3704" t="s">
        <v>927</v>
      </c>
      <c r="B13" s="3704"/>
      <c r="C13" s="3704"/>
      <c r="D13" s="3704" t="str">
        <f ca="1">结果表!D127</f>
        <v>壹拾捌亿捌仟叁佰玖拾万元整</v>
      </c>
      <c r="E13" s="3704"/>
      <c r="F13" s="3704"/>
      <c r="G13" s="3704"/>
      <c r="H13" s="3704"/>
      <c r="I13" s="3704"/>
    </row>
    <row r="14" spans="1:9" ht="15" thickTop="1">
      <c r="A14" s="3705" t="s">
        <v>932</v>
      </c>
      <c r="B14" s="3705"/>
      <c r="C14" s="3705"/>
      <c r="D14" s="3705"/>
      <c r="E14" s="3705"/>
      <c r="F14" s="3705"/>
      <c r="G14" s="3705"/>
      <c r="H14" s="3705"/>
      <c r="I14" s="3705"/>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82"/>
  <sheetViews>
    <sheetView zoomScale="85" zoomScaleNormal="85" zoomScaleSheetLayoutView="30" workbookViewId="0">
      <pane xSplit="5" ySplit="2" topLeftCell="F15" activePane="bottomRight" state="frozen"/>
      <selection pane="topRight" activeCell="F1" sqref="F1"/>
      <selection pane="bottomLeft" activeCell="A3" sqref="A3"/>
      <selection pane="bottomRight" activeCell="G62" sqref="G62:G73"/>
    </sheetView>
  </sheetViews>
  <sheetFormatPr defaultColWidth="9" defaultRowHeight="14.25"/>
  <cols>
    <col min="1" max="1" width="11.875" style="3521" bestFit="1" customWidth="1"/>
    <col min="2" max="3" width="17.125" style="3521" bestFit="1" customWidth="1"/>
    <col min="4" max="4" width="12" style="3522" customWidth="1"/>
    <col min="5" max="5" width="33.375" style="3522" customWidth="1"/>
    <col min="6" max="6" width="12.75" style="3523" bestFit="1" customWidth="1"/>
    <col min="7" max="7" width="16.25" style="3521" customWidth="1"/>
    <col min="8" max="8" width="13.125" style="3521" bestFit="1" customWidth="1"/>
    <col min="9" max="9" width="21.625" style="3521" hidden="1" customWidth="1"/>
    <col min="10" max="10" width="16.375" style="3525" hidden="1" customWidth="1"/>
    <col min="11" max="12" width="14.375" style="3521" bestFit="1" customWidth="1"/>
    <col min="13" max="13" width="14.375" style="3521" hidden="1" customWidth="1"/>
    <col min="14" max="14" width="14" style="3521" bestFit="1" customWidth="1"/>
    <col min="15" max="15" width="22.375" style="3521" customWidth="1"/>
    <col min="16" max="16" width="16.375" style="3521" bestFit="1" customWidth="1"/>
    <col min="17" max="17" width="16.5" style="3521" customWidth="1"/>
    <col min="18" max="18" width="20.125" style="3521" customWidth="1"/>
    <col min="19" max="19" width="23.125" style="3521" customWidth="1"/>
    <col min="20" max="21" width="14.375" style="3521" bestFit="1" customWidth="1"/>
    <col min="22" max="22" width="18.625" style="3521" bestFit="1" customWidth="1"/>
    <col min="23" max="24" width="23.125" style="3521" customWidth="1"/>
    <col min="25" max="25" width="18.125" style="3521" bestFit="1" customWidth="1"/>
    <col min="26" max="27" width="20.5" style="3521" customWidth="1"/>
    <col min="28" max="28" width="18.125" style="3521" bestFit="1" customWidth="1"/>
    <col min="29" max="29" width="14.375" style="3526" bestFit="1" customWidth="1"/>
    <col min="30" max="16384" width="9" style="3521"/>
  </cols>
  <sheetData>
    <row r="1" spans="1:29" s="3443" customFormat="1" ht="16.5">
      <c r="A1" s="3439" t="s">
        <v>3431</v>
      </c>
      <c r="B1" s="3440"/>
      <c r="C1" s="3440"/>
      <c r="D1" s="3440"/>
      <c r="E1" s="3440"/>
      <c r="F1" s="3440"/>
      <c r="G1" s="3440"/>
      <c r="H1" s="3440"/>
      <c r="I1" s="3440"/>
      <c r="J1" s="3441"/>
      <c r="K1" s="3440"/>
      <c r="L1" s="3440"/>
      <c r="M1" s="3440"/>
      <c r="N1" s="3440"/>
      <c r="O1" s="3440"/>
      <c r="P1" s="3440"/>
      <c r="Q1" s="3440"/>
      <c r="R1" s="3440"/>
      <c r="S1" s="3440"/>
      <c r="T1" s="3440"/>
      <c r="U1" s="3440"/>
      <c r="V1" s="3440"/>
      <c r="W1" s="3440"/>
      <c r="X1" s="3440"/>
      <c r="Y1" s="3440"/>
      <c r="Z1" s="3440"/>
      <c r="AA1" s="3440"/>
      <c r="AB1" s="3440"/>
      <c r="AC1" s="3442"/>
    </row>
    <row r="2" spans="1:29" s="3448" customFormat="1" ht="30" customHeight="1">
      <c r="A2" s="3444" t="s">
        <v>3432</v>
      </c>
      <c r="B2" s="3444" t="s">
        <v>3433</v>
      </c>
      <c r="C2" s="3444" t="s">
        <v>3434</v>
      </c>
      <c r="D2" s="3445" t="s">
        <v>3435</v>
      </c>
      <c r="E2" s="3444" t="s">
        <v>3436</v>
      </c>
      <c r="F2" s="3444" t="s">
        <v>3437</v>
      </c>
      <c r="G2" s="3444" t="s">
        <v>3438</v>
      </c>
      <c r="H2" s="3444" t="s">
        <v>3439</v>
      </c>
      <c r="I2" s="3444" t="s">
        <v>3440</v>
      </c>
      <c r="J2" s="3446" t="s">
        <v>3441</v>
      </c>
      <c r="K2" s="3444" t="s">
        <v>3442</v>
      </c>
      <c r="L2" s="3444" t="s">
        <v>3443</v>
      </c>
      <c r="M2" s="3444"/>
      <c r="N2" s="3444" t="s">
        <v>3444</v>
      </c>
      <c r="O2" s="3444" t="s">
        <v>3445</v>
      </c>
      <c r="P2" s="3444" t="s">
        <v>3446</v>
      </c>
      <c r="Q2" s="3444" t="s">
        <v>3447</v>
      </c>
      <c r="R2" s="3444" t="s">
        <v>3448</v>
      </c>
      <c r="S2" s="3444" t="s">
        <v>3449</v>
      </c>
      <c r="T2" s="3444" t="s">
        <v>3450</v>
      </c>
      <c r="U2" s="3444" t="s">
        <v>3451</v>
      </c>
      <c r="V2" s="3444" t="s">
        <v>3452</v>
      </c>
      <c r="W2" s="3444" t="s">
        <v>3453</v>
      </c>
      <c r="X2" s="3444" t="s">
        <v>3454</v>
      </c>
      <c r="Y2" s="3444" t="s">
        <v>3455</v>
      </c>
      <c r="Z2" s="3444" t="s">
        <v>3456</v>
      </c>
      <c r="AA2" s="3444" t="s">
        <v>3457</v>
      </c>
      <c r="AB2" s="3444" t="s">
        <v>3458</v>
      </c>
      <c r="AC2" s="3447" t="s">
        <v>3459</v>
      </c>
    </row>
    <row r="3" spans="1:29" s="3448" customFormat="1" ht="13.5" customHeight="1">
      <c r="A3" s="4035" t="s">
        <v>3460</v>
      </c>
      <c r="B3" s="3449">
        <v>27</v>
      </c>
      <c r="C3" s="3450">
        <v>27</v>
      </c>
      <c r="D3" s="3450" t="s">
        <v>3461</v>
      </c>
      <c r="E3" s="3451" t="s">
        <v>3462</v>
      </c>
      <c r="F3" s="3452"/>
      <c r="G3" s="3453">
        <v>1086.18</v>
      </c>
      <c r="H3" s="3454"/>
      <c r="I3" s="3455"/>
      <c r="J3" s="3456"/>
      <c r="K3" s="3454"/>
      <c r="L3" s="3454"/>
      <c r="M3" s="3454"/>
      <c r="N3" s="3457"/>
      <c r="O3" s="3458">
        <v>8.5</v>
      </c>
      <c r="P3" s="3452"/>
      <c r="Q3" s="3459">
        <f t="shared" ref="Q3:Q5" si="0">S3/1.05</f>
        <v>267450.27380952385</v>
      </c>
      <c r="R3" s="3459"/>
      <c r="S3" s="3459">
        <f t="shared" ref="S3:S5" si="1">G3*O3*365/12</f>
        <v>280822.78750000003</v>
      </c>
      <c r="T3" s="3454"/>
      <c r="U3" s="3454"/>
      <c r="V3" s="3460"/>
      <c r="W3" s="3459"/>
      <c r="X3" s="3459"/>
      <c r="Y3" s="3461"/>
      <c r="Z3" s="3459"/>
      <c r="AA3" s="3459"/>
      <c r="AB3" s="3462"/>
      <c r="AC3" s="3463"/>
    </row>
    <row r="4" spans="1:29" s="3448" customFormat="1" ht="13.5" customHeight="1">
      <c r="A4" s="4035"/>
      <c r="B4" s="3449">
        <v>26</v>
      </c>
      <c r="C4" s="3450">
        <v>26</v>
      </c>
      <c r="D4" s="3450" t="s">
        <v>3461</v>
      </c>
      <c r="E4" s="3451" t="s">
        <v>3462</v>
      </c>
      <c r="F4" s="3452"/>
      <c r="G4" s="3453">
        <v>1086.18</v>
      </c>
      <c r="H4" s="3454"/>
      <c r="I4" s="3455"/>
      <c r="J4" s="3456"/>
      <c r="K4" s="3454"/>
      <c r="L4" s="3454"/>
      <c r="M4" s="3454"/>
      <c r="N4" s="3457"/>
      <c r="O4" s="3458">
        <v>8.5</v>
      </c>
      <c r="P4" s="3452"/>
      <c r="Q4" s="3459">
        <f t="shared" si="0"/>
        <v>267450.27380952385</v>
      </c>
      <c r="R4" s="3459"/>
      <c r="S4" s="3459">
        <f t="shared" si="1"/>
        <v>280822.78750000003</v>
      </c>
      <c r="T4" s="3454"/>
      <c r="U4" s="3454"/>
      <c r="V4" s="3460"/>
      <c r="W4" s="3459"/>
      <c r="X4" s="3459"/>
      <c r="Y4" s="3461"/>
      <c r="Z4" s="3459"/>
      <c r="AA4" s="3459"/>
      <c r="AB4" s="3462"/>
      <c r="AC4" s="3463"/>
    </row>
    <row r="5" spans="1:29" s="3448" customFormat="1" ht="13.5" customHeight="1">
      <c r="A5" s="4035"/>
      <c r="B5" s="3449">
        <v>25</v>
      </c>
      <c r="C5" s="3450">
        <v>25</v>
      </c>
      <c r="D5" s="3450"/>
      <c r="E5" s="3451" t="s">
        <v>3462</v>
      </c>
      <c r="F5" s="3452"/>
      <c r="G5" s="3453">
        <v>1086.18</v>
      </c>
      <c r="H5" s="3454"/>
      <c r="I5" s="3455"/>
      <c r="J5" s="3456"/>
      <c r="K5" s="3454"/>
      <c r="L5" s="3454"/>
      <c r="M5" s="3454"/>
      <c r="N5" s="3457"/>
      <c r="O5" s="3458">
        <v>8.5</v>
      </c>
      <c r="P5" s="3452"/>
      <c r="Q5" s="3459">
        <f t="shared" si="0"/>
        <v>267450.27380952385</v>
      </c>
      <c r="R5" s="3459"/>
      <c r="S5" s="3459">
        <f t="shared" si="1"/>
        <v>280822.78750000003</v>
      </c>
      <c r="T5" s="3454"/>
      <c r="U5" s="3454"/>
      <c r="V5" s="3460"/>
      <c r="W5" s="3459"/>
      <c r="X5" s="3459"/>
      <c r="Y5" s="3461"/>
      <c r="Z5" s="3459"/>
      <c r="AA5" s="3459"/>
      <c r="AB5" s="3462"/>
      <c r="AC5" s="3463"/>
    </row>
    <row r="6" spans="1:29" s="3448" customFormat="1" ht="13.5" customHeight="1">
      <c r="A6" s="4035"/>
      <c r="B6" s="3449">
        <v>24</v>
      </c>
      <c r="C6" s="3450">
        <v>24</v>
      </c>
      <c r="D6" s="3464" t="s">
        <v>3463</v>
      </c>
      <c r="E6" s="3451" t="s">
        <v>3464</v>
      </c>
      <c r="F6" s="3465" t="s">
        <v>3465</v>
      </c>
      <c r="G6" s="3453">
        <v>360</v>
      </c>
      <c r="H6" s="3451" t="s">
        <v>3466</v>
      </c>
      <c r="I6" s="3454" t="s">
        <v>3467</v>
      </c>
      <c r="J6" s="3456">
        <v>2</v>
      </c>
      <c r="K6" s="3454" t="s">
        <v>3468</v>
      </c>
      <c r="L6" s="3454" t="s">
        <v>3469</v>
      </c>
      <c r="M6" s="3454"/>
      <c r="N6" s="3457" t="s">
        <v>3470</v>
      </c>
      <c r="O6" s="3458">
        <f>258.54*12/365</f>
        <v>8.4999452054794542</v>
      </c>
      <c r="P6" s="3452" t="s">
        <v>3471</v>
      </c>
      <c r="Q6" s="3459">
        <f t="shared" ref="Q6:Q40" si="2">S6/1.05</f>
        <v>88642.285714285739</v>
      </c>
      <c r="R6" s="3459">
        <f t="shared" ref="R6:R13" si="3">Q6*0.05</f>
        <v>4432.1142857142868</v>
      </c>
      <c r="S6" s="3459">
        <f t="shared" ref="S6:S13" si="4">G6*O6*365/12</f>
        <v>93074.400000000023</v>
      </c>
      <c r="T6" s="3454"/>
      <c r="U6" s="3454"/>
      <c r="V6" s="3460"/>
      <c r="W6" s="3459">
        <v>33</v>
      </c>
      <c r="X6" s="3459">
        <f t="shared" ref="X6:X57" si="5">AA6/1.06</f>
        <v>11207.54716981132</v>
      </c>
      <c r="Y6" s="3461" t="s">
        <v>3472</v>
      </c>
      <c r="Z6" s="3459">
        <f t="shared" ref="Z6:Z57" si="6">AA6-X6</f>
        <v>672.45283018868031</v>
      </c>
      <c r="AA6" s="3459">
        <f t="shared" ref="AA6:AA13" si="7">G6*W6</f>
        <v>11880</v>
      </c>
      <c r="AB6" s="3462" t="s">
        <v>3473</v>
      </c>
      <c r="AC6" s="3463">
        <v>5</v>
      </c>
    </row>
    <row r="7" spans="1:29" s="3448" customFormat="1" ht="13.5" customHeight="1">
      <c r="A7" s="4035"/>
      <c r="B7" s="3449">
        <v>24</v>
      </c>
      <c r="C7" s="3450">
        <v>24</v>
      </c>
      <c r="D7" s="3464" t="s">
        <v>3474</v>
      </c>
      <c r="E7" s="3451" t="s">
        <v>3475</v>
      </c>
      <c r="F7" s="3465" t="s">
        <v>3465</v>
      </c>
      <c r="G7" s="3453">
        <v>726.18</v>
      </c>
      <c r="H7" s="3451" t="s">
        <v>3466</v>
      </c>
      <c r="I7" s="3454" t="s">
        <v>3467</v>
      </c>
      <c r="J7" s="3456">
        <v>2</v>
      </c>
      <c r="K7" s="3454" t="s">
        <v>3468</v>
      </c>
      <c r="L7" s="3454" t="s">
        <v>3469</v>
      </c>
      <c r="M7" s="3454"/>
      <c r="N7" s="3457" t="s">
        <v>3470</v>
      </c>
      <c r="O7" s="3458">
        <f>258.54*12/365</f>
        <v>8.4999452054794542</v>
      </c>
      <c r="P7" s="3452" t="s">
        <v>3471</v>
      </c>
      <c r="Q7" s="3459">
        <f t="shared" si="2"/>
        <v>178806.26400000002</v>
      </c>
      <c r="R7" s="3459">
        <f t="shared" si="3"/>
        <v>8940.3132000000023</v>
      </c>
      <c r="S7" s="3459">
        <f t="shared" si="4"/>
        <v>187746.57720000003</v>
      </c>
      <c r="T7" s="3454"/>
      <c r="U7" s="3454"/>
      <c r="V7" s="3460"/>
      <c r="W7" s="3459">
        <v>33</v>
      </c>
      <c r="X7" s="3459">
        <f t="shared" si="5"/>
        <v>22607.490566037734</v>
      </c>
      <c r="Y7" s="3461" t="s">
        <v>3472</v>
      </c>
      <c r="Z7" s="3459">
        <f t="shared" si="6"/>
        <v>1356.4494339622652</v>
      </c>
      <c r="AA7" s="3459">
        <f t="shared" si="7"/>
        <v>23963.94</v>
      </c>
      <c r="AB7" s="3462" t="s">
        <v>3473</v>
      </c>
      <c r="AC7" s="3463">
        <v>5</v>
      </c>
    </row>
    <row r="8" spans="1:29" s="3448" customFormat="1" ht="13.5" customHeight="1">
      <c r="A8" s="4035"/>
      <c r="B8" s="3449">
        <v>23</v>
      </c>
      <c r="C8" s="3450">
        <v>23</v>
      </c>
      <c r="D8" s="3464" t="s">
        <v>3476</v>
      </c>
      <c r="E8" s="3451" t="s">
        <v>3477</v>
      </c>
      <c r="F8" s="3452" t="s">
        <v>3478</v>
      </c>
      <c r="G8" s="3453">
        <v>198.92000000000007</v>
      </c>
      <c r="H8" s="3454" t="s">
        <v>3479</v>
      </c>
      <c r="I8" s="3455" t="s">
        <v>3480</v>
      </c>
      <c r="J8" s="3456">
        <v>1</v>
      </c>
      <c r="K8" s="3454" t="s">
        <v>3481</v>
      </c>
      <c r="L8" s="3454" t="s">
        <v>3482</v>
      </c>
      <c r="M8" s="3454"/>
      <c r="N8" s="3457" t="s">
        <v>3470</v>
      </c>
      <c r="O8" s="3458">
        <f>255.5*12/365</f>
        <v>8.4</v>
      </c>
      <c r="P8" s="3452" t="s">
        <v>3471</v>
      </c>
      <c r="Q8" s="3459">
        <f t="shared" si="2"/>
        <v>48403.86666666669</v>
      </c>
      <c r="R8" s="3459">
        <f t="shared" si="3"/>
        <v>2420.1933333333345</v>
      </c>
      <c r="S8" s="3459">
        <f t="shared" si="4"/>
        <v>50824.060000000027</v>
      </c>
      <c r="T8" s="3454"/>
      <c r="U8" s="3454"/>
      <c r="V8" s="3460"/>
      <c r="W8" s="3459">
        <v>33</v>
      </c>
      <c r="X8" s="3459">
        <f t="shared" si="5"/>
        <v>6192.792452830191</v>
      </c>
      <c r="Y8" s="3461" t="s">
        <v>3472</v>
      </c>
      <c r="Z8" s="3459">
        <f t="shared" si="6"/>
        <v>371.56754716981141</v>
      </c>
      <c r="AA8" s="3459">
        <f t="shared" si="7"/>
        <v>6564.3600000000024</v>
      </c>
      <c r="AB8" s="3462" t="s">
        <v>3473</v>
      </c>
      <c r="AC8" s="3463">
        <v>2</v>
      </c>
    </row>
    <row r="9" spans="1:29" s="3448" customFormat="1" ht="13.5" customHeight="1">
      <c r="A9" s="4035"/>
      <c r="B9" s="3449">
        <v>23</v>
      </c>
      <c r="C9" s="3450">
        <v>23</v>
      </c>
      <c r="D9" s="3466" t="s">
        <v>3483</v>
      </c>
      <c r="E9" s="3451" t="s">
        <v>3484</v>
      </c>
      <c r="F9" s="3452" t="s">
        <v>3485</v>
      </c>
      <c r="G9" s="3453">
        <v>165.54</v>
      </c>
      <c r="H9" s="3454" t="s">
        <v>3486</v>
      </c>
      <c r="I9" s="3455" t="s">
        <v>3487</v>
      </c>
      <c r="J9" s="3456">
        <v>2</v>
      </c>
      <c r="K9" s="3454" t="s">
        <v>3488</v>
      </c>
      <c r="L9" s="3454" t="s">
        <v>3489</v>
      </c>
      <c r="M9" s="3454"/>
      <c r="N9" s="3457" t="s">
        <v>3470</v>
      </c>
      <c r="O9" s="3458">
        <f t="shared" ref="O9:O10" si="8">261.58*12/365</f>
        <v>8.5998904109589045</v>
      </c>
      <c r="P9" s="3452" t="s">
        <v>3471</v>
      </c>
      <c r="Q9" s="3459">
        <f t="shared" si="2"/>
        <v>41239.955428571426</v>
      </c>
      <c r="R9" s="3459">
        <f t="shared" si="3"/>
        <v>2061.9977714285715</v>
      </c>
      <c r="S9" s="3459">
        <f t="shared" si="4"/>
        <v>43301.953199999996</v>
      </c>
      <c r="T9" s="3454"/>
      <c r="U9" s="3454"/>
      <c r="V9" s="3460"/>
      <c r="W9" s="3459">
        <v>33</v>
      </c>
      <c r="X9" s="3459">
        <f t="shared" si="5"/>
        <v>5153.603773584905</v>
      </c>
      <c r="Y9" s="3461" t="s">
        <v>3472</v>
      </c>
      <c r="Z9" s="3459">
        <f t="shared" si="6"/>
        <v>309.21622641509475</v>
      </c>
      <c r="AA9" s="3459">
        <f t="shared" si="7"/>
        <v>5462.82</v>
      </c>
      <c r="AB9" s="3462" t="s">
        <v>3473</v>
      </c>
      <c r="AC9" s="3463">
        <v>3</v>
      </c>
    </row>
    <row r="10" spans="1:29" s="3448" customFormat="1" ht="13.5" customHeight="1">
      <c r="A10" s="4035"/>
      <c r="B10" s="3449">
        <v>23</v>
      </c>
      <c r="C10" s="3450">
        <v>23</v>
      </c>
      <c r="D10" s="3466" t="s">
        <v>3490</v>
      </c>
      <c r="E10" s="3451" t="s">
        <v>3491</v>
      </c>
      <c r="F10" s="3452" t="s">
        <v>3485</v>
      </c>
      <c r="G10" s="3453">
        <v>100</v>
      </c>
      <c r="H10" s="3454" t="s">
        <v>3486</v>
      </c>
      <c r="I10" s="3455" t="s">
        <v>3487</v>
      </c>
      <c r="J10" s="3456">
        <v>2</v>
      </c>
      <c r="K10" s="3454" t="s">
        <v>3488</v>
      </c>
      <c r="L10" s="3454" t="s">
        <v>3489</v>
      </c>
      <c r="M10" s="3454"/>
      <c r="N10" s="3457" t="s">
        <v>3470</v>
      </c>
      <c r="O10" s="3458">
        <f t="shared" si="8"/>
        <v>8.5998904109589045</v>
      </c>
      <c r="P10" s="3452" t="s">
        <v>3471</v>
      </c>
      <c r="Q10" s="3459">
        <f t="shared" si="2"/>
        <v>24912.38095238095</v>
      </c>
      <c r="R10" s="3459">
        <f t="shared" si="3"/>
        <v>1245.6190476190477</v>
      </c>
      <c r="S10" s="3459">
        <f t="shared" si="4"/>
        <v>26158</v>
      </c>
      <c r="T10" s="3454"/>
      <c r="U10" s="3454"/>
      <c r="V10" s="3460"/>
      <c r="W10" s="3459">
        <v>33</v>
      </c>
      <c r="X10" s="3459">
        <f t="shared" si="5"/>
        <v>3113.2075471698113</v>
      </c>
      <c r="Y10" s="3461" t="s">
        <v>3472</v>
      </c>
      <c r="Z10" s="3459">
        <f t="shared" si="6"/>
        <v>186.79245283018872</v>
      </c>
      <c r="AA10" s="3459">
        <f t="shared" si="7"/>
        <v>3300</v>
      </c>
      <c r="AB10" s="3462" t="s">
        <v>3473</v>
      </c>
      <c r="AC10" s="3463">
        <v>3</v>
      </c>
    </row>
    <row r="11" spans="1:29" s="3448" customFormat="1" ht="13.5" customHeight="1">
      <c r="A11" s="4035"/>
      <c r="B11" s="3449">
        <v>23</v>
      </c>
      <c r="C11" s="3450">
        <v>23</v>
      </c>
      <c r="D11" s="3466" t="s">
        <v>3492</v>
      </c>
      <c r="E11" s="3451" t="s">
        <v>3493</v>
      </c>
      <c r="F11" s="3452" t="s">
        <v>3485</v>
      </c>
      <c r="G11" s="3453">
        <v>100</v>
      </c>
      <c r="H11" s="3454" t="s">
        <v>3486</v>
      </c>
      <c r="I11" s="3455" t="s">
        <v>3487</v>
      </c>
      <c r="J11" s="3456">
        <v>2</v>
      </c>
      <c r="K11" s="3454" t="s">
        <v>3488</v>
      </c>
      <c r="L11" s="3454" t="s">
        <v>3489</v>
      </c>
      <c r="M11" s="3454"/>
      <c r="N11" s="3457" t="s">
        <v>3470</v>
      </c>
      <c r="O11" s="3458">
        <f>261.58*12/365</f>
        <v>8.5998904109589045</v>
      </c>
      <c r="P11" s="3452" t="s">
        <v>3471</v>
      </c>
      <c r="Q11" s="3459">
        <f t="shared" si="2"/>
        <v>24912.38095238095</v>
      </c>
      <c r="R11" s="3459">
        <f t="shared" si="3"/>
        <v>1245.6190476190477</v>
      </c>
      <c r="S11" s="3459">
        <f t="shared" si="4"/>
        <v>26158</v>
      </c>
      <c r="T11" s="3454"/>
      <c r="U11" s="3454"/>
      <c r="V11" s="3460"/>
      <c r="W11" s="3459">
        <v>33</v>
      </c>
      <c r="X11" s="3459">
        <f t="shared" si="5"/>
        <v>3113.2075471698113</v>
      </c>
      <c r="Y11" s="3461" t="s">
        <v>3472</v>
      </c>
      <c r="Z11" s="3459">
        <f t="shared" si="6"/>
        <v>186.79245283018872</v>
      </c>
      <c r="AA11" s="3459">
        <f t="shared" si="7"/>
        <v>3300</v>
      </c>
      <c r="AB11" s="3462" t="s">
        <v>3473</v>
      </c>
      <c r="AC11" s="3463">
        <v>3</v>
      </c>
    </row>
    <row r="12" spans="1:29" s="3448" customFormat="1" ht="13.5" customHeight="1">
      <c r="A12" s="4035"/>
      <c r="B12" s="3578">
        <v>23</v>
      </c>
      <c r="C12" s="3464">
        <v>23</v>
      </c>
      <c r="D12" s="3464" t="s">
        <v>3494</v>
      </c>
      <c r="E12" s="3451" t="s">
        <v>3495</v>
      </c>
      <c r="F12" s="3452" t="s">
        <v>3496</v>
      </c>
      <c r="G12" s="3453">
        <v>521.72</v>
      </c>
      <c r="H12" s="3454" t="s">
        <v>3497</v>
      </c>
      <c r="I12" s="3455" t="s">
        <v>3498</v>
      </c>
      <c r="J12" s="3456">
        <v>4</v>
      </c>
      <c r="K12" s="3454" t="s">
        <v>3499</v>
      </c>
      <c r="L12" s="3454" t="s">
        <v>3500</v>
      </c>
      <c r="M12" s="3454"/>
      <c r="N12" s="3457" t="s">
        <v>3501</v>
      </c>
      <c r="O12" s="3458">
        <v>8.2001095890410962</v>
      </c>
      <c r="P12" s="3452" t="s">
        <v>3471</v>
      </c>
      <c r="Q12" s="3459">
        <f t="shared" si="2"/>
        <v>123930.85942857144</v>
      </c>
      <c r="R12" s="3459">
        <f t="shared" si="3"/>
        <v>6196.5429714285719</v>
      </c>
      <c r="S12" s="3459">
        <f t="shared" si="4"/>
        <v>130127.40240000001</v>
      </c>
      <c r="T12" s="3454"/>
      <c r="U12" s="3454"/>
      <c r="V12" s="3460"/>
      <c r="W12" s="3459">
        <v>33</v>
      </c>
      <c r="X12" s="3459">
        <f t="shared" si="5"/>
        <v>16242.226415094341</v>
      </c>
      <c r="Y12" s="3461" t="s">
        <v>3472</v>
      </c>
      <c r="Z12" s="3459">
        <f t="shared" si="6"/>
        <v>974.53358490566097</v>
      </c>
      <c r="AA12" s="3459">
        <f t="shared" si="7"/>
        <v>17216.760000000002</v>
      </c>
      <c r="AB12" s="3462" t="s">
        <v>3473</v>
      </c>
      <c r="AC12" s="3463">
        <v>6</v>
      </c>
    </row>
    <row r="13" spans="1:29" s="3448" customFormat="1" ht="13.5" customHeight="1">
      <c r="A13" s="4035"/>
      <c r="B13" s="3578">
        <v>22</v>
      </c>
      <c r="C13" s="3464">
        <v>22</v>
      </c>
      <c r="D13" s="3464" t="s">
        <v>3502</v>
      </c>
      <c r="E13" s="3451" t="s">
        <v>3503</v>
      </c>
      <c r="F13" s="3452" t="s">
        <v>3496</v>
      </c>
      <c r="G13" s="3453">
        <v>1086.18</v>
      </c>
      <c r="H13" s="3454" t="s">
        <v>3497</v>
      </c>
      <c r="I13" s="3455" t="s">
        <v>3498</v>
      </c>
      <c r="J13" s="3456">
        <v>4</v>
      </c>
      <c r="K13" s="3454" t="s">
        <v>3499</v>
      </c>
      <c r="L13" s="3454" t="s">
        <v>3500</v>
      </c>
      <c r="M13" s="3454"/>
      <c r="N13" s="3457" t="s">
        <v>3501</v>
      </c>
      <c r="O13" s="3458">
        <v>8.2001095890410962</v>
      </c>
      <c r="P13" s="3452" t="s">
        <v>3471</v>
      </c>
      <c r="Q13" s="3459">
        <f t="shared" si="2"/>
        <v>258014.30057142855</v>
      </c>
      <c r="R13" s="3459">
        <f t="shared" si="3"/>
        <v>12900.715028571429</v>
      </c>
      <c r="S13" s="3459">
        <f t="shared" si="4"/>
        <v>270915.01559999998</v>
      </c>
      <c r="T13" s="3454"/>
      <c r="U13" s="3454"/>
      <c r="V13" s="3460"/>
      <c r="W13" s="3459">
        <v>33</v>
      </c>
      <c r="X13" s="3459">
        <f t="shared" si="5"/>
        <v>33815.037735849059</v>
      </c>
      <c r="Y13" s="3461" t="s">
        <v>3472</v>
      </c>
      <c r="Z13" s="3459">
        <f t="shared" si="6"/>
        <v>2028.9022641509437</v>
      </c>
      <c r="AA13" s="3459">
        <f t="shared" si="7"/>
        <v>35843.94</v>
      </c>
      <c r="AB13" s="3462" t="s">
        <v>3473</v>
      </c>
      <c r="AC13" s="3463">
        <v>6</v>
      </c>
    </row>
    <row r="14" spans="1:29" s="3448" customFormat="1" ht="13.5" customHeight="1">
      <c r="A14" s="4035"/>
      <c r="B14" s="4040">
        <v>21</v>
      </c>
      <c r="C14" s="4041">
        <v>21</v>
      </c>
      <c r="D14" s="4041" t="s">
        <v>3494</v>
      </c>
      <c r="E14" s="3451" t="s">
        <v>3504</v>
      </c>
      <c r="F14" s="3452" t="s">
        <v>3505</v>
      </c>
      <c r="G14" s="3453">
        <v>598.86</v>
      </c>
      <c r="H14" s="3454" t="s">
        <v>3506</v>
      </c>
      <c r="I14" s="3455" t="s">
        <v>3507</v>
      </c>
      <c r="J14" s="3456">
        <v>4</v>
      </c>
      <c r="K14" s="3454" t="s">
        <v>3508</v>
      </c>
      <c r="L14" s="3454" t="s">
        <v>3509</v>
      </c>
      <c r="M14" s="3454"/>
      <c r="N14" s="3457" t="s">
        <v>3470</v>
      </c>
      <c r="O14" s="3458">
        <f>271*12/365</f>
        <v>8.9095890410958898</v>
      </c>
      <c r="P14" s="3452" t="s">
        <v>3471</v>
      </c>
      <c r="Q14" s="3459">
        <f t="shared" si="2"/>
        <v>154562.91428571427</v>
      </c>
      <c r="R14" s="3459">
        <f>Q14*0.05</f>
        <v>7728.1457142857143</v>
      </c>
      <c r="S14" s="3459">
        <f>G14*O14*365/12</f>
        <v>162291.06</v>
      </c>
      <c r="T14" s="3454"/>
      <c r="U14" s="3454"/>
      <c r="V14" s="3460"/>
      <c r="W14" s="3459">
        <v>33</v>
      </c>
      <c r="X14" s="3459">
        <f t="shared" si="5"/>
        <v>18643.754716981133</v>
      </c>
      <c r="Y14" s="3461" t="s">
        <v>3472</v>
      </c>
      <c r="Z14" s="3459">
        <f t="shared" si="6"/>
        <v>1118.6252830188678</v>
      </c>
      <c r="AA14" s="3459">
        <f>G14*W14</f>
        <v>19762.38</v>
      </c>
      <c r="AB14" s="3462" t="s">
        <v>3473</v>
      </c>
      <c r="AC14" s="3463">
        <v>2</v>
      </c>
    </row>
    <row r="15" spans="1:29" s="3448" customFormat="1" ht="13.5" customHeight="1">
      <c r="A15" s="4035"/>
      <c r="B15" s="4036"/>
      <c r="C15" s="4038"/>
      <c r="D15" s="4038" t="s">
        <v>3510</v>
      </c>
      <c r="E15" s="4044" t="s">
        <v>3504</v>
      </c>
      <c r="F15" s="4044" t="s">
        <v>3505</v>
      </c>
      <c r="G15" s="4048">
        <v>487.32</v>
      </c>
      <c r="H15" s="4050" t="s">
        <v>3511</v>
      </c>
      <c r="I15" s="4051" t="s">
        <v>3512</v>
      </c>
      <c r="J15" s="4052">
        <v>2</v>
      </c>
      <c r="K15" s="3454" t="s">
        <v>3513</v>
      </c>
      <c r="L15" s="3454" t="s">
        <v>3514</v>
      </c>
      <c r="M15" s="3454"/>
      <c r="N15" s="3457" t="s">
        <v>3470</v>
      </c>
      <c r="O15" s="3458">
        <f>271*12/365</f>
        <v>8.9095890410958898</v>
      </c>
      <c r="P15" s="3452" t="s">
        <v>3471</v>
      </c>
      <c r="Q15" s="3459">
        <f t="shared" si="2"/>
        <v>125774.97142857143</v>
      </c>
      <c r="R15" s="3459">
        <f t="shared" ref="R15:R52" si="9">Q15*0.05</f>
        <v>6288.7485714285722</v>
      </c>
      <c r="S15" s="3459">
        <f>$G$15*O15*365/12</f>
        <v>132063.72</v>
      </c>
      <c r="T15" s="3454"/>
      <c r="U15" s="3454"/>
      <c r="V15" s="3460"/>
      <c r="W15" s="3459">
        <v>33</v>
      </c>
      <c r="X15" s="3459">
        <f t="shared" si="5"/>
        <v>15171.283018867924</v>
      </c>
      <c r="Y15" s="3461" t="s">
        <v>3472</v>
      </c>
      <c r="Z15" s="3459">
        <f t="shared" si="6"/>
        <v>910.27698113207589</v>
      </c>
      <c r="AA15" s="3459">
        <f>$G$15*W15</f>
        <v>16081.56</v>
      </c>
      <c r="AB15" s="3462" t="s">
        <v>3473</v>
      </c>
      <c r="AC15" s="3463">
        <v>2</v>
      </c>
    </row>
    <row r="16" spans="1:29" s="3448" customFormat="1" ht="13.5" customHeight="1">
      <c r="A16" s="4035"/>
      <c r="B16" s="4037"/>
      <c r="C16" s="4039"/>
      <c r="D16" s="4039"/>
      <c r="E16" s="4045"/>
      <c r="F16" s="4045"/>
      <c r="G16" s="4049"/>
      <c r="H16" s="4050"/>
      <c r="I16" s="4051"/>
      <c r="J16" s="4053"/>
      <c r="K16" s="3454" t="s">
        <v>3515</v>
      </c>
      <c r="L16" s="3454" t="s">
        <v>3516</v>
      </c>
      <c r="M16" s="3454"/>
      <c r="N16" s="3457" t="s">
        <v>3517</v>
      </c>
      <c r="O16" s="3458">
        <f>292.89*12/365</f>
        <v>9.6292602739726014</v>
      </c>
      <c r="P16" s="3452" t="s">
        <v>3471</v>
      </c>
      <c r="Q16" s="3459">
        <f t="shared" si="2"/>
        <v>135934.43314285713</v>
      </c>
      <c r="R16" s="3459">
        <f t="shared" si="9"/>
        <v>6796.7216571428571</v>
      </c>
      <c r="S16" s="3459">
        <f>$G$15*O16*365/12</f>
        <v>142731.15479999999</v>
      </c>
      <c r="T16" s="3454"/>
      <c r="U16" s="3454"/>
      <c r="V16" s="3460"/>
      <c r="W16" s="3459">
        <v>33</v>
      </c>
      <c r="X16" s="3459">
        <f t="shared" si="5"/>
        <v>15171.283018867924</v>
      </c>
      <c r="Y16" s="3461" t="s">
        <v>3472</v>
      </c>
      <c r="Z16" s="3459">
        <f t="shared" si="6"/>
        <v>910.27698113207589</v>
      </c>
      <c r="AA16" s="3459">
        <f>$G$15*W16</f>
        <v>16081.56</v>
      </c>
      <c r="AB16" s="3462" t="s">
        <v>3473</v>
      </c>
      <c r="AC16" s="3462" t="s">
        <v>3473</v>
      </c>
    </row>
    <row r="17" spans="1:29" s="3467" customFormat="1" ht="12.95" customHeight="1">
      <c r="A17" s="4035"/>
      <c r="B17" s="3449">
        <v>20</v>
      </c>
      <c r="C17" s="3450">
        <v>20</v>
      </c>
      <c r="D17" s="3464" t="s">
        <v>3518</v>
      </c>
      <c r="E17" s="3451" t="s">
        <v>3519</v>
      </c>
      <c r="F17" s="3452" t="s">
        <v>3520</v>
      </c>
      <c r="G17" s="3453">
        <v>1086.18</v>
      </c>
      <c r="H17" s="3454" t="s">
        <v>3521</v>
      </c>
      <c r="I17" s="3455" t="s">
        <v>3522</v>
      </c>
      <c r="J17" s="3456">
        <v>2</v>
      </c>
      <c r="K17" s="3454" t="s">
        <v>3523</v>
      </c>
      <c r="L17" s="3454" t="s">
        <v>3524</v>
      </c>
      <c r="M17" s="3454"/>
      <c r="N17" s="3457" t="s">
        <v>3525</v>
      </c>
      <c r="O17" s="3458">
        <v>11.55</v>
      </c>
      <c r="P17" s="3452" t="s">
        <v>3472</v>
      </c>
      <c r="Q17" s="3459">
        <f t="shared" si="2"/>
        <v>363417.72499999998</v>
      </c>
      <c r="R17" s="3459">
        <f t="shared" si="9"/>
        <v>18170.88625</v>
      </c>
      <c r="S17" s="3459">
        <f t="shared" ref="S17:S52" si="10">G17*O17*365/12</f>
        <v>381588.61125000002</v>
      </c>
      <c r="T17" s="3454" t="s">
        <v>3488</v>
      </c>
      <c r="U17" s="3454" t="s">
        <v>3489</v>
      </c>
      <c r="V17" s="3460">
        <f>267.67*12/365</f>
        <v>8.8001095890410959</v>
      </c>
      <c r="W17" s="3459">
        <v>33</v>
      </c>
      <c r="X17" s="3459">
        <f t="shared" si="5"/>
        <v>33815.037735849059</v>
      </c>
      <c r="Y17" s="3461" t="s">
        <v>3472</v>
      </c>
      <c r="Z17" s="3459">
        <f t="shared" si="6"/>
        <v>2028.9022641509437</v>
      </c>
      <c r="AA17" s="3459">
        <f t="shared" ref="AA17:AA49" si="11">G17*W17</f>
        <v>35843.94</v>
      </c>
      <c r="AB17" s="3462" t="s">
        <v>3473</v>
      </c>
      <c r="AC17" s="3463" t="s">
        <v>3473</v>
      </c>
    </row>
    <row r="18" spans="1:29" s="3448" customFormat="1" ht="14.25" customHeight="1">
      <c r="A18" s="4035"/>
      <c r="B18" s="3449">
        <v>19</v>
      </c>
      <c r="C18" s="3450">
        <v>19</v>
      </c>
      <c r="D18" s="3464" t="s">
        <v>3518</v>
      </c>
      <c r="E18" s="3451" t="s">
        <v>3526</v>
      </c>
      <c r="F18" s="3452" t="s">
        <v>3520</v>
      </c>
      <c r="G18" s="3453">
        <v>647</v>
      </c>
      <c r="H18" s="4054" t="s">
        <v>3521</v>
      </c>
      <c r="I18" s="4056" t="s">
        <v>3522</v>
      </c>
      <c r="J18" s="4052">
        <v>2</v>
      </c>
      <c r="K18" s="4054" t="s">
        <v>3523</v>
      </c>
      <c r="L18" s="4054" t="s">
        <v>3524</v>
      </c>
      <c r="M18" s="3576"/>
      <c r="N18" s="4060" t="s">
        <v>3525</v>
      </c>
      <c r="O18" s="4062">
        <v>11.55</v>
      </c>
      <c r="P18" s="4064" t="s">
        <v>3472</v>
      </c>
      <c r="Q18" s="4046">
        <f>S18/1.05</f>
        <v>363417.72499999998</v>
      </c>
      <c r="R18" s="4046">
        <f t="shared" si="9"/>
        <v>18170.88625</v>
      </c>
      <c r="S18" s="4046">
        <f>(G18+G19)*O18*365/12</f>
        <v>381588.61125000002</v>
      </c>
      <c r="T18" s="3454" t="s">
        <v>3488</v>
      </c>
      <c r="U18" s="3454" t="s">
        <v>3489</v>
      </c>
      <c r="V18" s="3460">
        <f>267.67*12/365</f>
        <v>8.8001095890410959</v>
      </c>
      <c r="W18" s="4046">
        <v>33</v>
      </c>
      <c r="X18" s="4046">
        <f t="shared" si="5"/>
        <v>33815.037735849059</v>
      </c>
      <c r="Y18" s="4058" t="s">
        <v>3472</v>
      </c>
      <c r="Z18" s="4046">
        <f t="shared" si="6"/>
        <v>2028.9022641509437</v>
      </c>
      <c r="AA18" s="4046">
        <f>(G18+G19)*W18</f>
        <v>35843.94</v>
      </c>
      <c r="AB18" s="3462" t="s">
        <v>3473</v>
      </c>
      <c r="AC18" s="3463" t="s">
        <v>3473</v>
      </c>
    </row>
    <row r="19" spans="1:29" s="3448" customFormat="1" ht="14.25" customHeight="1">
      <c r="A19" s="4035"/>
      <c r="B19" s="3449">
        <v>19</v>
      </c>
      <c r="C19" s="3450">
        <v>19</v>
      </c>
      <c r="D19" s="3464" t="s">
        <v>3527</v>
      </c>
      <c r="E19" s="3451" t="s">
        <v>3526</v>
      </c>
      <c r="F19" s="3452" t="s">
        <v>3520</v>
      </c>
      <c r="G19" s="3579">
        <v>439.18000000000006</v>
      </c>
      <c r="H19" s="4055"/>
      <c r="I19" s="4057"/>
      <c r="J19" s="4053"/>
      <c r="K19" s="4055"/>
      <c r="L19" s="4055"/>
      <c r="M19" s="3577"/>
      <c r="N19" s="4061"/>
      <c r="O19" s="4063"/>
      <c r="P19" s="4065"/>
      <c r="Q19" s="4047"/>
      <c r="R19" s="4047"/>
      <c r="S19" s="4047"/>
      <c r="T19" s="3454"/>
      <c r="U19" s="3454"/>
      <c r="V19" s="3460"/>
      <c r="W19" s="4047"/>
      <c r="X19" s="4047"/>
      <c r="Y19" s="4059"/>
      <c r="Z19" s="4047"/>
      <c r="AA19" s="4047"/>
      <c r="AB19" s="3462"/>
      <c r="AC19" s="3463"/>
    </row>
    <row r="20" spans="1:29" s="3477" customFormat="1" ht="14.25" customHeight="1">
      <c r="A20" s="4035"/>
      <c r="B20" s="4042">
        <v>18</v>
      </c>
      <c r="C20" s="4043">
        <v>18</v>
      </c>
      <c r="D20" s="3464" t="s">
        <v>3528</v>
      </c>
      <c r="E20" s="3468"/>
      <c r="F20" s="3469"/>
      <c r="G20" s="3453">
        <v>521.72</v>
      </c>
      <c r="H20" s="3470"/>
      <c r="I20" s="3471"/>
      <c r="J20" s="3472"/>
      <c r="K20" s="3470"/>
      <c r="L20" s="3470"/>
      <c r="M20" s="3470"/>
      <c r="N20" s="3473"/>
      <c r="O20" s="3474">
        <f>258.54*12/365</f>
        <v>8.4999452054794542</v>
      </c>
      <c r="P20" s="3469" t="s">
        <v>3471</v>
      </c>
      <c r="Q20" s="3459">
        <f t="shared" si="2"/>
        <v>128462.37028571431</v>
      </c>
      <c r="R20" s="3459">
        <f t="shared" si="9"/>
        <v>6423.1185142857157</v>
      </c>
      <c r="S20" s="3459">
        <f t="shared" si="10"/>
        <v>134885.48880000002</v>
      </c>
      <c r="T20" s="3470"/>
      <c r="U20" s="3470"/>
      <c r="V20" s="3475"/>
      <c r="W20" s="3476"/>
      <c r="X20" s="3459">
        <f t="shared" si="5"/>
        <v>0</v>
      </c>
      <c r="Y20" s="3461" t="s">
        <v>3472</v>
      </c>
      <c r="Z20" s="3459">
        <f t="shared" si="6"/>
        <v>0</v>
      </c>
      <c r="AA20" s="3459">
        <f t="shared" si="11"/>
        <v>0</v>
      </c>
      <c r="AB20" s="3462" t="s">
        <v>3473</v>
      </c>
      <c r="AC20" s="3463"/>
    </row>
    <row r="21" spans="1:29" s="3477" customFormat="1" ht="12.95" customHeight="1">
      <c r="A21" s="4035"/>
      <c r="B21" s="4042"/>
      <c r="C21" s="4043"/>
      <c r="D21" s="3464" t="s">
        <v>3529</v>
      </c>
      <c r="E21" s="3468" t="s">
        <v>3530</v>
      </c>
      <c r="F21" s="3469" t="s">
        <v>3478</v>
      </c>
      <c r="G21" s="3478">
        <v>279.26</v>
      </c>
      <c r="H21" s="3470" t="s">
        <v>3531</v>
      </c>
      <c r="I21" s="3471" t="s">
        <v>3473</v>
      </c>
      <c r="J21" s="3472">
        <v>0</v>
      </c>
      <c r="K21" s="3470" t="s">
        <v>3531</v>
      </c>
      <c r="L21" s="3470" t="s">
        <v>3532</v>
      </c>
      <c r="M21" s="3470"/>
      <c r="N21" s="3473" t="s">
        <v>3533</v>
      </c>
      <c r="O21" s="3474">
        <f>258.54*12/365</f>
        <v>8.4999452054794542</v>
      </c>
      <c r="P21" s="3469" t="s">
        <v>3471</v>
      </c>
      <c r="Q21" s="3459">
        <f t="shared" si="2"/>
        <v>68761.790857142856</v>
      </c>
      <c r="R21" s="3459">
        <f t="shared" si="9"/>
        <v>3438.089542857143</v>
      </c>
      <c r="S21" s="3459">
        <f t="shared" si="10"/>
        <v>72199.880400000009</v>
      </c>
      <c r="T21" s="3470"/>
      <c r="U21" s="3470"/>
      <c r="V21" s="3475"/>
      <c r="W21" s="3476">
        <v>33</v>
      </c>
      <c r="X21" s="3459">
        <f t="shared" si="5"/>
        <v>8693.9433962264138</v>
      </c>
      <c r="Y21" s="3461" t="s">
        <v>3472</v>
      </c>
      <c r="Z21" s="3459">
        <f t="shared" si="6"/>
        <v>521.6366037735861</v>
      </c>
      <c r="AA21" s="3459">
        <f t="shared" si="11"/>
        <v>9215.58</v>
      </c>
      <c r="AB21" s="3462" t="s">
        <v>3473</v>
      </c>
      <c r="AC21" s="3463">
        <v>3</v>
      </c>
    </row>
    <row r="22" spans="1:29" s="3477" customFormat="1" ht="12.95" customHeight="1">
      <c r="A22" s="4035"/>
      <c r="B22" s="4042">
        <v>17</v>
      </c>
      <c r="C22" s="4043">
        <v>17</v>
      </c>
      <c r="D22" s="3466" t="s">
        <v>3463</v>
      </c>
      <c r="E22" s="3468"/>
      <c r="F22" s="3469"/>
      <c r="G22" s="3453"/>
      <c r="H22" s="3470"/>
      <c r="I22" s="3471"/>
      <c r="J22" s="3472"/>
      <c r="K22" s="3470"/>
      <c r="L22" s="3470"/>
      <c r="M22" s="3470"/>
      <c r="N22" s="3473"/>
      <c r="O22" s="3474"/>
      <c r="P22" s="3469" t="s">
        <v>3471</v>
      </c>
      <c r="Q22" s="3459">
        <f t="shared" si="2"/>
        <v>0</v>
      </c>
      <c r="R22" s="3459">
        <f t="shared" si="9"/>
        <v>0</v>
      </c>
      <c r="S22" s="3459">
        <f t="shared" si="10"/>
        <v>0</v>
      </c>
      <c r="T22" s="3470"/>
      <c r="U22" s="3470"/>
      <c r="V22" s="3475"/>
      <c r="W22" s="3476"/>
      <c r="X22" s="3459">
        <f t="shared" si="5"/>
        <v>0</v>
      </c>
      <c r="Y22" s="3479" t="s">
        <v>3471</v>
      </c>
      <c r="Z22" s="3459">
        <f t="shared" si="6"/>
        <v>0</v>
      </c>
      <c r="AA22" s="3459">
        <f t="shared" si="11"/>
        <v>0</v>
      </c>
      <c r="AB22" s="3462" t="s">
        <v>3473</v>
      </c>
      <c r="AC22" s="3463"/>
    </row>
    <row r="23" spans="1:29" s="3477" customFormat="1" ht="12.95" customHeight="1">
      <c r="A23" s="4035"/>
      <c r="B23" s="4042"/>
      <c r="C23" s="4043"/>
      <c r="D23" s="3466" t="s">
        <v>3534</v>
      </c>
      <c r="E23" s="3468"/>
      <c r="F23" s="3469"/>
      <c r="G23" s="3453">
        <f>G24</f>
        <v>521.72</v>
      </c>
      <c r="H23" s="3470"/>
      <c r="I23" s="3471"/>
      <c r="J23" s="3472"/>
      <c r="K23" s="3470"/>
      <c r="L23" s="3470"/>
      <c r="M23" s="3470"/>
      <c r="N23" s="3457"/>
      <c r="O23" s="3474"/>
      <c r="P23" s="3469" t="s">
        <v>3471</v>
      </c>
      <c r="Q23" s="3459">
        <f t="shared" si="2"/>
        <v>0</v>
      </c>
      <c r="R23" s="3459">
        <f t="shared" si="9"/>
        <v>0</v>
      </c>
      <c r="S23" s="3459">
        <f t="shared" si="10"/>
        <v>0</v>
      </c>
      <c r="T23" s="3470"/>
      <c r="U23" s="3470"/>
      <c r="V23" s="3475"/>
      <c r="W23" s="3476"/>
      <c r="X23" s="3459">
        <f t="shared" si="5"/>
        <v>0</v>
      </c>
      <c r="Y23" s="3479" t="s">
        <v>3471</v>
      </c>
      <c r="Z23" s="3459">
        <f t="shared" si="6"/>
        <v>0</v>
      </c>
      <c r="AA23" s="3459">
        <f t="shared" si="11"/>
        <v>0</v>
      </c>
      <c r="AB23" s="3462" t="s">
        <v>3473</v>
      </c>
      <c r="AC23" s="3463"/>
    </row>
    <row r="24" spans="1:29" s="3477" customFormat="1" ht="15" customHeight="1">
      <c r="A24" s="4035"/>
      <c r="B24" s="4042"/>
      <c r="C24" s="4043"/>
      <c r="D24" s="3480" t="s">
        <v>3535</v>
      </c>
      <c r="E24" s="3468"/>
      <c r="F24" s="3469"/>
      <c r="G24" s="3481">
        <v>521.72</v>
      </c>
      <c r="H24" s="3470"/>
      <c r="I24" s="3471"/>
      <c r="J24" s="3472"/>
      <c r="K24" s="3470"/>
      <c r="L24" s="3470"/>
      <c r="M24" s="3470"/>
      <c r="N24" s="3473"/>
      <c r="O24" s="3458">
        <f>252*12/365</f>
        <v>8.2849315068493148</v>
      </c>
      <c r="P24" s="3469" t="s">
        <v>3472</v>
      </c>
      <c r="Q24" s="3459">
        <f t="shared" si="2"/>
        <v>125212.79999999997</v>
      </c>
      <c r="R24" s="3459">
        <f t="shared" si="9"/>
        <v>6260.6399999999994</v>
      </c>
      <c r="S24" s="3459">
        <f t="shared" si="10"/>
        <v>131473.43999999997</v>
      </c>
      <c r="T24" s="3470"/>
      <c r="U24" s="3470"/>
      <c r="V24" s="3475"/>
      <c r="W24" s="3476"/>
      <c r="X24" s="3459">
        <f t="shared" si="5"/>
        <v>0</v>
      </c>
      <c r="Y24" s="3479" t="s">
        <v>3472</v>
      </c>
      <c r="Z24" s="3459">
        <f t="shared" si="6"/>
        <v>0</v>
      </c>
      <c r="AA24" s="3476">
        <f t="shared" si="11"/>
        <v>0</v>
      </c>
      <c r="AB24" s="3462" t="s">
        <v>3536</v>
      </c>
      <c r="AC24" s="3463"/>
    </row>
    <row r="25" spans="1:29" s="3477" customFormat="1" ht="15" customHeight="1">
      <c r="A25" s="4035"/>
      <c r="B25" s="4036">
        <v>16</v>
      </c>
      <c r="C25" s="4038">
        <v>16</v>
      </c>
      <c r="D25" s="3482" t="s">
        <v>3463</v>
      </c>
      <c r="E25" s="3451" t="s">
        <v>3537</v>
      </c>
      <c r="F25" s="3452" t="s">
        <v>3538</v>
      </c>
      <c r="G25" s="3453">
        <v>279.26</v>
      </c>
      <c r="H25" s="3454" t="s">
        <v>3539</v>
      </c>
      <c r="I25" s="3455" t="s">
        <v>3540</v>
      </c>
      <c r="J25" s="3456">
        <v>2.5</v>
      </c>
      <c r="K25" s="3454" t="s">
        <v>3541</v>
      </c>
      <c r="L25" s="3454" t="s">
        <v>3542</v>
      </c>
      <c r="M25" s="3454"/>
      <c r="N25" s="3457" t="s">
        <v>3470</v>
      </c>
      <c r="O25" s="3458">
        <f>252*12/365</f>
        <v>8.2849315068493148</v>
      </c>
      <c r="P25" s="3452" t="s">
        <v>3471</v>
      </c>
      <c r="Q25" s="3459">
        <f t="shared" si="2"/>
        <v>67022.399999999994</v>
      </c>
      <c r="R25" s="3459">
        <f t="shared" si="9"/>
        <v>3351.12</v>
      </c>
      <c r="S25" s="3459">
        <f t="shared" si="10"/>
        <v>70373.52</v>
      </c>
      <c r="T25" s="3454"/>
      <c r="U25" s="3454"/>
      <c r="V25" s="3460"/>
      <c r="W25" s="3459">
        <v>33</v>
      </c>
      <c r="X25" s="3459">
        <f t="shared" si="5"/>
        <v>8693.9433962264138</v>
      </c>
      <c r="Y25" s="3479" t="s">
        <v>3471</v>
      </c>
      <c r="Z25" s="3459">
        <f t="shared" si="6"/>
        <v>521.6366037735861</v>
      </c>
      <c r="AA25" s="3459">
        <f t="shared" si="11"/>
        <v>9215.58</v>
      </c>
      <c r="AB25" s="3462" t="s">
        <v>3473</v>
      </c>
      <c r="AC25" s="3463">
        <v>3</v>
      </c>
    </row>
    <row r="26" spans="1:29" s="3467" customFormat="1" ht="15" customHeight="1">
      <c r="A26" s="4035"/>
      <c r="B26" s="4036"/>
      <c r="C26" s="4038"/>
      <c r="D26" s="3482" t="s">
        <v>3492</v>
      </c>
      <c r="E26" s="3451" t="s">
        <v>3543</v>
      </c>
      <c r="F26" s="3452" t="s">
        <v>3538</v>
      </c>
      <c r="G26" s="3453">
        <v>172.69</v>
      </c>
      <c r="H26" s="3454" t="s">
        <v>3544</v>
      </c>
      <c r="I26" s="3455" t="s">
        <v>3545</v>
      </c>
      <c r="J26" s="3456">
        <v>1</v>
      </c>
      <c r="K26" s="3454" t="s">
        <v>3511</v>
      </c>
      <c r="L26" s="3454" t="s">
        <v>3546</v>
      </c>
      <c r="M26" s="3454"/>
      <c r="N26" s="3457" t="s">
        <v>3470</v>
      </c>
      <c r="O26" s="3458">
        <f>243.34*12/365</f>
        <v>8.0002191780821921</v>
      </c>
      <c r="P26" s="3452" t="s">
        <v>3471</v>
      </c>
      <c r="Q26" s="3459">
        <f t="shared" si="2"/>
        <v>40021.318666666666</v>
      </c>
      <c r="R26" s="3459">
        <f t="shared" si="9"/>
        <v>2001.0659333333333</v>
      </c>
      <c r="S26" s="3459">
        <f t="shared" si="10"/>
        <v>42022.384599999998</v>
      </c>
      <c r="T26" s="3454"/>
      <c r="U26" s="3454"/>
      <c r="V26" s="3460"/>
      <c r="W26" s="3459">
        <v>33</v>
      </c>
      <c r="X26" s="3459">
        <f t="shared" si="5"/>
        <v>5376.1981132075462</v>
      </c>
      <c r="Y26" s="3479" t="s">
        <v>3471</v>
      </c>
      <c r="Z26" s="3459">
        <f t="shared" si="6"/>
        <v>322.57188679245337</v>
      </c>
      <c r="AA26" s="3459">
        <f t="shared" si="11"/>
        <v>5698.7699999999995</v>
      </c>
      <c r="AB26" s="3462" t="s">
        <v>3473</v>
      </c>
      <c r="AC26" s="3463">
        <v>1</v>
      </c>
    </row>
    <row r="27" spans="1:29" s="3467" customFormat="1" ht="15" customHeight="1">
      <c r="A27" s="4035"/>
      <c r="B27" s="4036"/>
      <c r="C27" s="4038"/>
      <c r="D27" s="3482" t="s">
        <v>3490</v>
      </c>
      <c r="E27" s="3451" t="s">
        <v>3547</v>
      </c>
      <c r="F27" s="3452" t="s">
        <v>3548</v>
      </c>
      <c r="G27" s="3453">
        <v>349.03</v>
      </c>
      <c r="H27" s="3454" t="s">
        <v>3549</v>
      </c>
      <c r="I27" s="3455" t="s">
        <v>3550</v>
      </c>
      <c r="J27" s="3456">
        <v>3</v>
      </c>
      <c r="K27" s="3454" t="s">
        <v>3551</v>
      </c>
      <c r="L27" s="3454" t="s">
        <v>3552</v>
      </c>
      <c r="M27" s="3454"/>
      <c r="N27" s="3457" t="s">
        <v>3470</v>
      </c>
      <c r="O27" s="3458">
        <f>266*12/365</f>
        <v>8.7452054794520553</v>
      </c>
      <c r="P27" s="3452" t="s">
        <v>3471</v>
      </c>
      <c r="Q27" s="3459">
        <f t="shared" si="2"/>
        <v>88420.93333333332</v>
      </c>
      <c r="R27" s="3459">
        <f t="shared" si="9"/>
        <v>4421.0466666666662</v>
      </c>
      <c r="S27" s="3459">
        <f t="shared" si="10"/>
        <v>92841.98</v>
      </c>
      <c r="T27" s="3454"/>
      <c r="U27" s="3454"/>
      <c r="V27" s="3460"/>
      <c r="W27" s="3459">
        <v>33</v>
      </c>
      <c r="X27" s="3459">
        <f t="shared" si="5"/>
        <v>10866.028301886792</v>
      </c>
      <c r="Y27" s="3479" t="s">
        <v>3471</v>
      </c>
      <c r="Z27" s="3459">
        <f t="shared" si="6"/>
        <v>651.9616981132076</v>
      </c>
      <c r="AA27" s="3459">
        <f t="shared" si="11"/>
        <v>11517.99</v>
      </c>
      <c r="AB27" s="3462" t="s">
        <v>3473</v>
      </c>
      <c r="AC27" s="3463">
        <v>2</v>
      </c>
    </row>
    <row r="28" spans="1:29" s="3467" customFormat="1" ht="15" customHeight="1">
      <c r="A28" s="4035"/>
      <c r="B28" s="4037"/>
      <c r="C28" s="4039"/>
      <c r="D28" s="3464" t="s">
        <v>3553</v>
      </c>
      <c r="E28" s="3451" t="s">
        <v>3554</v>
      </c>
      <c r="F28" s="3452" t="s">
        <v>3555</v>
      </c>
      <c r="G28" s="3453">
        <v>285.2</v>
      </c>
      <c r="H28" s="3454" t="s">
        <v>3556</v>
      </c>
      <c r="I28" s="3455" t="s">
        <v>3557</v>
      </c>
      <c r="J28" s="3456">
        <v>2</v>
      </c>
      <c r="K28" s="3454" t="s">
        <v>3558</v>
      </c>
      <c r="L28" s="3454" t="s">
        <v>3559</v>
      </c>
      <c r="M28" s="3454"/>
      <c r="N28" s="3457" t="s">
        <v>3470</v>
      </c>
      <c r="O28" s="3458">
        <f>274*12/365</f>
        <v>9.0082191780821912</v>
      </c>
      <c r="P28" s="3452" t="s">
        <v>3471</v>
      </c>
      <c r="Q28" s="3459">
        <f t="shared" si="2"/>
        <v>74423.619047619053</v>
      </c>
      <c r="R28" s="3459">
        <f t="shared" si="9"/>
        <v>3721.1809523809529</v>
      </c>
      <c r="S28" s="3459">
        <f t="shared" si="10"/>
        <v>78144.800000000003</v>
      </c>
      <c r="T28" s="3454" t="s">
        <v>3560</v>
      </c>
      <c r="U28" s="3454" t="s">
        <v>3561</v>
      </c>
      <c r="V28" s="3460">
        <v>9.0082191780821912</v>
      </c>
      <c r="W28" s="3459">
        <v>33</v>
      </c>
      <c r="X28" s="3459">
        <f t="shared" si="5"/>
        <v>8878.867924528302</v>
      </c>
      <c r="Y28" s="3461" t="s">
        <v>3471</v>
      </c>
      <c r="Z28" s="3459">
        <f t="shared" si="6"/>
        <v>532.73207547169841</v>
      </c>
      <c r="AA28" s="3459">
        <f t="shared" si="11"/>
        <v>9411.6</v>
      </c>
      <c r="AB28" s="3462" t="s">
        <v>3473</v>
      </c>
      <c r="AC28" s="3463">
        <v>3</v>
      </c>
    </row>
    <row r="29" spans="1:29" s="3448" customFormat="1" ht="14.25" customHeight="1">
      <c r="A29" s="4035"/>
      <c r="B29" s="3449">
        <v>15</v>
      </c>
      <c r="C29" s="3450">
        <v>15</v>
      </c>
      <c r="D29" s="3450" t="s">
        <v>3518</v>
      </c>
      <c r="E29" s="3451" t="s">
        <v>3562</v>
      </c>
      <c r="F29" s="3452" t="s">
        <v>3563</v>
      </c>
      <c r="G29" s="3453">
        <v>1086.18</v>
      </c>
      <c r="H29" s="3454" t="s">
        <v>3564</v>
      </c>
      <c r="I29" s="3455" t="s">
        <v>3565</v>
      </c>
      <c r="J29" s="3456">
        <v>4</v>
      </c>
      <c r="K29" s="3454" t="s">
        <v>3566</v>
      </c>
      <c r="L29" s="3454" t="s">
        <v>3567</v>
      </c>
      <c r="M29" s="3454"/>
      <c r="N29" s="3457" t="s">
        <v>3568</v>
      </c>
      <c r="O29" s="3458">
        <f>243.34*12/365</f>
        <v>8.0002191780821921</v>
      </c>
      <c r="P29" s="3452" t="s">
        <v>3471</v>
      </c>
      <c r="Q29" s="3459">
        <f t="shared" si="2"/>
        <v>251724.80114285718</v>
      </c>
      <c r="R29" s="3459">
        <f t="shared" si="9"/>
        <v>12586.240057142859</v>
      </c>
      <c r="S29" s="3459">
        <f t="shared" si="10"/>
        <v>264311.04120000004</v>
      </c>
      <c r="T29" s="3454"/>
      <c r="U29" s="3454"/>
      <c r="V29" s="3460"/>
      <c r="W29" s="3459">
        <v>33</v>
      </c>
      <c r="X29" s="3459">
        <f t="shared" si="5"/>
        <v>33815.037735849059</v>
      </c>
      <c r="Y29" s="3461" t="s">
        <v>3471</v>
      </c>
      <c r="Z29" s="3459">
        <f t="shared" si="6"/>
        <v>2028.9022641509437</v>
      </c>
      <c r="AA29" s="3459">
        <f t="shared" si="11"/>
        <v>35843.94</v>
      </c>
      <c r="AB29" s="3462" t="s">
        <v>3473</v>
      </c>
      <c r="AC29" s="3463">
        <v>5</v>
      </c>
    </row>
    <row r="30" spans="1:29" s="3467" customFormat="1" ht="15" customHeight="1">
      <c r="A30" s="4035"/>
      <c r="B30" s="4040">
        <v>14</v>
      </c>
      <c r="C30" s="4041">
        <v>14</v>
      </c>
      <c r="D30" s="3464" t="s">
        <v>3569</v>
      </c>
      <c r="E30" s="3451" t="s">
        <v>3570</v>
      </c>
      <c r="F30" s="3452" t="s">
        <v>3571</v>
      </c>
      <c r="G30" s="3453">
        <v>639.74</v>
      </c>
      <c r="H30" s="3454" t="s">
        <v>3497</v>
      </c>
      <c r="I30" s="3455" t="s">
        <v>3572</v>
      </c>
      <c r="J30" s="3456">
        <v>3</v>
      </c>
      <c r="K30" s="3454" t="s">
        <v>3573</v>
      </c>
      <c r="L30" s="3454" t="s">
        <v>3574</v>
      </c>
      <c r="M30" s="3454"/>
      <c r="N30" s="3457" t="s">
        <v>3470</v>
      </c>
      <c r="O30" s="3458">
        <f>234.21*12/365</f>
        <v>7.7000547945205478</v>
      </c>
      <c r="P30" s="3452" t="s">
        <v>3471</v>
      </c>
      <c r="Q30" s="3459">
        <f t="shared" si="2"/>
        <v>142698.57657142857</v>
      </c>
      <c r="R30" s="3459">
        <f t="shared" si="9"/>
        <v>7134.9288285714283</v>
      </c>
      <c r="S30" s="3459">
        <f t="shared" si="10"/>
        <v>149833.50539999999</v>
      </c>
      <c r="T30" s="3454"/>
      <c r="U30" s="3454"/>
      <c r="V30" s="3460"/>
      <c r="W30" s="3459">
        <v>33</v>
      </c>
      <c r="X30" s="3459">
        <f t="shared" si="5"/>
        <v>19916.433962264153</v>
      </c>
      <c r="Y30" s="3461" t="s">
        <v>3471</v>
      </c>
      <c r="Z30" s="3459">
        <f t="shared" si="6"/>
        <v>1194.9860377358491</v>
      </c>
      <c r="AA30" s="3459">
        <f t="shared" si="11"/>
        <v>21111.420000000002</v>
      </c>
      <c r="AB30" s="3462" t="s">
        <v>3575</v>
      </c>
      <c r="AC30" s="3463">
        <v>3</v>
      </c>
    </row>
    <row r="31" spans="1:29" s="3467" customFormat="1" ht="15" customHeight="1">
      <c r="A31" s="4035"/>
      <c r="B31" s="4037"/>
      <c r="C31" s="4039"/>
      <c r="D31" s="3464" t="s">
        <v>3576</v>
      </c>
      <c r="E31" s="3451" t="s">
        <v>3577</v>
      </c>
      <c r="F31" s="3452" t="s">
        <v>3520</v>
      </c>
      <c r="G31" s="3453">
        <v>446.44</v>
      </c>
      <c r="H31" s="3454" t="s">
        <v>3578</v>
      </c>
      <c r="I31" s="3455" t="s">
        <v>3579</v>
      </c>
      <c r="J31" s="3456">
        <v>2</v>
      </c>
      <c r="K31" s="3454" t="s">
        <v>3580</v>
      </c>
      <c r="L31" s="3454" t="s">
        <v>3581</v>
      </c>
      <c r="M31" s="3454"/>
      <c r="N31" s="3457" t="s">
        <v>3470</v>
      </c>
      <c r="O31" s="3458">
        <f>249.42*12/365</f>
        <v>8.2001095890410962</v>
      </c>
      <c r="P31" s="3452" t="s">
        <v>3471</v>
      </c>
      <c r="Q31" s="3459">
        <f t="shared" si="2"/>
        <v>106048.63314285713</v>
      </c>
      <c r="R31" s="3459">
        <f t="shared" si="9"/>
        <v>5302.4316571428571</v>
      </c>
      <c r="S31" s="3459">
        <f t="shared" si="10"/>
        <v>111351.06479999999</v>
      </c>
      <c r="T31" s="3454"/>
      <c r="U31" s="3454"/>
      <c r="V31" s="3460"/>
      <c r="W31" s="3459">
        <v>33</v>
      </c>
      <c r="X31" s="3459">
        <f t="shared" si="5"/>
        <v>13898.603773584906</v>
      </c>
      <c r="Y31" s="3461" t="s">
        <v>3471</v>
      </c>
      <c r="Z31" s="3459">
        <f t="shared" si="6"/>
        <v>833.91622641509457</v>
      </c>
      <c r="AA31" s="3459">
        <f t="shared" si="11"/>
        <v>14732.52</v>
      </c>
      <c r="AB31" s="3462" t="s">
        <v>3575</v>
      </c>
      <c r="AC31" s="3463">
        <v>2</v>
      </c>
    </row>
    <row r="32" spans="1:29" s="3467" customFormat="1" ht="15" customHeight="1">
      <c r="A32" s="4035"/>
      <c r="B32" s="4040">
        <v>13</v>
      </c>
      <c r="C32" s="4041">
        <v>13</v>
      </c>
      <c r="D32" s="3482" t="s">
        <v>3582</v>
      </c>
      <c r="E32" s="3451" t="s">
        <v>3583</v>
      </c>
      <c r="F32" s="3452" t="s">
        <v>3563</v>
      </c>
      <c r="G32" s="3453">
        <v>172.69</v>
      </c>
      <c r="H32" s="3454" t="s">
        <v>3584</v>
      </c>
      <c r="I32" s="3455" t="s">
        <v>3585</v>
      </c>
      <c r="J32" s="3456">
        <v>2</v>
      </c>
      <c r="K32" s="3454" t="s">
        <v>3586</v>
      </c>
      <c r="L32" s="3454" t="s">
        <v>3587</v>
      </c>
      <c r="M32" s="3454"/>
      <c r="N32" s="3457" t="s">
        <v>3470</v>
      </c>
      <c r="O32" s="3458">
        <f>262*12/365</f>
        <v>8.6136986301369856</v>
      </c>
      <c r="P32" s="3452" t="s">
        <v>3471</v>
      </c>
      <c r="Q32" s="3459">
        <f t="shared" si="2"/>
        <v>43090.266666666663</v>
      </c>
      <c r="R32" s="3459">
        <f t="shared" si="9"/>
        <v>2154.5133333333333</v>
      </c>
      <c r="S32" s="3459">
        <f t="shared" si="10"/>
        <v>45244.78</v>
      </c>
      <c r="T32" s="3454" t="s">
        <v>3588</v>
      </c>
      <c r="U32" s="3454" t="s">
        <v>3589</v>
      </c>
      <c r="V32" s="3460">
        <f>275.1*12/365</f>
        <v>9.0443835616438371</v>
      </c>
      <c r="W32" s="3459">
        <v>33</v>
      </c>
      <c r="X32" s="3459">
        <f t="shared" si="5"/>
        <v>5376.1981132075462</v>
      </c>
      <c r="Y32" s="3461" t="s">
        <v>3471</v>
      </c>
      <c r="Z32" s="3459">
        <f t="shared" si="6"/>
        <v>322.57188679245337</v>
      </c>
      <c r="AA32" s="3459">
        <f t="shared" si="11"/>
        <v>5698.7699999999995</v>
      </c>
      <c r="AB32" s="3462" t="s">
        <v>3473</v>
      </c>
      <c r="AC32" s="3463">
        <v>2</v>
      </c>
    </row>
    <row r="33" spans="1:29" s="3467" customFormat="1" ht="15" customHeight="1">
      <c r="A33" s="4035"/>
      <c r="B33" s="4036"/>
      <c r="C33" s="4038"/>
      <c r="D33" s="3482" t="s">
        <v>3590</v>
      </c>
      <c r="E33" s="3451" t="s">
        <v>3591</v>
      </c>
      <c r="F33" s="3452" t="s">
        <v>3592</v>
      </c>
      <c r="G33" s="3453">
        <v>279.26</v>
      </c>
      <c r="H33" s="3454" t="s">
        <v>3593</v>
      </c>
      <c r="I33" s="3455" t="s">
        <v>3594</v>
      </c>
      <c r="J33" s="3456">
        <v>2</v>
      </c>
      <c r="K33" s="3454" t="s">
        <v>3595</v>
      </c>
      <c r="L33" s="3454" t="s">
        <v>3596</v>
      </c>
      <c r="M33" s="3454"/>
      <c r="N33" s="3457" t="s">
        <v>3470</v>
      </c>
      <c r="O33" s="3458">
        <v>8.02</v>
      </c>
      <c r="P33" s="3452" t="s">
        <v>3471</v>
      </c>
      <c r="Q33" s="3459">
        <f t="shared" si="2"/>
        <v>64879.190317460314</v>
      </c>
      <c r="R33" s="3459">
        <f t="shared" si="9"/>
        <v>3243.9595158730158</v>
      </c>
      <c r="S33" s="3459">
        <f t="shared" si="10"/>
        <v>68123.149833333329</v>
      </c>
      <c r="T33" s="3454"/>
      <c r="U33" s="3454"/>
      <c r="V33" s="3460"/>
      <c r="W33" s="3459">
        <v>33</v>
      </c>
      <c r="X33" s="3459">
        <f t="shared" si="5"/>
        <v>8693.9433962264138</v>
      </c>
      <c r="Y33" s="3461" t="s">
        <v>3471</v>
      </c>
      <c r="Z33" s="3459">
        <f t="shared" si="6"/>
        <v>521.6366037735861</v>
      </c>
      <c r="AA33" s="3459">
        <f t="shared" si="11"/>
        <v>9215.58</v>
      </c>
      <c r="AB33" s="3462" t="s">
        <v>3473</v>
      </c>
      <c r="AC33" s="3463">
        <v>3</v>
      </c>
    </row>
    <row r="34" spans="1:29" s="3467" customFormat="1" ht="15" customHeight="1">
      <c r="A34" s="4035"/>
      <c r="B34" s="4036"/>
      <c r="C34" s="4038"/>
      <c r="D34" s="3482" t="s">
        <v>3534</v>
      </c>
      <c r="E34" s="3451" t="s">
        <v>3597</v>
      </c>
      <c r="F34" s="3452" t="s">
        <v>3598</v>
      </c>
      <c r="G34" s="3453">
        <v>285.2</v>
      </c>
      <c r="H34" s="3454" t="s">
        <v>3599</v>
      </c>
      <c r="I34" s="3455" t="s">
        <v>3600</v>
      </c>
      <c r="J34" s="3456">
        <v>2</v>
      </c>
      <c r="K34" s="3454" t="s">
        <v>3601</v>
      </c>
      <c r="L34" s="3454" t="s">
        <v>3602</v>
      </c>
      <c r="M34" s="3454"/>
      <c r="N34" s="3457" t="s">
        <v>3470</v>
      </c>
      <c r="O34" s="3458">
        <v>8.02</v>
      </c>
      <c r="P34" s="3452" t="s">
        <v>3471</v>
      </c>
      <c r="Q34" s="3459">
        <f t="shared" si="2"/>
        <v>66259.203174603157</v>
      </c>
      <c r="R34" s="3459">
        <f t="shared" si="9"/>
        <v>3312.9601587301581</v>
      </c>
      <c r="S34" s="3459">
        <f t="shared" si="10"/>
        <v>69572.163333333316</v>
      </c>
      <c r="T34" s="3454"/>
      <c r="U34" s="3454"/>
      <c r="V34" s="3460"/>
      <c r="W34" s="3459">
        <v>33</v>
      </c>
      <c r="X34" s="3459">
        <f t="shared" si="5"/>
        <v>8878.867924528302</v>
      </c>
      <c r="Y34" s="3461" t="s">
        <v>3471</v>
      </c>
      <c r="Z34" s="3459">
        <f t="shared" si="6"/>
        <v>532.73207547169841</v>
      </c>
      <c r="AA34" s="3459">
        <f t="shared" si="11"/>
        <v>9411.6</v>
      </c>
      <c r="AB34" s="3462" t="s">
        <v>3473</v>
      </c>
      <c r="AC34" s="3463">
        <v>2</v>
      </c>
    </row>
    <row r="35" spans="1:29" s="3467" customFormat="1" ht="15" customHeight="1">
      <c r="A35" s="4035"/>
      <c r="B35" s="4037"/>
      <c r="C35" s="4039"/>
      <c r="D35" s="3482" t="s">
        <v>3603</v>
      </c>
      <c r="E35" s="3451" t="s">
        <v>3604</v>
      </c>
      <c r="F35" s="3452" t="s">
        <v>3605</v>
      </c>
      <c r="G35" s="3453">
        <v>349.03</v>
      </c>
      <c r="H35" s="3454" t="s">
        <v>3606</v>
      </c>
      <c r="I35" s="3455" t="s">
        <v>3607</v>
      </c>
      <c r="J35" s="3456">
        <v>2</v>
      </c>
      <c r="K35" s="3454" t="s">
        <v>3608</v>
      </c>
      <c r="L35" s="3454" t="s">
        <v>3609</v>
      </c>
      <c r="M35" s="3454"/>
      <c r="N35" s="3457" t="s">
        <v>3470</v>
      </c>
      <c r="O35" s="3458">
        <v>7.92</v>
      </c>
      <c r="P35" s="3452" t="s">
        <v>3471</v>
      </c>
      <c r="Q35" s="3459">
        <f t="shared" si="2"/>
        <v>80077.454285714281</v>
      </c>
      <c r="R35" s="3459">
        <f t="shared" si="9"/>
        <v>4003.8727142857142</v>
      </c>
      <c r="S35" s="3459">
        <f t="shared" si="10"/>
        <v>84081.327000000005</v>
      </c>
      <c r="T35" s="3454"/>
      <c r="U35" s="3454"/>
      <c r="V35" s="3460"/>
      <c r="W35" s="3459">
        <v>33</v>
      </c>
      <c r="X35" s="3459">
        <f t="shared" si="5"/>
        <v>10866.028301886792</v>
      </c>
      <c r="Y35" s="3461" t="s">
        <v>3471</v>
      </c>
      <c r="Z35" s="3459">
        <f t="shared" si="6"/>
        <v>651.9616981132076</v>
      </c>
      <c r="AA35" s="3459">
        <f t="shared" si="11"/>
        <v>11517.99</v>
      </c>
      <c r="AB35" s="3462" t="s">
        <v>3473</v>
      </c>
      <c r="AC35" s="3463">
        <v>2</v>
      </c>
    </row>
    <row r="36" spans="1:29" s="3467" customFormat="1" ht="12.95" customHeight="1">
      <c r="A36" s="4035"/>
      <c r="B36" s="4042">
        <v>12</v>
      </c>
      <c r="C36" s="4043">
        <v>12</v>
      </c>
      <c r="D36" s="3482" t="s">
        <v>3463</v>
      </c>
      <c r="E36" s="3451" t="s">
        <v>3610</v>
      </c>
      <c r="F36" s="3452" t="s">
        <v>3611</v>
      </c>
      <c r="G36" s="3453">
        <v>279.26</v>
      </c>
      <c r="H36" s="3454" t="s">
        <v>3612</v>
      </c>
      <c r="I36" s="3455" t="s">
        <v>3613</v>
      </c>
      <c r="J36" s="3456">
        <v>5</v>
      </c>
      <c r="K36" s="3454" t="s">
        <v>3595</v>
      </c>
      <c r="L36" s="3454" t="s">
        <v>3514</v>
      </c>
      <c r="M36" s="3454"/>
      <c r="N36" s="3457" t="s">
        <v>3614</v>
      </c>
      <c r="O36" s="3458">
        <f t="shared" ref="O36:O40" si="12">244*12/365</f>
        <v>8.0219178082191789</v>
      </c>
      <c r="P36" s="3452" t="s">
        <v>3471</v>
      </c>
      <c r="Q36" s="3459">
        <f t="shared" si="2"/>
        <v>64894.704761904759</v>
      </c>
      <c r="R36" s="3459">
        <f t="shared" si="9"/>
        <v>3244.7352380952379</v>
      </c>
      <c r="S36" s="3459">
        <f t="shared" si="10"/>
        <v>68139.44</v>
      </c>
      <c r="T36" s="3454"/>
      <c r="U36" s="3454"/>
      <c r="V36" s="3460"/>
      <c r="W36" s="3459">
        <v>33</v>
      </c>
      <c r="X36" s="3459">
        <f t="shared" si="5"/>
        <v>8693.9433962264138</v>
      </c>
      <c r="Y36" s="3461" t="s">
        <v>3471</v>
      </c>
      <c r="Z36" s="3459">
        <f t="shared" si="6"/>
        <v>521.6366037735861</v>
      </c>
      <c r="AA36" s="3459">
        <f t="shared" si="11"/>
        <v>9215.58</v>
      </c>
      <c r="AB36" s="3462" t="s">
        <v>3473</v>
      </c>
      <c r="AC36" s="3463">
        <v>10</v>
      </c>
    </row>
    <row r="37" spans="1:29" s="3467" customFormat="1" ht="12.95" customHeight="1">
      <c r="A37" s="4035"/>
      <c r="B37" s="4042"/>
      <c r="C37" s="4043"/>
      <c r="D37" s="3482" t="s">
        <v>3534</v>
      </c>
      <c r="E37" s="3451" t="s">
        <v>3615</v>
      </c>
      <c r="F37" s="3452" t="s">
        <v>3563</v>
      </c>
      <c r="G37" s="3453">
        <v>285.2</v>
      </c>
      <c r="H37" s="3454" t="s">
        <v>3612</v>
      </c>
      <c r="I37" s="3455" t="s">
        <v>3613</v>
      </c>
      <c r="J37" s="3456">
        <v>5</v>
      </c>
      <c r="K37" s="3454" t="s">
        <v>3595</v>
      </c>
      <c r="L37" s="3454" t="s">
        <v>3514</v>
      </c>
      <c r="M37" s="3454"/>
      <c r="N37" s="3457" t="s">
        <v>3614</v>
      </c>
      <c r="O37" s="3458">
        <f t="shared" si="12"/>
        <v>8.0219178082191789</v>
      </c>
      <c r="P37" s="3452" t="s">
        <v>3471</v>
      </c>
      <c r="Q37" s="3459">
        <f t="shared" si="2"/>
        <v>66275.047619047618</v>
      </c>
      <c r="R37" s="3459">
        <f t="shared" si="9"/>
        <v>3313.7523809523809</v>
      </c>
      <c r="S37" s="3459">
        <f t="shared" si="10"/>
        <v>69588.800000000003</v>
      </c>
      <c r="T37" s="3454"/>
      <c r="U37" s="3454"/>
      <c r="V37" s="3460"/>
      <c r="W37" s="3459">
        <v>33</v>
      </c>
      <c r="X37" s="3459">
        <f t="shared" si="5"/>
        <v>8878.867924528302</v>
      </c>
      <c r="Y37" s="3461" t="s">
        <v>3471</v>
      </c>
      <c r="Z37" s="3459">
        <f t="shared" si="6"/>
        <v>532.73207547169841</v>
      </c>
      <c r="AA37" s="3459">
        <f t="shared" si="11"/>
        <v>9411.6</v>
      </c>
      <c r="AB37" s="3462" t="s">
        <v>3473</v>
      </c>
      <c r="AC37" s="3463">
        <v>10</v>
      </c>
    </row>
    <row r="38" spans="1:29" s="3467" customFormat="1" ht="12.95" customHeight="1">
      <c r="A38" s="4035"/>
      <c r="B38" s="4042"/>
      <c r="C38" s="4043"/>
      <c r="D38" s="3482" t="s">
        <v>3494</v>
      </c>
      <c r="E38" s="3451" t="s">
        <v>3616</v>
      </c>
      <c r="F38" s="3452" t="s">
        <v>3555</v>
      </c>
      <c r="G38" s="3453">
        <v>521.72</v>
      </c>
      <c r="H38" s="3454" t="s">
        <v>3612</v>
      </c>
      <c r="I38" s="3455" t="s">
        <v>3613</v>
      </c>
      <c r="J38" s="3456">
        <v>5</v>
      </c>
      <c r="K38" s="3454" t="s">
        <v>3595</v>
      </c>
      <c r="L38" s="3454" t="s">
        <v>3514</v>
      </c>
      <c r="M38" s="3454"/>
      <c r="N38" s="3457" t="s">
        <v>3617</v>
      </c>
      <c r="O38" s="3458">
        <f t="shared" si="12"/>
        <v>8.0219178082191789</v>
      </c>
      <c r="P38" s="3452" t="s">
        <v>3471</v>
      </c>
      <c r="Q38" s="3459">
        <f t="shared" si="2"/>
        <v>121237.79047619051</v>
      </c>
      <c r="R38" s="3459">
        <f t="shared" si="9"/>
        <v>6061.8895238095256</v>
      </c>
      <c r="S38" s="3459">
        <f t="shared" si="10"/>
        <v>127299.68000000004</v>
      </c>
      <c r="T38" s="3454"/>
      <c r="U38" s="3454"/>
      <c r="V38" s="3460"/>
      <c r="W38" s="3459">
        <v>33</v>
      </c>
      <c r="X38" s="3459">
        <f t="shared" si="5"/>
        <v>16242.226415094341</v>
      </c>
      <c r="Y38" s="3461" t="s">
        <v>3471</v>
      </c>
      <c r="Z38" s="3459">
        <f t="shared" si="6"/>
        <v>974.53358490566097</v>
      </c>
      <c r="AA38" s="3459">
        <f t="shared" si="11"/>
        <v>17216.760000000002</v>
      </c>
      <c r="AB38" s="3462" t="s">
        <v>3473</v>
      </c>
      <c r="AC38" s="3463">
        <v>10</v>
      </c>
    </row>
    <row r="39" spans="1:29" s="3467" customFormat="1" ht="12.95" customHeight="1">
      <c r="A39" s="4035"/>
      <c r="B39" s="3449">
        <v>11</v>
      </c>
      <c r="C39" s="3450">
        <v>11</v>
      </c>
      <c r="D39" s="3464" t="s">
        <v>3618</v>
      </c>
      <c r="E39" s="3451" t="s">
        <v>3619</v>
      </c>
      <c r="F39" s="3452" t="s">
        <v>3611</v>
      </c>
      <c r="G39" s="3453">
        <v>1086.18</v>
      </c>
      <c r="H39" s="3454" t="s">
        <v>3612</v>
      </c>
      <c r="I39" s="3455" t="s">
        <v>3613</v>
      </c>
      <c r="J39" s="3456">
        <v>5</v>
      </c>
      <c r="K39" s="3454" t="s">
        <v>3595</v>
      </c>
      <c r="L39" s="3454" t="s">
        <v>3514</v>
      </c>
      <c r="M39" s="3454"/>
      <c r="N39" s="3457" t="s">
        <v>3617</v>
      </c>
      <c r="O39" s="3458">
        <f t="shared" si="12"/>
        <v>8.0219178082191789</v>
      </c>
      <c r="P39" s="3452" t="s">
        <v>3471</v>
      </c>
      <c r="Q39" s="3459">
        <f t="shared" si="2"/>
        <v>252407.54285714289</v>
      </c>
      <c r="R39" s="3459">
        <f t="shared" si="9"/>
        <v>12620.377142857145</v>
      </c>
      <c r="S39" s="3459">
        <f t="shared" si="10"/>
        <v>265027.92000000004</v>
      </c>
      <c r="T39" s="3454"/>
      <c r="U39" s="3454"/>
      <c r="V39" s="3460"/>
      <c r="W39" s="3459">
        <v>33</v>
      </c>
      <c r="X39" s="3459">
        <f t="shared" si="5"/>
        <v>33815.037735849059</v>
      </c>
      <c r="Y39" s="3461" t="s">
        <v>3471</v>
      </c>
      <c r="Z39" s="3459">
        <f t="shared" si="6"/>
        <v>2028.9022641509437</v>
      </c>
      <c r="AA39" s="3459">
        <f t="shared" si="11"/>
        <v>35843.94</v>
      </c>
      <c r="AB39" s="3462" t="s">
        <v>3473</v>
      </c>
      <c r="AC39" s="3463">
        <v>10</v>
      </c>
    </row>
    <row r="40" spans="1:29" s="3467" customFormat="1" ht="12.95" customHeight="1">
      <c r="A40" s="4035"/>
      <c r="B40" s="3449">
        <v>10</v>
      </c>
      <c r="C40" s="3450">
        <v>10</v>
      </c>
      <c r="D40" s="3464" t="s">
        <v>3502</v>
      </c>
      <c r="E40" s="3451" t="s">
        <v>3620</v>
      </c>
      <c r="F40" s="3452" t="s">
        <v>3611</v>
      </c>
      <c r="G40" s="3453">
        <v>1086.18</v>
      </c>
      <c r="H40" s="3454" t="s">
        <v>3612</v>
      </c>
      <c r="I40" s="3455" t="s">
        <v>3613</v>
      </c>
      <c r="J40" s="3456">
        <v>5</v>
      </c>
      <c r="K40" s="3454" t="s">
        <v>3595</v>
      </c>
      <c r="L40" s="3454" t="s">
        <v>3514</v>
      </c>
      <c r="M40" s="3454"/>
      <c r="N40" s="3457" t="s">
        <v>3617</v>
      </c>
      <c r="O40" s="3458">
        <f t="shared" si="12"/>
        <v>8.0219178082191789</v>
      </c>
      <c r="P40" s="3452" t="s">
        <v>3471</v>
      </c>
      <c r="Q40" s="3459">
        <f t="shared" si="2"/>
        <v>252407.54285714289</v>
      </c>
      <c r="R40" s="3459">
        <f t="shared" si="9"/>
        <v>12620.377142857145</v>
      </c>
      <c r="S40" s="3459">
        <f t="shared" si="10"/>
        <v>265027.92000000004</v>
      </c>
      <c r="T40" s="3454"/>
      <c r="U40" s="3454"/>
      <c r="V40" s="3460"/>
      <c r="W40" s="3459">
        <v>33</v>
      </c>
      <c r="X40" s="3459">
        <f t="shared" si="5"/>
        <v>33815.037735849059</v>
      </c>
      <c r="Y40" s="3461" t="s">
        <v>3471</v>
      </c>
      <c r="Z40" s="3459">
        <f t="shared" si="6"/>
        <v>2028.9022641509437</v>
      </c>
      <c r="AA40" s="3459">
        <f t="shared" si="11"/>
        <v>35843.94</v>
      </c>
      <c r="AB40" s="3462" t="s">
        <v>3473</v>
      </c>
      <c r="AC40" s="3463">
        <v>10</v>
      </c>
    </row>
    <row r="41" spans="1:29" s="3467" customFormat="1" ht="12.95" customHeight="1">
      <c r="A41" s="4035"/>
      <c r="B41" s="4042">
        <v>9</v>
      </c>
      <c r="C41" s="4043">
        <v>9</v>
      </c>
      <c r="D41" s="3464" t="s">
        <v>3621</v>
      </c>
      <c r="E41" s="3451" t="s">
        <v>3622</v>
      </c>
      <c r="F41" s="3452" t="s">
        <v>3520</v>
      </c>
      <c r="G41" s="3453">
        <v>285.2</v>
      </c>
      <c r="H41" s="3454" t="s">
        <v>3468</v>
      </c>
      <c r="I41" s="3483" t="s">
        <v>3623</v>
      </c>
      <c r="J41" s="3483" t="s">
        <v>3623</v>
      </c>
      <c r="K41" s="3454" t="s">
        <v>3468</v>
      </c>
      <c r="L41" s="3454" t="s">
        <v>3624</v>
      </c>
      <c r="M41" s="3454"/>
      <c r="N41" s="3457" t="s">
        <v>3517</v>
      </c>
      <c r="O41" s="3458">
        <f>258.54*12/365</f>
        <v>8.4999452054794542</v>
      </c>
      <c r="P41" s="3452" t="s">
        <v>3471</v>
      </c>
      <c r="Q41" s="3459">
        <f>S41/1.05</f>
        <v>70224.388571428572</v>
      </c>
      <c r="R41" s="3459">
        <f t="shared" si="9"/>
        <v>3511.2194285714286</v>
      </c>
      <c r="S41" s="3459">
        <f t="shared" si="10"/>
        <v>73735.608000000007</v>
      </c>
      <c r="T41" s="3454"/>
      <c r="U41" s="3454"/>
      <c r="V41" s="3460"/>
      <c r="W41" s="3459">
        <v>33</v>
      </c>
      <c r="X41" s="3459">
        <f t="shared" si="5"/>
        <v>8878.867924528302</v>
      </c>
      <c r="Y41" s="3461" t="s">
        <v>3471</v>
      </c>
      <c r="Z41" s="3459">
        <f t="shared" si="6"/>
        <v>532.73207547169841</v>
      </c>
      <c r="AA41" s="3459">
        <f t="shared" si="11"/>
        <v>9411.6</v>
      </c>
      <c r="AB41" s="3462" t="s">
        <v>3473</v>
      </c>
      <c r="AC41" s="3463"/>
    </row>
    <row r="42" spans="1:29" s="3467" customFormat="1" ht="12.95" customHeight="1">
      <c r="A42" s="4035"/>
      <c r="B42" s="4042"/>
      <c r="C42" s="4043"/>
      <c r="D42" s="3464" t="s">
        <v>3625</v>
      </c>
      <c r="E42" s="3451" t="s">
        <v>3626</v>
      </c>
      <c r="F42" s="3452" t="s">
        <v>3598</v>
      </c>
      <c r="G42" s="3453">
        <v>580.98</v>
      </c>
      <c r="H42" s="3454" t="s">
        <v>3468</v>
      </c>
      <c r="I42" s="3483" t="s">
        <v>3623</v>
      </c>
      <c r="J42" s="3483" t="s">
        <v>3623</v>
      </c>
      <c r="K42" s="3454" t="s">
        <v>3468</v>
      </c>
      <c r="L42" s="3454" t="s">
        <v>3469</v>
      </c>
      <c r="M42" s="3454"/>
      <c r="N42" s="3457" t="s">
        <v>3525</v>
      </c>
      <c r="O42" s="3458">
        <f>246.24*12/365</f>
        <v>8.0955616438356159</v>
      </c>
      <c r="P42" s="3452" t="s">
        <v>3471</v>
      </c>
      <c r="Q42" s="3459">
        <f>S42/1.05</f>
        <v>136248.1097142857</v>
      </c>
      <c r="R42" s="3459">
        <f>Q42*0.05</f>
        <v>6812.4054857142855</v>
      </c>
      <c r="S42" s="3459">
        <f>G42*O42*365/12</f>
        <v>143060.51519999999</v>
      </c>
      <c r="T42" s="3454"/>
      <c r="U42" s="3454"/>
      <c r="V42" s="3460"/>
      <c r="W42" s="3459">
        <v>33</v>
      </c>
      <c r="X42" s="3459">
        <f t="shared" si="5"/>
        <v>18087.113207547169</v>
      </c>
      <c r="Y42" s="3461" t="s">
        <v>3471</v>
      </c>
      <c r="Z42" s="3459">
        <f t="shared" si="6"/>
        <v>1085.2267924528314</v>
      </c>
      <c r="AA42" s="3459">
        <f t="shared" si="11"/>
        <v>19172.34</v>
      </c>
      <c r="AB42" s="3462" t="s">
        <v>3473</v>
      </c>
      <c r="AC42" s="3463">
        <v>3</v>
      </c>
    </row>
    <row r="43" spans="1:29" s="3467" customFormat="1" ht="12.95" customHeight="1">
      <c r="A43" s="4035"/>
      <c r="B43" s="4042"/>
      <c r="C43" s="4043"/>
      <c r="D43" s="3464" t="s">
        <v>3603</v>
      </c>
      <c r="E43" s="3451" t="s">
        <v>3627</v>
      </c>
      <c r="F43" s="3452" t="s">
        <v>3628</v>
      </c>
      <c r="G43" s="3453">
        <v>220</v>
      </c>
      <c r="H43" s="3454" t="s">
        <v>3629</v>
      </c>
      <c r="I43" s="3455" t="s">
        <v>3630</v>
      </c>
      <c r="J43" s="3456">
        <v>2</v>
      </c>
      <c r="K43" s="3454" t="s">
        <v>3593</v>
      </c>
      <c r="L43" s="3454" t="s">
        <v>3631</v>
      </c>
      <c r="M43" s="3454"/>
      <c r="N43" s="3457" t="s">
        <v>3533</v>
      </c>
      <c r="O43" s="3458">
        <f>228*12/365</f>
        <v>7.4958904109589044</v>
      </c>
      <c r="P43" s="3452" t="s">
        <v>3471</v>
      </c>
      <c r="Q43" s="3459">
        <f t="shared" ref="Q43:Q57" si="13">S43/1.05</f>
        <v>47771.428571428572</v>
      </c>
      <c r="R43" s="3459">
        <f t="shared" si="9"/>
        <v>2388.5714285714289</v>
      </c>
      <c r="S43" s="3459">
        <f t="shared" si="10"/>
        <v>50160</v>
      </c>
      <c r="T43" s="3454" t="s">
        <v>3468</v>
      </c>
      <c r="U43" s="3454" t="s">
        <v>3469</v>
      </c>
      <c r="V43" s="3460">
        <f>246.24*12/365</f>
        <v>8.0955616438356159</v>
      </c>
      <c r="W43" s="3459">
        <v>33</v>
      </c>
      <c r="X43" s="3459">
        <f t="shared" si="5"/>
        <v>6849.0566037735844</v>
      </c>
      <c r="Y43" s="3461" t="s">
        <v>3471</v>
      </c>
      <c r="Z43" s="3459">
        <f t="shared" si="6"/>
        <v>410.94339622641564</v>
      </c>
      <c r="AA43" s="3459">
        <f t="shared" si="11"/>
        <v>7260</v>
      </c>
      <c r="AB43" s="3462" t="s">
        <v>3473</v>
      </c>
      <c r="AC43" s="3463">
        <v>3</v>
      </c>
    </row>
    <row r="44" spans="1:29" s="3467" customFormat="1" ht="12.95" customHeight="1">
      <c r="A44" s="4035"/>
      <c r="B44" s="4042">
        <v>8</v>
      </c>
      <c r="C44" s="4043">
        <v>8</v>
      </c>
      <c r="D44" s="3464" t="s">
        <v>3632</v>
      </c>
      <c r="E44" s="3451" t="s">
        <v>3633</v>
      </c>
      <c r="F44" s="3452" t="s">
        <v>3634</v>
      </c>
      <c r="G44" s="3453">
        <v>271.98</v>
      </c>
      <c r="H44" s="3454" t="s">
        <v>3635</v>
      </c>
      <c r="I44" s="3455" t="s">
        <v>3636</v>
      </c>
      <c r="J44" s="3456">
        <v>2</v>
      </c>
      <c r="K44" s="3454" t="s">
        <v>3637</v>
      </c>
      <c r="L44" s="3454" t="s">
        <v>3638</v>
      </c>
      <c r="M44" s="3454"/>
      <c r="N44" s="3457" t="s">
        <v>3533</v>
      </c>
      <c r="O44" s="3458">
        <f>225.69*12/365</f>
        <v>7.4199452054794515</v>
      </c>
      <c r="P44" s="3452" t="s">
        <v>3471</v>
      </c>
      <c r="Q44" s="3459">
        <f t="shared" si="13"/>
        <v>58460.158285714286</v>
      </c>
      <c r="R44" s="3459">
        <f t="shared" si="9"/>
        <v>2923.0079142857144</v>
      </c>
      <c r="S44" s="3459">
        <f t="shared" si="10"/>
        <v>61383.1662</v>
      </c>
      <c r="T44" s="3454"/>
      <c r="U44" s="3454"/>
      <c r="V44" s="3460"/>
      <c r="W44" s="3459">
        <v>33</v>
      </c>
      <c r="X44" s="3459">
        <f t="shared" si="5"/>
        <v>8467.3018867924529</v>
      </c>
      <c r="Y44" s="3461" t="s">
        <v>3471</v>
      </c>
      <c r="Z44" s="3459">
        <f t="shared" si="6"/>
        <v>508.03811320754721</v>
      </c>
      <c r="AA44" s="3459">
        <f t="shared" si="11"/>
        <v>8975.34</v>
      </c>
      <c r="AB44" s="3462" t="s">
        <v>3473</v>
      </c>
      <c r="AC44" s="3463">
        <v>1</v>
      </c>
    </row>
    <row r="45" spans="1:29" s="3467" customFormat="1" ht="12.95" customHeight="1">
      <c r="A45" s="4035"/>
      <c r="B45" s="4042"/>
      <c r="C45" s="4043"/>
      <c r="D45" s="3464" t="s">
        <v>3639</v>
      </c>
      <c r="E45" s="3451"/>
      <c r="F45" s="3452"/>
      <c r="G45" s="3453">
        <v>300</v>
      </c>
      <c r="H45" s="3454"/>
      <c r="I45" s="3455"/>
      <c r="J45" s="3456"/>
      <c r="K45" s="3454"/>
      <c r="L45" s="3454"/>
      <c r="M45" s="3454"/>
      <c r="N45" s="3457"/>
      <c r="O45" s="3458">
        <f>274*12/365</f>
        <v>9.0082191780821912</v>
      </c>
      <c r="P45" s="3452" t="s">
        <v>3471</v>
      </c>
      <c r="Q45" s="3459">
        <f t="shared" si="13"/>
        <v>78285.714285714275</v>
      </c>
      <c r="R45" s="3459">
        <f t="shared" si="9"/>
        <v>3914.2857142857138</v>
      </c>
      <c r="S45" s="3459">
        <f t="shared" si="10"/>
        <v>82200</v>
      </c>
      <c r="T45" s="3454"/>
      <c r="U45" s="3454"/>
      <c r="V45" s="3460"/>
      <c r="W45" s="3459"/>
      <c r="X45" s="3459">
        <f t="shared" si="5"/>
        <v>0</v>
      </c>
      <c r="Y45" s="3461" t="s">
        <v>3471</v>
      </c>
      <c r="Z45" s="3459">
        <f t="shared" si="6"/>
        <v>0</v>
      </c>
      <c r="AA45" s="3459">
        <f t="shared" si="11"/>
        <v>0</v>
      </c>
      <c r="AB45" s="3462" t="s">
        <v>3473</v>
      </c>
      <c r="AC45" s="3463"/>
    </row>
    <row r="46" spans="1:29" s="3467" customFormat="1" ht="12.95" customHeight="1">
      <c r="A46" s="4035"/>
      <c r="B46" s="4042"/>
      <c r="C46" s="4043"/>
      <c r="D46" s="3464" t="s">
        <v>3640</v>
      </c>
      <c r="E46" s="3451"/>
      <c r="F46" s="3452"/>
      <c r="G46" s="3453">
        <v>187.28</v>
      </c>
      <c r="H46" s="3454"/>
      <c r="I46" s="3455"/>
      <c r="J46" s="3456"/>
      <c r="K46" s="3454"/>
      <c r="L46" s="3454"/>
      <c r="M46" s="3454"/>
      <c r="N46" s="3457"/>
      <c r="O46" s="3458">
        <f>274*12/365</f>
        <v>9.0082191780821912</v>
      </c>
      <c r="P46" s="3452" t="s">
        <v>3471</v>
      </c>
      <c r="Q46" s="3459">
        <f t="shared" si="13"/>
        <v>48871.161904761902</v>
      </c>
      <c r="R46" s="3459">
        <f t="shared" si="9"/>
        <v>2443.5580952380951</v>
      </c>
      <c r="S46" s="3459">
        <f t="shared" si="10"/>
        <v>51314.720000000001</v>
      </c>
      <c r="T46" s="3454"/>
      <c r="U46" s="3454"/>
      <c r="V46" s="3460"/>
      <c r="W46" s="3459"/>
      <c r="X46" s="3459">
        <f t="shared" si="5"/>
        <v>0</v>
      </c>
      <c r="Y46" s="3461" t="s">
        <v>3471</v>
      </c>
      <c r="Z46" s="3459">
        <f t="shared" si="6"/>
        <v>0</v>
      </c>
      <c r="AA46" s="3459">
        <f t="shared" si="11"/>
        <v>0</v>
      </c>
      <c r="AB46" s="3462" t="s">
        <v>3473</v>
      </c>
      <c r="AC46" s="3463"/>
    </row>
    <row r="47" spans="1:29" s="3467" customFormat="1" ht="13.5" customHeight="1">
      <c r="A47" s="4035"/>
      <c r="B47" s="4042"/>
      <c r="C47" s="4043"/>
      <c r="D47" s="3450" t="s">
        <v>3641</v>
      </c>
      <c r="E47" s="3451" t="s">
        <v>3642</v>
      </c>
      <c r="F47" s="3452" t="s">
        <v>3485</v>
      </c>
      <c r="G47" s="3453">
        <v>326.92</v>
      </c>
      <c r="H47" s="3454" t="s">
        <v>3643</v>
      </c>
      <c r="I47" s="3455" t="s">
        <v>3644</v>
      </c>
      <c r="J47" s="3456">
        <v>4</v>
      </c>
      <c r="K47" s="3454" t="s">
        <v>3645</v>
      </c>
      <c r="L47" s="3454" t="s">
        <v>3646</v>
      </c>
      <c r="M47" s="3454"/>
      <c r="N47" s="3457" t="s">
        <v>3525</v>
      </c>
      <c r="O47" s="3458">
        <f>274*12/365</f>
        <v>9.0082191780821912</v>
      </c>
      <c r="P47" s="3452" t="s">
        <v>3471</v>
      </c>
      <c r="Q47" s="3459">
        <f t="shared" si="13"/>
        <v>85310.552380952373</v>
      </c>
      <c r="R47" s="3459">
        <f t="shared" si="9"/>
        <v>4265.5276190476188</v>
      </c>
      <c r="S47" s="3459">
        <f t="shared" si="10"/>
        <v>89576.08</v>
      </c>
      <c r="T47" s="3454" t="s">
        <v>3647</v>
      </c>
      <c r="U47" s="3454" t="s">
        <v>3648</v>
      </c>
      <c r="V47" s="3460">
        <f>274*12/365</f>
        <v>9.0082191780821912</v>
      </c>
      <c r="W47" s="3459">
        <v>33</v>
      </c>
      <c r="X47" s="3459">
        <f>AA47/1.06</f>
        <v>10177.698113207547</v>
      </c>
      <c r="Y47" s="3461" t="s">
        <v>3471</v>
      </c>
      <c r="Z47" s="3459">
        <f t="shared" si="6"/>
        <v>610.66188679245352</v>
      </c>
      <c r="AA47" s="3459">
        <f t="shared" si="11"/>
        <v>10788.36</v>
      </c>
      <c r="AB47" s="3462" t="s">
        <v>3473</v>
      </c>
      <c r="AC47" s="3463" t="s">
        <v>3575</v>
      </c>
    </row>
    <row r="48" spans="1:29" s="3467" customFormat="1" ht="13.5" customHeight="1">
      <c r="A48" s="4035"/>
      <c r="B48" s="4042">
        <v>7</v>
      </c>
      <c r="C48" s="4043">
        <v>7</v>
      </c>
      <c r="D48" s="3464" t="s">
        <v>3649</v>
      </c>
      <c r="E48" s="3451"/>
      <c r="F48" s="3452"/>
      <c r="G48" s="3453">
        <v>800.98</v>
      </c>
      <c r="H48" s="3454"/>
      <c r="I48" s="3455"/>
      <c r="J48" s="3456"/>
      <c r="K48" s="3454"/>
      <c r="L48" s="3454"/>
      <c r="M48" s="3454"/>
      <c r="N48" s="3457"/>
      <c r="O48" s="3458">
        <f>258.54*12/365</f>
        <v>8.4999452054794542</v>
      </c>
      <c r="P48" s="3452" t="s">
        <v>3472</v>
      </c>
      <c r="Q48" s="3459">
        <f t="shared" si="13"/>
        <v>197224.16114285716</v>
      </c>
      <c r="R48" s="3459">
        <f t="shared" si="9"/>
        <v>9861.2080571428596</v>
      </c>
      <c r="S48" s="3459">
        <f t="shared" si="10"/>
        <v>207085.36920000004</v>
      </c>
      <c r="T48" s="3454"/>
      <c r="U48" s="3454"/>
      <c r="V48" s="3460"/>
      <c r="W48" s="3459"/>
      <c r="X48" s="3459">
        <f t="shared" si="5"/>
        <v>0</v>
      </c>
      <c r="Y48" s="3461" t="s">
        <v>3472</v>
      </c>
      <c r="Z48" s="3459">
        <f t="shared" si="6"/>
        <v>0</v>
      </c>
      <c r="AA48" s="3459">
        <f t="shared" si="11"/>
        <v>0</v>
      </c>
      <c r="AB48" s="3462" t="s">
        <v>3473</v>
      </c>
      <c r="AC48" s="3463"/>
    </row>
    <row r="49" spans="1:29" s="3467" customFormat="1" ht="13.5" customHeight="1">
      <c r="A49" s="4035"/>
      <c r="B49" s="4042"/>
      <c r="C49" s="4043"/>
      <c r="D49" s="3464" t="s">
        <v>3621</v>
      </c>
      <c r="E49" s="3451" t="s">
        <v>3650</v>
      </c>
      <c r="F49" s="3452" t="s">
        <v>3651</v>
      </c>
      <c r="G49" s="3453">
        <v>285.2</v>
      </c>
      <c r="H49" s="3454" t="s">
        <v>3652</v>
      </c>
      <c r="I49" s="3455" t="s">
        <v>3512</v>
      </c>
      <c r="J49" s="3456">
        <v>2</v>
      </c>
      <c r="K49" s="3454" t="s">
        <v>3513</v>
      </c>
      <c r="L49" s="3454" t="s">
        <v>3514</v>
      </c>
      <c r="M49" s="3454"/>
      <c r="N49" s="3457" t="s">
        <v>3525</v>
      </c>
      <c r="O49" s="3458">
        <f>258.54*12/365</f>
        <v>8.4999452054794542</v>
      </c>
      <c r="P49" s="3452" t="s">
        <v>3471</v>
      </c>
      <c r="Q49" s="3459">
        <f t="shared" si="13"/>
        <v>70224.388571428572</v>
      </c>
      <c r="R49" s="3459">
        <f t="shared" si="9"/>
        <v>3511.2194285714286</v>
      </c>
      <c r="S49" s="3459">
        <f t="shared" si="10"/>
        <v>73735.608000000007</v>
      </c>
      <c r="T49" s="3454"/>
      <c r="U49" s="3454"/>
      <c r="V49" s="3460"/>
      <c r="W49" s="3459">
        <v>33</v>
      </c>
      <c r="X49" s="3459">
        <f t="shared" si="5"/>
        <v>8878.867924528302</v>
      </c>
      <c r="Y49" s="3461" t="s">
        <v>3472</v>
      </c>
      <c r="Z49" s="3459">
        <f t="shared" si="6"/>
        <v>532.73207547169841</v>
      </c>
      <c r="AA49" s="3459">
        <f t="shared" si="11"/>
        <v>9411.6</v>
      </c>
      <c r="AB49" s="3462" t="s">
        <v>3473</v>
      </c>
      <c r="AC49" s="3463" t="s">
        <v>3575</v>
      </c>
    </row>
    <row r="50" spans="1:29" s="3467" customFormat="1" ht="13.5" customHeight="1">
      <c r="A50" s="4035"/>
      <c r="B50" s="4042"/>
      <c r="C50" s="4043"/>
      <c r="D50" s="3464"/>
      <c r="E50" s="3451"/>
      <c r="F50" s="3452"/>
      <c r="G50" s="3453">
        <v>285.2</v>
      </c>
      <c r="H50" s="3454"/>
      <c r="I50" s="3455"/>
      <c r="J50" s="3456"/>
      <c r="K50" s="3454" t="s">
        <v>3653</v>
      </c>
      <c r="L50" s="3454" t="s">
        <v>3574</v>
      </c>
      <c r="M50" s="3454"/>
      <c r="N50" s="3457"/>
      <c r="O50" s="3458">
        <f>276*12/365</f>
        <v>9.0739726027397261</v>
      </c>
      <c r="P50" s="3452" t="s">
        <v>3471</v>
      </c>
      <c r="Q50" s="3459">
        <f t="shared" si="13"/>
        <v>74966.85714285713</v>
      </c>
      <c r="R50" s="3459">
        <f t="shared" si="9"/>
        <v>3748.3428571428567</v>
      </c>
      <c r="S50" s="3459">
        <f t="shared" ref="S50:S51" si="14">G50*O50*365/12</f>
        <v>78715.199999999997</v>
      </c>
      <c r="T50" s="3454"/>
      <c r="U50" s="3454"/>
      <c r="V50" s="3460"/>
      <c r="W50" s="3459">
        <v>33</v>
      </c>
      <c r="X50" s="3459" t="e">
        <f t="shared" si="5"/>
        <v>#REF!</v>
      </c>
      <c r="Y50" s="3461" t="s">
        <v>3472</v>
      </c>
      <c r="Z50" s="3459" t="e">
        <f t="shared" si="6"/>
        <v>#REF!</v>
      </c>
      <c r="AA50" s="3459" t="e">
        <f>#REF!*W50</f>
        <v>#REF!</v>
      </c>
      <c r="AB50" s="3462"/>
      <c r="AC50" s="3463"/>
    </row>
    <row r="51" spans="1:29" s="3467" customFormat="1" ht="13.5" customHeight="1">
      <c r="A51" s="4035"/>
      <c r="B51" s="4042"/>
      <c r="C51" s="4043"/>
      <c r="D51" s="3464" t="s">
        <v>3654</v>
      </c>
      <c r="E51" s="3451" t="s">
        <v>3655</v>
      </c>
      <c r="F51" s="3452" t="s">
        <v>3656</v>
      </c>
      <c r="G51" s="3453">
        <v>279.26</v>
      </c>
      <c r="H51" s="3454" t="s">
        <v>3578</v>
      </c>
      <c r="I51" s="3455" t="s">
        <v>3579</v>
      </c>
      <c r="J51" s="3456">
        <v>2</v>
      </c>
      <c r="K51" s="3454" t="s">
        <v>3580</v>
      </c>
      <c r="L51" s="3454" t="s">
        <v>3581</v>
      </c>
      <c r="M51" s="3454"/>
      <c r="N51" s="3457" t="s">
        <v>3470</v>
      </c>
      <c r="O51" s="3458">
        <f>249.42*12/365</f>
        <v>8.2001095890410962</v>
      </c>
      <c r="P51" s="3452" t="s">
        <v>3471</v>
      </c>
      <c r="Q51" s="3459">
        <f t="shared" si="13"/>
        <v>66336.218285714291</v>
      </c>
      <c r="R51" s="3459">
        <f t="shared" si="9"/>
        <v>3316.8109142857147</v>
      </c>
      <c r="S51" s="3459">
        <f t="shared" si="14"/>
        <v>69653.029200000004</v>
      </c>
      <c r="T51" s="3454"/>
      <c r="U51" s="3454"/>
      <c r="V51" s="3460"/>
      <c r="W51" s="3459">
        <v>33</v>
      </c>
      <c r="X51" s="3459">
        <f t="shared" si="5"/>
        <v>8693.9433962264138</v>
      </c>
      <c r="Y51" s="3461" t="s">
        <v>3471</v>
      </c>
      <c r="Z51" s="3459">
        <f t="shared" si="6"/>
        <v>521.6366037735861</v>
      </c>
      <c r="AA51" s="3459">
        <f t="shared" ref="AA51" si="15">G51*W51</f>
        <v>9215.58</v>
      </c>
      <c r="AB51" s="3462" t="s">
        <v>3575</v>
      </c>
      <c r="AC51" s="3463">
        <v>2</v>
      </c>
    </row>
    <row r="52" spans="1:29" s="3467" customFormat="1" ht="13.5" customHeight="1">
      <c r="A52" s="4035"/>
      <c r="B52" s="4042"/>
      <c r="C52" s="4043"/>
      <c r="D52" s="3464" t="s">
        <v>3657</v>
      </c>
      <c r="E52" s="3451" t="s">
        <v>3658</v>
      </c>
      <c r="F52" s="3452" t="s">
        <v>3659</v>
      </c>
      <c r="G52" s="3453">
        <v>521.72</v>
      </c>
      <c r="H52" s="3454" t="s">
        <v>3660</v>
      </c>
      <c r="I52" s="3455" t="s">
        <v>3661</v>
      </c>
      <c r="J52" s="3456">
        <v>4</v>
      </c>
      <c r="K52" s="3454" t="s">
        <v>3662</v>
      </c>
      <c r="L52" s="3454" t="s">
        <v>3663</v>
      </c>
      <c r="M52" s="3454"/>
      <c r="N52" s="3457" t="s">
        <v>3470</v>
      </c>
      <c r="O52" s="3458">
        <f t="shared" ref="O52" si="16">240*12/365</f>
        <v>7.8904109589041092</v>
      </c>
      <c r="P52" s="3452" t="s">
        <v>3471</v>
      </c>
      <c r="Q52" s="3459">
        <f t="shared" si="13"/>
        <v>119250.28571428571</v>
      </c>
      <c r="R52" s="3459">
        <f t="shared" si="9"/>
        <v>5962.5142857142855</v>
      </c>
      <c r="S52" s="3459">
        <f t="shared" si="10"/>
        <v>125212.8</v>
      </c>
      <c r="T52" s="3454" t="s">
        <v>3664</v>
      </c>
      <c r="U52" s="3454" t="s">
        <v>3665</v>
      </c>
      <c r="V52" s="3460">
        <f>247.2*12/365</f>
        <v>8.1271232876712318</v>
      </c>
      <c r="W52" s="3459">
        <v>33</v>
      </c>
      <c r="X52" s="3459">
        <f t="shared" si="5"/>
        <v>16242.226415094341</v>
      </c>
      <c r="Y52" s="3461" t="s">
        <v>3472</v>
      </c>
      <c r="Z52" s="3459">
        <f t="shared" si="6"/>
        <v>974.53358490566097</v>
      </c>
      <c r="AA52" s="3459">
        <f>G52*W52</f>
        <v>17216.760000000002</v>
      </c>
      <c r="AB52" s="3462" t="s">
        <v>3473</v>
      </c>
      <c r="AC52" s="3463" t="s">
        <v>3575</v>
      </c>
    </row>
    <row r="53" spans="1:29" s="3467" customFormat="1" ht="13.5" customHeight="1">
      <c r="A53" s="4035"/>
      <c r="B53" s="3580"/>
      <c r="C53" s="3581"/>
      <c r="D53" s="3581"/>
      <c r="E53" s="3451"/>
      <c r="F53" s="3452"/>
      <c r="G53" s="3453">
        <v>8734.9</v>
      </c>
      <c r="H53" s="3454"/>
      <c r="I53" s="3455"/>
      <c r="J53" s="3456"/>
      <c r="K53" s="3454" t="s">
        <v>3666</v>
      </c>
      <c r="L53" s="3454" t="s">
        <v>3667</v>
      </c>
      <c r="M53" s="3454"/>
      <c r="N53" s="3457"/>
      <c r="O53" s="3458">
        <v>10.5</v>
      </c>
      <c r="P53" s="3452" t="s">
        <v>3472</v>
      </c>
      <c r="Q53" s="3459">
        <f t="shared" si="13"/>
        <v>2656865.4166666665</v>
      </c>
      <c r="R53" s="3459">
        <f t="shared" ref="R53" si="17">S53-Q53</f>
        <v>132843.27083333349</v>
      </c>
      <c r="S53" s="3459">
        <f t="shared" ref="S53:S56" si="18">G53*O53*365/12</f>
        <v>2789708.6875</v>
      </c>
      <c r="T53" s="3454"/>
      <c r="U53" s="3454"/>
      <c r="V53" s="3460"/>
      <c r="W53" s="3459">
        <v>33</v>
      </c>
      <c r="X53" s="3459" t="e">
        <f t="shared" si="5"/>
        <v>#REF!</v>
      </c>
      <c r="Y53" s="3479" t="s">
        <v>3472</v>
      </c>
      <c r="Z53" s="3459" t="e">
        <f t="shared" si="6"/>
        <v>#REF!</v>
      </c>
      <c r="AA53" s="3459" t="e">
        <f>#REF!*W53</f>
        <v>#REF!</v>
      </c>
      <c r="AB53" s="3462"/>
      <c r="AC53" s="3463"/>
    </row>
    <row r="54" spans="1:29" s="3467" customFormat="1" ht="13.5" customHeight="1">
      <c r="A54" s="4035"/>
      <c r="B54" s="3449" t="s">
        <v>3668</v>
      </c>
      <c r="C54" s="3450" t="s">
        <v>3668</v>
      </c>
      <c r="D54" s="3450" t="s">
        <v>3669</v>
      </c>
      <c r="E54" s="3451" t="s">
        <v>3670</v>
      </c>
      <c r="F54" s="4064" t="s">
        <v>3538</v>
      </c>
      <c r="G54" s="3453">
        <v>950.27</v>
      </c>
      <c r="H54" s="3454" t="s">
        <v>3671</v>
      </c>
      <c r="I54" s="3455" t="s">
        <v>3575</v>
      </c>
      <c r="J54" s="3455" t="s">
        <v>3575</v>
      </c>
      <c r="K54" s="3454" t="s">
        <v>3672</v>
      </c>
      <c r="L54" s="3454" t="s">
        <v>3673</v>
      </c>
      <c r="M54" s="3454"/>
      <c r="N54" s="3473" t="s">
        <v>3470</v>
      </c>
      <c r="O54" s="3458">
        <v>8.5</v>
      </c>
      <c r="P54" s="3452" t="s">
        <v>3674</v>
      </c>
      <c r="Q54" s="3459">
        <f t="shared" si="13"/>
        <v>233985.1329365079</v>
      </c>
      <c r="R54" s="3459">
        <f t="shared" ref="R54:R58" si="19">Q54*0.05</f>
        <v>11699.256646825395</v>
      </c>
      <c r="S54" s="3459">
        <f t="shared" si="18"/>
        <v>245684.38958333331</v>
      </c>
      <c r="T54" s="3454"/>
      <c r="U54" s="3454"/>
      <c r="V54" s="3460"/>
      <c r="W54" s="3459">
        <v>33</v>
      </c>
      <c r="X54" s="3459">
        <f t="shared" si="5"/>
        <v>29583.877358490565</v>
      </c>
      <c r="Y54" s="3461" t="s">
        <v>3472</v>
      </c>
      <c r="Z54" s="3459">
        <f t="shared" si="6"/>
        <v>1775.0326415094351</v>
      </c>
      <c r="AA54" s="3459">
        <f t="shared" ref="AA54:AA56" si="20">G54*W54</f>
        <v>31358.91</v>
      </c>
      <c r="AB54" s="3462" t="s">
        <v>3473</v>
      </c>
      <c r="AC54" s="3484"/>
    </row>
    <row r="55" spans="1:29" s="3467" customFormat="1" ht="13.5" customHeight="1">
      <c r="A55" s="4035"/>
      <c r="B55" s="3449" t="s">
        <v>3675</v>
      </c>
      <c r="C55" s="3450" t="s">
        <v>3675</v>
      </c>
      <c r="D55" s="3450" t="s">
        <v>3676</v>
      </c>
      <c r="E55" s="3451" t="s">
        <v>3677</v>
      </c>
      <c r="F55" s="4066"/>
      <c r="G55" s="3453">
        <v>950.27</v>
      </c>
      <c r="H55" s="3454" t="s">
        <v>3671</v>
      </c>
      <c r="I55" s="3455" t="s">
        <v>3575</v>
      </c>
      <c r="J55" s="3455" t="s">
        <v>3575</v>
      </c>
      <c r="K55" s="3454" t="s">
        <v>3672</v>
      </c>
      <c r="L55" s="3454" t="s">
        <v>3673</v>
      </c>
      <c r="M55" s="3454"/>
      <c r="N55" s="3473" t="s">
        <v>3470</v>
      </c>
      <c r="O55" s="3458">
        <v>8.5</v>
      </c>
      <c r="P55" s="3452" t="s">
        <v>3674</v>
      </c>
      <c r="Q55" s="3459">
        <f t="shared" si="13"/>
        <v>233985.1329365079</v>
      </c>
      <c r="R55" s="3459">
        <f t="shared" si="19"/>
        <v>11699.256646825395</v>
      </c>
      <c r="S55" s="3459">
        <f t="shared" si="18"/>
        <v>245684.38958333331</v>
      </c>
      <c r="T55" s="3454"/>
      <c r="U55" s="3454"/>
      <c r="V55" s="3460"/>
      <c r="W55" s="3459">
        <v>33</v>
      </c>
      <c r="X55" s="3459">
        <f t="shared" si="5"/>
        <v>29583.877358490565</v>
      </c>
      <c r="Y55" s="3461" t="s">
        <v>3472</v>
      </c>
      <c r="Z55" s="3459">
        <f t="shared" si="6"/>
        <v>1775.0326415094351</v>
      </c>
      <c r="AA55" s="3459">
        <f t="shared" si="20"/>
        <v>31358.91</v>
      </c>
      <c r="AB55" s="3462" t="s">
        <v>3473</v>
      </c>
      <c r="AC55" s="3484"/>
    </row>
    <row r="56" spans="1:29" s="3467" customFormat="1" ht="13.5" customHeight="1">
      <c r="A56" s="4035"/>
      <c r="B56" s="3449" t="s">
        <v>3675</v>
      </c>
      <c r="C56" s="3450" t="s">
        <v>3675</v>
      </c>
      <c r="D56" s="3450">
        <v>20</v>
      </c>
      <c r="E56" s="3451" t="s">
        <v>3678</v>
      </c>
      <c r="F56" s="4065"/>
      <c r="G56" s="3453">
        <v>950.27</v>
      </c>
      <c r="H56" s="3454" t="s">
        <v>3671</v>
      </c>
      <c r="I56" s="3455" t="s">
        <v>3575</v>
      </c>
      <c r="J56" s="3455" t="s">
        <v>3575</v>
      </c>
      <c r="K56" s="3454" t="s">
        <v>3672</v>
      </c>
      <c r="L56" s="3454" t="s">
        <v>3673</v>
      </c>
      <c r="M56" s="3454"/>
      <c r="N56" s="3473" t="s">
        <v>3470</v>
      </c>
      <c r="O56" s="3458">
        <v>8.5</v>
      </c>
      <c r="P56" s="3452" t="s">
        <v>3674</v>
      </c>
      <c r="Q56" s="3459">
        <f t="shared" si="13"/>
        <v>233985.1329365079</v>
      </c>
      <c r="R56" s="3459">
        <f t="shared" si="19"/>
        <v>11699.256646825395</v>
      </c>
      <c r="S56" s="3459">
        <f t="shared" si="18"/>
        <v>245684.38958333331</v>
      </c>
      <c r="T56" s="3454"/>
      <c r="U56" s="3454"/>
      <c r="V56" s="3460"/>
      <c r="W56" s="3459">
        <v>33</v>
      </c>
      <c r="X56" s="3459">
        <f t="shared" si="5"/>
        <v>29583.877358490565</v>
      </c>
      <c r="Y56" s="3461" t="s">
        <v>3472</v>
      </c>
      <c r="Z56" s="3459">
        <f t="shared" si="6"/>
        <v>1775.0326415094351</v>
      </c>
      <c r="AA56" s="3459">
        <f t="shared" si="20"/>
        <v>31358.91</v>
      </c>
      <c r="AB56" s="3462" t="s">
        <v>3473</v>
      </c>
      <c r="AC56" s="3484"/>
    </row>
    <row r="57" spans="1:29" s="3467" customFormat="1" ht="15.75" customHeight="1">
      <c r="A57" s="4035"/>
      <c r="B57" s="3450" t="s">
        <v>3679</v>
      </c>
      <c r="C57" s="3450" t="s">
        <v>3679</v>
      </c>
      <c r="D57" s="3450">
        <v>12</v>
      </c>
      <c r="E57" s="3450" t="s">
        <v>3680</v>
      </c>
      <c r="F57" s="3450" t="s">
        <v>3681</v>
      </c>
      <c r="G57" s="3450">
        <v>544.16</v>
      </c>
      <c r="H57" s="3450" t="s">
        <v>3682</v>
      </c>
      <c r="I57" s="3450" t="s">
        <v>3683</v>
      </c>
      <c r="J57" s="3450">
        <v>2</v>
      </c>
      <c r="K57" s="3454" t="s">
        <v>3684</v>
      </c>
      <c r="L57" s="3454" t="s">
        <v>3685</v>
      </c>
      <c r="M57" s="3454"/>
      <c r="N57" s="3473" t="s">
        <v>3517</v>
      </c>
      <c r="O57" s="3474">
        <f>288.95*12/365</f>
        <v>9.4997260273972586</v>
      </c>
      <c r="P57" s="3452" t="s">
        <v>3674</v>
      </c>
      <c r="Q57" s="3459">
        <f t="shared" si="13"/>
        <v>149747.64952380946</v>
      </c>
      <c r="R57" s="3459">
        <f t="shared" si="19"/>
        <v>7487.3824761904734</v>
      </c>
      <c r="S57" s="3459">
        <f>$G$57*O57*365/12</f>
        <v>157235.03199999995</v>
      </c>
      <c r="T57" s="3454"/>
      <c r="U57" s="3454"/>
      <c r="V57" s="3460"/>
      <c r="W57" s="3459">
        <v>36.5</v>
      </c>
      <c r="X57" s="3459">
        <f t="shared" si="5"/>
        <v>18737.584905660377</v>
      </c>
      <c r="Y57" s="3461" t="s">
        <v>3472</v>
      </c>
      <c r="Z57" s="3459">
        <f t="shared" si="6"/>
        <v>1124.2550943396236</v>
      </c>
      <c r="AA57" s="3459">
        <f>$G$57*W57</f>
        <v>19861.84</v>
      </c>
      <c r="AB57" s="3462" t="s">
        <v>3473</v>
      </c>
      <c r="AC57" s="3463">
        <v>2</v>
      </c>
    </row>
    <row r="58" spans="1:29" s="3467" customFormat="1" ht="15.75" customHeight="1">
      <c r="A58" s="3443"/>
      <c r="B58" s="3485"/>
      <c r="C58" s="3485"/>
      <c r="D58" s="3485"/>
      <c r="E58" s="3448"/>
      <c r="F58" s="3486"/>
      <c r="G58" s="3487">
        <f>SUM(G3:G57)</f>
        <v>35697.89</v>
      </c>
      <c r="H58" s="3488"/>
      <c r="I58" s="3489"/>
      <c r="J58" s="3490"/>
      <c r="K58" s="3488"/>
      <c r="L58" s="3488"/>
      <c r="M58" s="3488"/>
      <c r="N58" s="3443"/>
      <c r="O58" s="3491">
        <f>Q58/G58/30</f>
        <v>8.7777258540443324</v>
      </c>
      <c r="P58" s="3443"/>
      <c r="Q58" s="3492">
        <f>SUM(Q3:Q57)</f>
        <v>9400388.7596349195</v>
      </c>
      <c r="R58" s="3492">
        <f t="shared" si="19"/>
        <v>470019.43798174598</v>
      </c>
      <c r="S58" s="3492"/>
      <c r="T58" s="3488"/>
      <c r="U58" s="3488"/>
      <c r="V58" s="3493"/>
      <c r="W58" s="3492"/>
      <c r="X58" s="3492"/>
      <c r="Y58" s="3494"/>
      <c r="Z58" s="3492"/>
      <c r="AA58" s="3492"/>
      <c r="AB58" s="3495"/>
      <c r="AC58" s="3496"/>
    </row>
    <row r="59" spans="1:29" s="3509" customFormat="1" ht="12.95" customHeight="1">
      <c r="A59" s="3497"/>
      <c r="B59" s="3497"/>
      <c r="C59" s="3497"/>
      <c r="D59" s="3498"/>
      <c r="E59" s="3498"/>
      <c r="F59" s="3499"/>
      <c r="G59" s="3500"/>
      <c r="H59" s="3501"/>
      <c r="I59" s="3502"/>
      <c r="J59" s="3503"/>
      <c r="K59" s="3497"/>
      <c r="L59" s="3502"/>
      <c r="M59" s="3502"/>
      <c r="N59" s="3502"/>
      <c r="O59" s="3504"/>
      <c r="P59" s="3505"/>
      <c r="Q59" s="3506"/>
      <c r="R59" s="3506"/>
      <c r="S59" s="3506"/>
      <c r="T59" s="3506"/>
      <c r="U59" s="3500"/>
      <c r="V59" s="3500"/>
      <c r="W59" s="3500"/>
      <c r="X59" s="3507"/>
      <c r="Y59" s="3506"/>
      <c r="Z59" s="3507"/>
      <c r="AA59" s="3506"/>
      <c r="AB59" s="3506"/>
      <c r="AC59" s="3508"/>
    </row>
    <row r="60" spans="1:29" s="3443" customFormat="1" ht="16.5" customHeight="1">
      <c r="A60" s="4067" t="s">
        <v>3686</v>
      </c>
      <c r="B60" s="4067"/>
      <c r="C60" s="4067"/>
      <c r="D60" s="4067"/>
      <c r="E60" s="4067"/>
      <c r="F60" s="4067"/>
      <c r="G60" s="4067"/>
      <c r="H60" s="4067"/>
      <c r="I60" s="4067"/>
      <c r="J60" s="4067"/>
      <c r="K60" s="4067"/>
      <c r="L60" s="4067"/>
      <c r="M60" s="4067"/>
      <c r="N60" s="4067"/>
      <c r="O60" s="4067"/>
      <c r="P60" s="4067"/>
      <c r="Q60" s="4067"/>
      <c r="R60" s="4067"/>
      <c r="S60" s="4067"/>
      <c r="T60" s="4067"/>
      <c r="U60" s="4067"/>
      <c r="V60" s="4067"/>
      <c r="W60" s="4067"/>
      <c r="X60" s="4067"/>
      <c r="Y60" s="4067"/>
      <c r="Z60" s="4067"/>
      <c r="AA60" s="4067"/>
      <c r="AB60" s="4067"/>
      <c r="AC60" s="4067"/>
    </row>
    <row r="61" spans="1:29" s="3443" customFormat="1" ht="30" customHeight="1">
      <c r="A61" s="3510" t="s">
        <v>3432</v>
      </c>
      <c r="B61" s="3444" t="s">
        <v>3433</v>
      </c>
      <c r="C61" s="3444" t="s">
        <v>3434</v>
      </c>
      <c r="D61" s="3511" t="s">
        <v>3687</v>
      </c>
      <c r="E61" s="3444" t="s">
        <v>3688</v>
      </c>
      <c r="F61" s="3510" t="s">
        <v>3437</v>
      </c>
      <c r="G61" s="3444" t="s">
        <v>3689</v>
      </c>
      <c r="H61" s="3510" t="s">
        <v>3439</v>
      </c>
      <c r="I61" s="3510" t="s">
        <v>3690</v>
      </c>
      <c r="J61" s="3512" t="s">
        <v>3441</v>
      </c>
      <c r="K61" s="3510" t="s">
        <v>3442</v>
      </c>
      <c r="L61" s="3510" t="s">
        <v>3443</v>
      </c>
      <c r="M61" s="3510"/>
      <c r="N61" s="3510" t="s">
        <v>3444</v>
      </c>
      <c r="O61" s="3444" t="s">
        <v>3445</v>
      </c>
      <c r="P61" s="3510" t="s">
        <v>3446</v>
      </c>
      <c r="Q61" s="3444" t="s">
        <v>3691</v>
      </c>
      <c r="R61" s="3444" t="s">
        <v>3448</v>
      </c>
      <c r="S61" s="3444" t="s">
        <v>3449</v>
      </c>
      <c r="T61" s="3510" t="s">
        <v>3450</v>
      </c>
      <c r="U61" s="3510" t="s">
        <v>3451</v>
      </c>
      <c r="V61" s="3510" t="s">
        <v>3452</v>
      </c>
      <c r="W61" s="3444" t="s">
        <v>3453</v>
      </c>
      <c r="X61" s="3444" t="s">
        <v>3454</v>
      </c>
      <c r="Y61" s="3444" t="s">
        <v>3455</v>
      </c>
      <c r="Z61" s="3444" t="s">
        <v>3456</v>
      </c>
      <c r="AA61" s="3444" t="s">
        <v>3457</v>
      </c>
      <c r="AB61" s="3510" t="s">
        <v>3458</v>
      </c>
      <c r="AC61" s="3513" t="s">
        <v>3692</v>
      </c>
    </row>
    <row r="62" spans="1:29" s="3443" customFormat="1" ht="15.75" customHeight="1">
      <c r="A62" s="4064" t="s">
        <v>3693</v>
      </c>
      <c r="B62" s="4064" t="s">
        <v>3694</v>
      </c>
      <c r="C62" s="4064" t="s">
        <v>3694</v>
      </c>
      <c r="D62" s="4068" t="s">
        <v>3502</v>
      </c>
      <c r="E62" s="4071" t="s">
        <v>3695</v>
      </c>
      <c r="F62" s="4073" t="s">
        <v>3696</v>
      </c>
      <c r="G62" s="4074">
        <v>316</v>
      </c>
      <c r="H62" s="4050" t="s">
        <v>3593</v>
      </c>
      <c r="I62" s="4035" t="s">
        <v>3697</v>
      </c>
      <c r="J62" s="4052">
        <v>4</v>
      </c>
      <c r="K62" s="3454" t="s">
        <v>3698</v>
      </c>
      <c r="L62" s="3454" t="s">
        <v>3699</v>
      </c>
      <c r="M62" s="3454"/>
      <c r="N62" s="4076" t="s">
        <v>3700</v>
      </c>
      <c r="O62" s="3458">
        <f>280*12/365</f>
        <v>9.205479452054794</v>
      </c>
      <c r="P62" s="3452" t="s">
        <v>3471</v>
      </c>
      <c r="Q62" s="3459">
        <f>S62/1.05</f>
        <v>84266.666666666642</v>
      </c>
      <c r="R62" s="3459">
        <f>S62-Q62</f>
        <v>4213.333333333343</v>
      </c>
      <c r="S62" s="3459">
        <f>$G$62*O62*365/12</f>
        <v>88479.999999999985</v>
      </c>
      <c r="T62" s="3514"/>
      <c r="U62" s="3514"/>
      <c r="V62" s="3514"/>
      <c r="W62" s="3459">
        <v>36.5</v>
      </c>
      <c r="X62" s="3459">
        <f>AA62/1.06</f>
        <v>10881.132075471698</v>
      </c>
      <c r="Y62" s="3515" t="s">
        <v>3472</v>
      </c>
      <c r="Z62" s="3459">
        <f>AA62-X62</f>
        <v>652.86792452830196</v>
      </c>
      <c r="AA62" s="3459">
        <f>$G$62*W62</f>
        <v>11534</v>
      </c>
      <c r="AB62" s="4077" t="s">
        <v>3473</v>
      </c>
      <c r="AC62" s="4077" t="s">
        <v>3473</v>
      </c>
    </row>
    <row r="63" spans="1:29" s="3443" customFormat="1" ht="15.75" customHeight="1">
      <c r="A63" s="4066"/>
      <c r="B63" s="4066"/>
      <c r="C63" s="4066"/>
      <c r="D63" s="4069"/>
      <c r="E63" s="4072"/>
      <c r="F63" s="4073"/>
      <c r="G63" s="4074"/>
      <c r="H63" s="4050"/>
      <c r="I63" s="4035"/>
      <c r="J63" s="4075"/>
      <c r="K63" s="3454" t="s">
        <v>3701</v>
      </c>
      <c r="L63" s="3454" t="s">
        <v>3702</v>
      </c>
      <c r="M63" s="3454"/>
      <c r="N63" s="4076"/>
      <c r="O63" s="3458">
        <f>296.8*12/365</f>
        <v>9.7578082191780826</v>
      </c>
      <c r="P63" s="3452" t="s">
        <v>3471</v>
      </c>
      <c r="Q63" s="3459">
        <f t="shared" ref="Q63:Q69" si="21">S63/1.05</f>
        <v>89322.666666666672</v>
      </c>
      <c r="R63" s="3459">
        <f t="shared" ref="R63:R69" si="22">S63-Q63</f>
        <v>4466.1333333333314</v>
      </c>
      <c r="S63" s="3459">
        <f t="shared" ref="S63:S64" si="23">$G$62*O63*365/12</f>
        <v>93788.800000000003</v>
      </c>
      <c r="T63" s="3514"/>
      <c r="U63" s="3514"/>
      <c r="V63" s="3514"/>
      <c r="W63" s="3459">
        <v>36.5</v>
      </c>
      <c r="X63" s="3459">
        <f t="shared" ref="X63:X64" si="24">AA63/1.06</f>
        <v>10881.132075471698</v>
      </c>
      <c r="Y63" s="3515" t="s">
        <v>3472</v>
      </c>
      <c r="Z63" s="3459">
        <f t="shared" ref="Z63:Z64" si="25">AA63-X63</f>
        <v>652.86792452830196</v>
      </c>
      <c r="AA63" s="3459">
        <f t="shared" ref="AA63:AA64" si="26">$G$62*W63</f>
        <v>11534</v>
      </c>
      <c r="AB63" s="4077"/>
      <c r="AC63" s="4077"/>
    </row>
    <row r="64" spans="1:29" s="3443" customFormat="1" ht="15.75" customHeight="1">
      <c r="A64" s="4066"/>
      <c r="B64" s="4066"/>
      <c r="C64" s="4066"/>
      <c r="D64" s="4070"/>
      <c r="E64" s="4072"/>
      <c r="F64" s="4073"/>
      <c r="G64" s="4074"/>
      <c r="H64" s="4050"/>
      <c r="I64" s="4035"/>
      <c r="J64" s="4053"/>
      <c r="K64" s="3454" t="s">
        <v>3703</v>
      </c>
      <c r="L64" s="3454" t="s">
        <v>3704</v>
      </c>
      <c r="M64" s="3454"/>
      <c r="N64" s="4076"/>
      <c r="O64" s="3458">
        <f>314.61*12/365</f>
        <v>10.343342465753425</v>
      </c>
      <c r="P64" s="3452" t="s">
        <v>3471</v>
      </c>
      <c r="Q64" s="3459">
        <f t="shared" si="21"/>
        <v>94682.628571428577</v>
      </c>
      <c r="R64" s="3459">
        <f t="shared" si="22"/>
        <v>4734.1314285714325</v>
      </c>
      <c r="S64" s="3459">
        <f t="shared" si="23"/>
        <v>99416.760000000009</v>
      </c>
      <c r="T64" s="3514"/>
      <c r="U64" s="3514"/>
      <c r="V64" s="3514"/>
      <c r="W64" s="3459">
        <v>36.5</v>
      </c>
      <c r="X64" s="3459">
        <f t="shared" si="24"/>
        <v>10881.132075471698</v>
      </c>
      <c r="Y64" s="3515" t="s">
        <v>3472</v>
      </c>
      <c r="Z64" s="3459">
        <f t="shared" si="25"/>
        <v>652.86792452830196</v>
      </c>
      <c r="AA64" s="3459">
        <f t="shared" si="26"/>
        <v>11534</v>
      </c>
      <c r="AB64" s="4077"/>
      <c r="AC64" s="4077"/>
    </row>
    <row r="65" spans="1:29" s="3443" customFormat="1" ht="15.75" customHeight="1">
      <c r="A65" s="4066"/>
      <c r="B65" s="4066"/>
      <c r="C65" s="4066"/>
      <c r="D65" s="4068" t="s">
        <v>3705</v>
      </c>
      <c r="E65" s="4071" t="s">
        <v>3706</v>
      </c>
      <c r="F65" s="4064" t="s">
        <v>3696</v>
      </c>
      <c r="G65" s="4048">
        <v>160.19999999999999</v>
      </c>
      <c r="H65" s="4054" t="s">
        <v>3544</v>
      </c>
      <c r="I65" s="4064" t="s">
        <v>3707</v>
      </c>
      <c r="J65" s="4052">
        <v>3</v>
      </c>
      <c r="K65" s="3454" t="s">
        <v>3513</v>
      </c>
      <c r="L65" s="3454" t="s">
        <v>3596</v>
      </c>
      <c r="M65" s="3454"/>
      <c r="N65" s="4076" t="s">
        <v>3700</v>
      </c>
      <c r="O65" s="3458">
        <f>253*12/365</f>
        <v>8.3178082191780813</v>
      </c>
      <c r="P65" s="3516" t="s">
        <v>3471</v>
      </c>
      <c r="Q65" s="3459">
        <f t="shared" si="21"/>
        <v>38600.57142857142</v>
      </c>
      <c r="R65" s="3459">
        <f t="shared" si="22"/>
        <v>1930.028571428571</v>
      </c>
      <c r="S65" s="3459">
        <f>$G$65*O65*365/12</f>
        <v>40530.599999999991</v>
      </c>
      <c r="T65" s="3514"/>
      <c r="U65" s="3514"/>
      <c r="V65" s="3514"/>
      <c r="W65" s="3459">
        <v>36.5</v>
      </c>
      <c r="X65" s="3459">
        <f>AA65/1.06</f>
        <v>5516.3207547169804</v>
      </c>
      <c r="Y65" s="3515" t="s">
        <v>3472</v>
      </c>
      <c r="Z65" s="3459">
        <f>AA65-X65</f>
        <v>330.97924528301883</v>
      </c>
      <c r="AA65" s="3459">
        <f>$G$65*W65</f>
        <v>5847.2999999999993</v>
      </c>
      <c r="AB65" s="4077" t="s">
        <v>3473</v>
      </c>
      <c r="AC65" s="4079">
        <v>2</v>
      </c>
    </row>
    <row r="66" spans="1:29" s="3443" customFormat="1" ht="15.75" customHeight="1">
      <c r="A66" s="4066"/>
      <c r="B66" s="4066"/>
      <c r="C66" s="4066"/>
      <c r="D66" s="4069"/>
      <c r="E66" s="4072"/>
      <c r="F66" s="4066"/>
      <c r="G66" s="4082"/>
      <c r="H66" s="4083"/>
      <c r="I66" s="4066"/>
      <c r="J66" s="4075"/>
      <c r="K66" s="3454" t="s">
        <v>3708</v>
      </c>
      <c r="L66" s="3454" t="s">
        <v>3709</v>
      </c>
      <c r="M66" s="3454"/>
      <c r="N66" s="4076"/>
      <c r="O66" s="3458">
        <f>268*12/365</f>
        <v>8.8109589041095884</v>
      </c>
      <c r="P66" s="3516" t="s">
        <v>3471</v>
      </c>
      <c r="Q66" s="3459">
        <f t="shared" si="21"/>
        <v>40889.142857142848</v>
      </c>
      <c r="R66" s="3459">
        <f t="shared" si="22"/>
        <v>2044.4571428571435</v>
      </c>
      <c r="S66" s="3459">
        <f t="shared" ref="S66:S67" si="27">$G$65*O66*365/12</f>
        <v>42933.599999999991</v>
      </c>
      <c r="T66" s="3514"/>
      <c r="U66" s="3514"/>
      <c r="V66" s="3514"/>
      <c r="W66" s="3459">
        <v>36.5</v>
      </c>
      <c r="X66" s="3459">
        <f t="shared" ref="X66:X69" si="28">AA66/1.06</f>
        <v>5516.3207547169804</v>
      </c>
      <c r="Y66" s="3515" t="s">
        <v>3472</v>
      </c>
      <c r="Z66" s="3459">
        <f t="shared" ref="Z66:Z69" si="29">AA66-X66</f>
        <v>330.97924528301883</v>
      </c>
      <c r="AA66" s="3459">
        <f t="shared" ref="AA66:AA67" si="30">$G$65*W66</f>
        <v>5847.2999999999993</v>
      </c>
      <c r="AB66" s="4077"/>
      <c r="AC66" s="4079"/>
    </row>
    <row r="67" spans="1:29" s="3443" customFormat="1" ht="15.75" customHeight="1">
      <c r="A67" s="4066"/>
      <c r="B67" s="4066"/>
      <c r="C67" s="4066"/>
      <c r="D67" s="4070"/>
      <c r="E67" s="4078"/>
      <c r="F67" s="4065"/>
      <c r="G67" s="4049"/>
      <c r="H67" s="4055"/>
      <c r="I67" s="4065"/>
      <c r="J67" s="4053"/>
      <c r="K67" s="3454" t="s">
        <v>3710</v>
      </c>
      <c r="L67" s="3454" t="s">
        <v>3711</v>
      </c>
      <c r="M67" s="3454"/>
      <c r="N67" s="4076"/>
      <c r="O67" s="3458">
        <f>285*12/365</f>
        <v>9.3698630136986303</v>
      </c>
      <c r="P67" s="3516" t="s">
        <v>3471</v>
      </c>
      <c r="Q67" s="3459">
        <f t="shared" si="21"/>
        <v>43482.857142857138</v>
      </c>
      <c r="R67" s="3459">
        <f t="shared" si="22"/>
        <v>2174.1428571428623</v>
      </c>
      <c r="S67" s="3459">
        <f t="shared" si="27"/>
        <v>45657</v>
      </c>
      <c r="T67" s="3514"/>
      <c r="U67" s="3514"/>
      <c r="V67" s="3514"/>
      <c r="W67" s="3459">
        <v>36.5</v>
      </c>
      <c r="X67" s="3459">
        <f t="shared" si="28"/>
        <v>5516.3207547169804</v>
      </c>
      <c r="Y67" s="3515" t="s">
        <v>3472</v>
      </c>
      <c r="Z67" s="3459">
        <f t="shared" si="29"/>
        <v>330.97924528301883</v>
      </c>
      <c r="AA67" s="3459">
        <f t="shared" si="30"/>
        <v>5847.2999999999993</v>
      </c>
      <c r="AB67" s="4077"/>
      <c r="AC67" s="4079"/>
    </row>
    <row r="68" spans="1:29" s="3443" customFormat="1" ht="15.75" customHeight="1">
      <c r="A68" s="4066"/>
      <c r="B68" s="4066"/>
      <c r="C68" s="4066"/>
      <c r="D68" s="4068" t="s">
        <v>3712</v>
      </c>
      <c r="E68" s="4071"/>
      <c r="F68" s="4080"/>
      <c r="G68" s="4048">
        <v>193.14</v>
      </c>
      <c r="H68" s="4054"/>
      <c r="I68" s="4064"/>
      <c r="J68" s="4052"/>
      <c r="K68" s="3454"/>
      <c r="L68" s="3454"/>
      <c r="M68" s="3576"/>
      <c r="N68" s="4060"/>
      <c r="O68" s="3458"/>
      <c r="P68" s="3516" t="s">
        <v>3471</v>
      </c>
      <c r="Q68" s="3459">
        <f t="shared" si="21"/>
        <v>0</v>
      </c>
      <c r="R68" s="3459">
        <f t="shared" si="22"/>
        <v>0</v>
      </c>
      <c r="S68" s="3459">
        <f>$G$68*O68*365/12</f>
        <v>0</v>
      </c>
      <c r="T68" s="3514"/>
      <c r="U68" s="3514"/>
      <c r="V68" s="3514"/>
      <c r="W68" s="3459"/>
      <c r="X68" s="3459">
        <f t="shared" si="28"/>
        <v>0</v>
      </c>
      <c r="Y68" s="3515" t="s">
        <v>3472</v>
      </c>
      <c r="Z68" s="3459">
        <f t="shared" si="29"/>
        <v>0</v>
      </c>
      <c r="AA68" s="3459">
        <f>$G$68*W68</f>
        <v>0</v>
      </c>
      <c r="AB68" s="3517"/>
      <c r="AC68" s="4084"/>
    </row>
    <row r="69" spans="1:29" s="3443" customFormat="1" ht="15.75" customHeight="1">
      <c r="A69" s="4066"/>
      <c r="B69" s="4066"/>
      <c r="C69" s="4066"/>
      <c r="D69" s="4070"/>
      <c r="E69" s="4078"/>
      <c r="F69" s="4081"/>
      <c r="G69" s="4049"/>
      <c r="H69" s="4055"/>
      <c r="I69" s="4065"/>
      <c r="J69" s="4053"/>
      <c r="K69" s="3454"/>
      <c r="L69" s="3454"/>
      <c r="M69" s="3577"/>
      <c r="N69" s="4061"/>
      <c r="O69" s="3458"/>
      <c r="P69" s="3516" t="s">
        <v>3471</v>
      </c>
      <c r="Q69" s="3459">
        <f t="shared" si="21"/>
        <v>0</v>
      </c>
      <c r="R69" s="3459">
        <f t="shared" si="22"/>
        <v>0</v>
      </c>
      <c r="S69" s="3459">
        <f>$G$68*O69*365/12</f>
        <v>0</v>
      </c>
      <c r="T69" s="3514"/>
      <c r="U69" s="3514"/>
      <c r="V69" s="3514"/>
      <c r="W69" s="3459"/>
      <c r="X69" s="3459">
        <f t="shared" si="28"/>
        <v>0</v>
      </c>
      <c r="Y69" s="3515" t="s">
        <v>3472</v>
      </c>
      <c r="Z69" s="3459">
        <f t="shared" si="29"/>
        <v>0</v>
      </c>
      <c r="AA69" s="3459">
        <f>$G$68*W69</f>
        <v>0</v>
      </c>
      <c r="AB69" s="3517"/>
      <c r="AC69" s="4085"/>
    </row>
    <row r="70" spans="1:29" s="3443" customFormat="1" ht="15.75" customHeight="1">
      <c r="A70" s="4066"/>
      <c r="B70" s="4066"/>
      <c r="C70" s="4066"/>
      <c r="D70" s="4068" t="s">
        <v>3713</v>
      </c>
      <c r="E70" s="4086" t="s">
        <v>3714</v>
      </c>
      <c r="F70" s="4073" t="s">
        <v>3715</v>
      </c>
      <c r="G70" s="4074">
        <v>86</v>
      </c>
      <c r="H70" s="4050" t="s">
        <v>3521</v>
      </c>
      <c r="I70" s="4035" t="s">
        <v>3716</v>
      </c>
      <c r="J70" s="4052">
        <v>5</v>
      </c>
      <c r="K70" s="3454" t="s">
        <v>3717</v>
      </c>
      <c r="L70" s="3454" t="s">
        <v>3718</v>
      </c>
      <c r="M70" s="3454"/>
      <c r="N70" s="4076" t="s">
        <v>3719</v>
      </c>
      <c r="O70" s="3458">
        <v>11</v>
      </c>
      <c r="P70" s="3452" t="s">
        <v>3472</v>
      </c>
      <c r="Q70" s="3459">
        <f>S70/1.05</f>
        <v>27403.971428571425</v>
      </c>
      <c r="R70" s="3459">
        <f>S70-Q70</f>
        <v>1370.1985714285729</v>
      </c>
      <c r="S70" s="3459">
        <v>28774.17</v>
      </c>
      <c r="T70" s="3514"/>
      <c r="U70" s="3514"/>
      <c r="V70" s="3514"/>
      <c r="W70" s="3459">
        <v>36.5</v>
      </c>
      <c r="X70" s="4046">
        <f>AA70/1.06</f>
        <v>2961.3207547169809</v>
      </c>
      <c r="Y70" s="3515" t="s">
        <v>3472</v>
      </c>
      <c r="Z70" s="4046">
        <f>AA70-X70</f>
        <v>177.6792452830191</v>
      </c>
      <c r="AA70" s="4046">
        <v>3139</v>
      </c>
      <c r="AB70" s="4077" t="s">
        <v>3473</v>
      </c>
      <c r="AC70" s="4084" t="s">
        <v>3473</v>
      </c>
    </row>
    <row r="71" spans="1:29" s="3443" customFormat="1" ht="15.75" customHeight="1">
      <c r="A71" s="4066"/>
      <c r="B71" s="4066"/>
      <c r="C71" s="4066"/>
      <c r="D71" s="4070"/>
      <c r="E71" s="4086"/>
      <c r="F71" s="4073"/>
      <c r="G71" s="4074"/>
      <c r="H71" s="4050"/>
      <c r="I71" s="4035"/>
      <c r="J71" s="4053"/>
      <c r="K71" s="3454" t="s">
        <v>3720</v>
      </c>
      <c r="L71" s="3454" t="s">
        <v>3721</v>
      </c>
      <c r="M71" s="3454"/>
      <c r="N71" s="4076"/>
      <c r="O71" s="3458">
        <v>14</v>
      </c>
      <c r="P71" s="3452" t="s">
        <v>3472</v>
      </c>
      <c r="Q71" s="3459">
        <f>S71/1.05</f>
        <v>34877.780952380948</v>
      </c>
      <c r="R71" s="3459">
        <f>S71-Q71</f>
        <v>1743.88904761905</v>
      </c>
      <c r="S71" s="3459">
        <v>36621.67</v>
      </c>
      <c r="T71" s="3514"/>
      <c r="U71" s="3514"/>
      <c r="V71" s="3514"/>
      <c r="W71" s="3459">
        <v>36.5</v>
      </c>
      <c r="X71" s="4047"/>
      <c r="Y71" s="3515" t="s">
        <v>3472</v>
      </c>
      <c r="Z71" s="4047"/>
      <c r="AA71" s="4047"/>
      <c r="AB71" s="4077"/>
      <c r="AC71" s="4085"/>
    </row>
    <row r="72" spans="1:29" s="3443" customFormat="1" ht="15.75" customHeight="1">
      <c r="A72" s="4066"/>
      <c r="B72" s="4066"/>
      <c r="C72" s="4066"/>
      <c r="D72" s="3450">
        <v>10</v>
      </c>
      <c r="E72" s="3450" t="s">
        <v>3722</v>
      </c>
      <c r="F72" s="3452" t="s">
        <v>3723</v>
      </c>
      <c r="G72" s="3453">
        <v>10</v>
      </c>
      <c r="H72" s="3454" t="s">
        <v>3724</v>
      </c>
      <c r="I72" s="3452" t="s">
        <v>3725</v>
      </c>
      <c r="J72" s="3456" t="s">
        <v>3726</v>
      </c>
      <c r="K72" s="3454" t="s">
        <v>3727</v>
      </c>
      <c r="L72" s="3454" t="s">
        <v>3728</v>
      </c>
      <c r="M72" s="3454"/>
      <c r="N72" s="3473" t="s">
        <v>3470</v>
      </c>
      <c r="O72" s="3458">
        <v>22.5</v>
      </c>
      <c r="P72" s="3452" t="s">
        <v>3729</v>
      </c>
      <c r="Q72" s="3459">
        <f>S72/1.05</f>
        <v>4560</v>
      </c>
      <c r="R72" s="3459">
        <f>S72-Q72</f>
        <v>228</v>
      </c>
      <c r="S72" s="3459">
        <v>4788</v>
      </c>
      <c r="T72" s="3514"/>
      <c r="U72" s="3514"/>
      <c r="V72" s="3452"/>
      <c r="W72" s="3459">
        <v>36.5</v>
      </c>
      <c r="X72" s="3459">
        <f>AA72/1.06</f>
        <v>344.33962264150944</v>
      </c>
      <c r="Y72" s="3515" t="s">
        <v>3471</v>
      </c>
      <c r="Z72" s="3459">
        <f>AA72-X72</f>
        <v>20.660377358490564</v>
      </c>
      <c r="AA72" s="3459">
        <v>365</v>
      </c>
      <c r="AB72" s="4077" t="s">
        <v>3473</v>
      </c>
      <c r="AC72" s="3463" t="s">
        <v>3575</v>
      </c>
    </row>
    <row r="73" spans="1:29" s="3497" customFormat="1" ht="15.75" customHeight="1">
      <c r="A73" s="4065"/>
      <c r="B73" s="4065"/>
      <c r="C73" s="4065"/>
      <c r="D73" s="3518">
        <v>11</v>
      </c>
      <c r="E73" s="3518" t="s">
        <v>3730</v>
      </c>
      <c r="F73" s="3469" t="s">
        <v>3731</v>
      </c>
      <c r="G73" s="3453">
        <v>30</v>
      </c>
      <c r="H73" s="3470">
        <v>44743</v>
      </c>
      <c r="I73" s="3469" t="s">
        <v>3732</v>
      </c>
      <c r="J73" s="3472">
        <v>1</v>
      </c>
      <c r="K73" s="3470" t="s">
        <v>3720</v>
      </c>
      <c r="L73" s="3470" t="s">
        <v>3733</v>
      </c>
      <c r="M73" s="3470"/>
      <c r="N73" s="3473" t="s">
        <v>3470</v>
      </c>
      <c r="O73" s="3458">
        <f>3000*12/365/30</f>
        <v>3.2876712328767121</v>
      </c>
      <c r="P73" s="3469" t="s">
        <v>3674</v>
      </c>
      <c r="Q73" s="3459">
        <f>S73/1.05</f>
        <v>2857.1428571428569</v>
      </c>
      <c r="R73" s="3459">
        <f>S73-Q73</f>
        <v>142.85714285714312</v>
      </c>
      <c r="S73" s="3459">
        <v>3000</v>
      </c>
      <c r="T73" s="3519"/>
      <c r="U73" s="3519"/>
      <c r="V73" s="3469"/>
      <c r="W73" s="3459">
        <v>36.5</v>
      </c>
      <c r="X73" s="3459">
        <f>AA73/1.06</f>
        <v>1033.0188679245282</v>
      </c>
      <c r="Y73" s="3520" t="s">
        <v>3472</v>
      </c>
      <c r="Z73" s="3459">
        <f>AA73-X73</f>
        <v>61.981132075471805</v>
      </c>
      <c r="AA73" s="3459">
        <v>1095</v>
      </c>
      <c r="AB73" s="4077"/>
      <c r="AC73" s="3463" t="s">
        <v>3575</v>
      </c>
    </row>
    <row r="74" spans="1:29" s="3443" customFormat="1" ht="15.75" customHeight="1">
      <c r="A74" s="3497"/>
      <c r="B74" s="3497"/>
      <c r="C74" s="3497"/>
      <c r="D74" s="3497"/>
      <c r="E74" s="3497"/>
      <c r="F74" s="3497"/>
      <c r="G74" s="3501"/>
      <c r="H74" s="3502"/>
      <c r="I74" s="3497"/>
      <c r="J74" s="3503"/>
      <c r="K74" s="3502"/>
      <c r="L74" s="3502"/>
      <c r="M74" s="3502"/>
      <c r="N74" s="3504"/>
      <c r="O74" s="3505"/>
      <c r="P74" s="3497"/>
      <c r="Q74" s="3506"/>
      <c r="R74" s="3506"/>
      <c r="S74" s="3506"/>
      <c r="T74" s="3500"/>
      <c r="U74" s="3500"/>
      <c r="V74" s="3497"/>
      <c r="W74" s="3507"/>
      <c r="X74" s="3506"/>
      <c r="Y74" s="3507"/>
      <c r="Z74" s="3506"/>
      <c r="AA74" s="3506"/>
      <c r="AB74" s="3500"/>
      <c r="AC74" s="3508"/>
    </row>
    <row r="75" spans="1:29" s="3443" customFormat="1" ht="15.75" customHeight="1">
      <c r="A75" s="3452" t="s">
        <v>3693</v>
      </c>
      <c r="B75" s="3452" t="s">
        <v>3734</v>
      </c>
      <c r="C75" s="3452" t="s">
        <v>3735</v>
      </c>
      <c r="D75" s="3464" t="s">
        <v>3618</v>
      </c>
      <c r="E75" s="3450" t="s">
        <v>3736</v>
      </c>
      <c r="F75" s="3452" t="s">
        <v>3696</v>
      </c>
      <c r="G75" s="3453">
        <v>965</v>
      </c>
      <c r="H75" s="3452" t="s">
        <v>3511</v>
      </c>
      <c r="I75" s="3452" t="s">
        <v>3536</v>
      </c>
      <c r="J75" s="3452" t="s">
        <v>3536</v>
      </c>
      <c r="K75" s="3452" t="s">
        <v>3511</v>
      </c>
      <c r="L75" s="3452" t="s">
        <v>3469</v>
      </c>
      <c r="M75" s="3452"/>
      <c r="N75" s="3457" t="s">
        <v>3719</v>
      </c>
      <c r="O75" s="3479" t="s">
        <v>3575</v>
      </c>
      <c r="P75" s="3469" t="s">
        <v>3674</v>
      </c>
      <c r="Q75" s="3459">
        <f t="shared" ref="Q75" si="31">S75/1.05</f>
        <v>23809.523809523809</v>
      </c>
      <c r="R75" s="3459">
        <f t="shared" ref="R75" si="32">Q75*0.05</f>
        <v>1190.4761904761906</v>
      </c>
      <c r="S75" s="3459">
        <v>25000</v>
      </c>
      <c r="T75" s="3514"/>
      <c r="U75" s="3514"/>
      <c r="V75" s="3452"/>
      <c r="W75" s="3515" t="s">
        <v>3536</v>
      </c>
      <c r="X75" s="3515" t="s">
        <v>3536</v>
      </c>
      <c r="Y75" s="3515" t="s">
        <v>3536</v>
      </c>
      <c r="Z75" s="3515" t="s">
        <v>3536</v>
      </c>
      <c r="AA75" s="3515" t="s">
        <v>3536</v>
      </c>
      <c r="AB75" s="3515" t="s">
        <v>3536</v>
      </c>
      <c r="AC75" s="3515" t="s">
        <v>3536</v>
      </c>
    </row>
    <row r="76" spans="1:29" s="3443" customFormat="1" ht="15.75" customHeight="1">
      <c r="A76" s="3452" t="s">
        <v>3693</v>
      </c>
      <c r="B76" s="3452" t="s">
        <v>3734</v>
      </c>
      <c r="C76" s="3452" t="s">
        <v>3735</v>
      </c>
      <c r="D76" s="3464" t="s">
        <v>3737</v>
      </c>
      <c r="E76" s="3450" t="s">
        <v>3738</v>
      </c>
      <c r="F76" s="3452"/>
      <c r="G76" s="3453">
        <v>1262.4000000000001</v>
      </c>
      <c r="H76" s="3452" t="s">
        <v>3739</v>
      </c>
      <c r="I76" s="3452" t="s">
        <v>3536</v>
      </c>
      <c r="J76" s="3452" t="s">
        <v>3536</v>
      </c>
      <c r="K76" s="3452" t="s">
        <v>3739</v>
      </c>
      <c r="L76" s="3452" t="s">
        <v>3740</v>
      </c>
      <c r="M76" s="3452"/>
      <c r="N76" s="3457" t="s">
        <v>3741</v>
      </c>
      <c r="O76" s="3479" t="s">
        <v>3575</v>
      </c>
      <c r="P76" s="3469" t="s">
        <v>3674</v>
      </c>
      <c r="Q76" s="3479" t="s">
        <v>3575</v>
      </c>
      <c r="R76" s="3479" t="s">
        <v>3575</v>
      </c>
      <c r="S76" s="3479" t="s">
        <v>3575</v>
      </c>
      <c r="T76" s="3514"/>
      <c r="U76" s="3514"/>
      <c r="V76" s="3452"/>
      <c r="W76" s="3459">
        <f>36.5*0.8</f>
        <v>29.200000000000003</v>
      </c>
      <c r="X76" s="3459">
        <f t="shared" ref="X76" si="33">AA76/1.06</f>
        <v>34775.547169811325</v>
      </c>
      <c r="Y76" s="3479" t="s">
        <v>3472</v>
      </c>
      <c r="Z76" s="3459">
        <f t="shared" ref="Z76" si="34">AA76-X76</f>
        <v>2086.5328301886839</v>
      </c>
      <c r="AA76" s="3459">
        <f t="shared" ref="AA76" si="35">G76*W76</f>
        <v>36862.080000000009</v>
      </c>
      <c r="AB76" s="3515" t="s">
        <v>3536</v>
      </c>
      <c r="AC76" s="3515" t="s">
        <v>3536</v>
      </c>
    </row>
    <row r="78" spans="1:29">
      <c r="G78" s="3524"/>
    </row>
    <row r="79" spans="1:29">
      <c r="G79" s="3524"/>
      <c r="H79" s="3524"/>
    </row>
    <row r="80" spans="1:29">
      <c r="G80" s="3527"/>
      <c r="H80" s="3528"/>
    </row>
    <row r="82" spans="7:7">
      <c r="G82" s="3524"/>
    </row>
  </sheetData>
  <autoFilter ref="A2:AC57"/>
  <mergeCells count="94">
    <mergeCell ref="AB72:AB73"/>
    <mergeCell ref="N70:N71"/>
    <mergeCell ref="X70:X71"/>
    <mergeCell ref="Z70:Z71"/>
    <mergeCell ref="AA70:AA71"/>
    <mergeCell ref="AB70:AB71"/>
    <mergeCell ref="AC70:AC71"/>
    <mergeCell ref="J68:J69"/>
    <mergeCell ref="N68:N69"/>
    <mergeCell ref="AC68:AC69"/>
    <mergeCell ref="D70:D71"/>
    <mergeCell ref="E70:E71"/>
    <mergeCell ref="F70:F71"/>
    <mergeCell ref="G70:G71"/>
    <mergeCell ref="H70:H71"/>
    <mergeCell ref="I70:I71"/>
    <mergeCell ref="J70:J71"/>
    <mergeCell ref="N65:N67"/>
    <mergeCell ref="AB65:AB67"/>
    <mergeCell ref="AC65:AC67"/>
    <mergeCell ref="D68:D69"/>
    <mergeCell ref="E68:E69"/>
    <mergeCell ref="F68:F69"/>
    <mergeCell ref="G68:G69"/>
    <mergeCell ref="H68:H69"/>
    <mergeCell ref="I68:I69"/>
    <mergeCell ref="F65:F67"/>
    <mergeCell ref="G65:G67"/>
    <mergeCell ref="H65:H67"/>
    <mergeCell ref="I65:I67"/>
    <mergeCell ref="J65:J67"/>
    <mergeCell ref="A60:AC60"/>
    <mergeCell ref="A62:A73"/>
    <mergeCell ref="B62:B73"/>
    <mergeCell ref="C62:C73"/>
    <mergeCell ref="D62:D64"/>
    <mergeCell ref="E62:E64"/>
    <mergeCell ref="F62:F64"/>
    <mergeCell ref="G62:G64"/>
    <mergeCell ref="H62:H64"/>
    <mergeCell ref="I62:I64"/>
    <mergeCell ref="J62:J64"/>
    <mergeCell ref="N62:N64"/>
    <mergeCell ref="AB62:AB64"/>
    <mergeCell ref="AC62:AC64"/>
    <mergeCell ref="D65:D67"/>
    <mergeCell ref="E65:E67"/>
    <mergeCell ref="F54:F56"/>
    <mergeCell ref="B44:B47"/>
    <mergeCell ref="C44:C47"/>
    <mergeCell ref="B48:B49"/>
    <mergeCell ref="C48:C49"/>
    <mergeCell ref="B50:B52"/>
    <mergeCell ref="C50:C52"/>
    <mergeCell ref="AA18:AA19"/>
    <mergeCell ref="B20:B21"/>
    <mergeCell ref="C20:C21"/>
    <mergeCell ref="B22:B24"/>
    <mergeCell ref="C22:C24"/>
    <mergeCell ref="R18:R19"/>
    <mergeCell ref="S18:S19"/>
    <mergeCell ref="W18:W19"/>
    <mergeCell ref="X18:X19"/>
    <mergeCell ref="Y18:Y19"/>
    <mergeCell ref="Z18:Z19"/>
    <mergeCell ref="K18:K19"/>
    <mergeCell ref="L18:L19"/>
    <mergeCell ref="N18:N19"/>
    <mergeCell ref="O18:O19"/>
    <mergeCell ref="P18:P19"/>
    <mergeCell ref="D14:D16"/>
    <mergeCell ref="E15:E16"/>
    <mergeCell ref="F15:F16"/>
    <mergeCell ref="Q18:Q19"/>
    <mergeCell ref="G15:G16"/>
    <mergeCell ref="H15:H16"/>
    <mergeCell ref="I15:I16"/>
    <mergeCell ref="J15:J16"/>
    <mergeCell ref="H18:H19"/>
    <mergeCell ref="I18:I19"/>
    <mergeCell ref="J18:J19"/>
    <mergeCell ref="A3:A57"/>
    <mergeCell ref="B25:B28"/>
    <mergeCell ref="C25:C28"/>
    <mergeCell ref="B30:B31"/>
    <mergeCell ref="C30:C31"/>
    <mergeCell ref="B14:B16"/>
    <mergeCell ref="C14:C16"/>
    <mergeCell ref="B32:B35"/>
    <mergeCell ref="C32:C35"/>
    <mergeCell ref="B36:B38"/>
    <mergeCell ref="C36:C38"/>
    <mergeCell ref="B41:B43"/>
    <mergeCell ref="C41:C43"/>
  </mergeCells>
  <phoneticPr fontId="134" type="noConversion"/>
  <pageMargins left="0.28000000000000003" right="0.69930555555555596" top="0.3" bottom="0.75" header="0.3" footer="0.3"/>
  <pageSetup paperSize="9" scale="26" orientation="landscape" horizontalDpi="300" verticalDpi="3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2"/>
  <sheetViews>
    <sheetView zoomScale="80" zoomScaleNormal="80" workbookViewId="0">
      <selection activeCell="D38" sqref="D38"/>
    </sheetView>
  </sheetViews>
  <sheetFormatPr defaultColWidth="9" defaultRowHeight="12.75"/>
  <cols>
    <col min="1" max="1" width="10.5" style="3529" customWidth="1"/>
    <col min="2" max="2" width="10.625" style="3529" customWidth="1"/>
    <col min="3" max="3" width="8.625" style="3529" customWidth="1"/>
    <col min="4" max="4" width="10.25" style="3529" customWidth="1"/>
    <col min="5" max="5" width="8.25" style="3529" customWidth="1"/>
    <col min="6" max="6" width="9" style="3529" customWidth="1"/>
    <col min="7" max="7" width="10.75" style="3529" customWidth="1"/>
    <col min="8" max="8" width="7.5" style="3529" customWidth="1"/>
    <col min="9" max="9" width="11.125" style="3529" customWidth="1"/>
    <col min="10" max="10" width="11.5" style="3529" customWidth="1"/>
    <col min="11" max="11" width="14.875" style="3529" customWidth="1"/>
    <col min="12" max="12" width="10.625" style="3529" customWidth="1"/>
    <col min="13" max="13" width="9.625" style="3529" customWidth="1"/>
    <col min="14" max="16" width="12.625" style="3529" customWidth="1"/>
    <col min="17" max="17" width="14.625" style="3529" bestFit="1" customWidth="1"/>
    <col min="18" max="16384" width="9" style="3529"/>
  </cols>
  <sheetData>
    <row r="1" spans="1:17" ht="18.75">
      <c r="A1" s="4090" t="s">
        <v>3742</v>
      </c>
      <c r="B1" s="4090"/>
      <c r="C1" s="4090"/>
      <c r="D1" s="4090"/>
      <c r="E1" s="4090"/>
      <c r="F1" s="4090"/>
      <c r="G1" s="4090"/>
      <c r="H1" s="4090"/>
      <c r="I1" s="4090"/>
      <c r="J1" s="4090"/>
      <c r="K1" s="4090"/>
      <c r="L1" s="4090"/>
      <c r="M1" s="4090"/>
      <c r="N1" s="4090"/>
      <c r="O1" s="4090"/>
      <c r="P1" s="4090"/>
      <c r="Q1" s="4090"/>
    </row>
    <row r="2" spans="1:17" ht="19.5" customHeight="1">
      <c r="A2" s="4090" t="s">
        <v>3743</v>
      </c>
      <c r="B2" s="4090"/>
      <c r="C2" s="4090"/>
      <c r="D2" s="4090"/>
      <c r="E2" s="4090"/>
      <c r="F2" s="4090"/>
      <c r="G2" s="4090"/>
      <c r="H2" s="4090"/>
      <c r="I2" s="4090"/>
      <c r="J2" s="4090"/>
      <c r="K2" s="4090"/>
      <c r="L2" s="4090"/>
      <c r="M2" s="4090"/>
      <c r="N2" s="4090"/>
      <c r="O2" s="4090"/>
      <c r="P2" s="4090"/>
      <c r="Q2" s="4090"/>
    </row>
    <row r="3" spans="1:17" ht="13.5" customHeight="1">
      <c r="A3" s="3530"/>
      <c r="B3" s="3530"/>
      <c r="C3" s="3530"/>
      <c r="D3" s="3530"/>
      <c r="E3" s="3530"/>
      <c r="F3" s="3530"/>
      <c r="G3" s="3530"/>
      <c r="H3" s="3530"/>
      <c r="I3" s="3530"/>
      <c r="J3" s="3530"/>
      <c r="K3" s="3530"/>
      <c r="L3" s="3530"/>
      <c r="M3" s="3530"/>
      <c r="N3" s="3530"/>
      <c r="O3" s="3530"/>
      <c r="P3" s="3530"/>
      <c r="Q3" s="3531">
        <v>45169</v>
      </c>
    </row>
    <row r="4" spans="1:17">
      <c r="A4" s="3532" t="s">
        <v>3744</v>
      </c>
      <c r="B4" s="3533" t="s">
        <v>3745</v>
      </c>
      <c r="C4" s="4091" t="s">
        <v>3746</v>
      </c>
      <c r="D4" s="4091"/>
      <c r="E4" s="4091"/>
      <c r="F4" s="4091"/>
      <c r="G4" s="4091" t="s">
        <v>3747</v>
      </c>
      <c r="H4" s="4091"/>
      <c r="I4" s="4091"/>
      <c r="J4" s="4091"/>
      <c r="K4" s="4091" t="s">
        <v>3748</v>
      </c>
      <c r="L4" s="4091"/>
      <c r="M4" s="4091"/>
      <c r="N4" s="3534" t="s">
        <v>3749</v>
      </c>
      <c r="O4" s="3535" t="s">
        <v>3750</v>
      </c>
      <c r="P4" s="3536" t="s">
        <v>3751</v>
      </c>
      <c r="Q4" s="3537" t="s">
        <v>3752</v>
      </c>
    </row>
    <row r="5" spans="1:17">
      <c r="A5" s="3538">
        <v>27</v>
      </c>
      <c r="B5" s="3539">
        <f>SUM(N5:Q5)</f>
        <v>1086.18</v>
      </c>
      <c r="C5" s="4087"/>
      <c r="D5" s="4088"/>
      <c r="E5" s="4088"/>
      <c r="F5" s="4089"/>
      <c r="G5" s="4087"/>
      <c r="H5" s="4088"/>
      <c r="I5" s="4088"/>
      <c r="J5" s="4089"/>
      <c r="K5" s="4087"/>
      <c r="L5" s="4088"/>
      <c r="M5" s="4088"/>
      <c r="N5" s="3540">
        <f t="shared" ref="N5:N10" si="0">1086.18-O5-P5-Q5</f>
        <v>0</v>
      </c>
      <c r="O5" s="3541"/>
      <c r="P5" s="3541"/>
      <c r="Q5" s="3541">
        <v>1086.18</v>
      </c>
    </row>
    <row r="6" spans="1:17">
      <c r="A6" s="3538">
        <v>26</v>
      </c>
      <c r="B6" s="3539">
        <f t="shared" ref="B6:B30" si="1">SUM(N6:Q6)</f>
        <v>1086.18</v>
      </c>
      <c r="C6" s="4087"/>
      <c r="D6" s="4088"/>
      <c r="E6" s="4088"/>
      <c r="F6" s="4089"/>
      <c r="G6" s="4087"/>
      <c r="H6" s="4088"/>
      <c r="I6" s="4088"/>
      <c r="J6" s="4089"/>
      <c r="K6" s="4087"/>
      <c r="L6" s="4088"/>
      <c r="M6" s="4088"/>
      <c r="N6" s="3540">
        <f t="shared" si="0"/>
        <v>0</v>
      </c>
      <c r="O6" s="3541"/>
      <c r="P6" s="3541"/>
      <c r="Q6" s="3541">
        <v>1086.18</v>
      </c>
    </row>
    <row r="7" spans="1:17">
      <c r="A7" s="3538">
        <v>25</v>
      </c>
      <c r="B7" s="3539">
        <f t="shared" si="1"/>
        <v>1086.18</v>
      </c>
      <c r="C7" s="4087"/>
      <c r="D7" s="4088"/>
      <c r="E7" s="4088"/>
      <c r="F7" s="4089"/>
      <c r="G7" s="4087"/>
      <c r="H7" s="4088"/>
      <c r="I7" s="4088"/>
      <c r="J7" s="4089"/>
      <c r="K7" s="4087"/>
      <c r="L7" s="4088"/>
      <c r="M7" s="4088"/>
      <c r="N7" s="3540">
        <f t="shared" si="0"/>
        <v>0</v>
      </c>
      <c r="O7" s="3541"/>
      <c r="P7" s="3541"/>
      <c r="Q7" s="3541">
        <v>1086.18</v>
      </c>
    </row>
    <row r="8" spans="1:17">
      <c r="A8" s="3538">
        <v>24</v>
      </c>
      <c r="B8" s="3539">
        <f t="shared" si="1"/>
        <v>1086.18</v>
      </c>
      <c r="C8" s="4092" t="s">
        <v>3753</v>
      </c>
      <c r="D8" s="4094"/>
      <c r="E8" s="4094"/>
      <c r="F8" s="4094"/>
      <c r="G8" s="4094"/>
      <c r="H8" s="4094"/>
      <c r="I8" s="4094"/>
      <c r="J8" s="4095"/>
      <c r="K8" s="4092" t="s">
        <v>3754</v>
      </c>
      <c r="L8" s="4093"/>
      <c r="M8" s="4093"/>
      <c r="N8" s="3540">
        <f>1086.18-O8-P8-Q8</f>
        <v>1086.18</v>
      </c>
      <c r="O8" s="3541"/>
      <c r="P8" s="3541"/>
      <c r="Q8" s="3541"/>
    </row>
    <row r="9" spans="1:17">
      <c r="A9" s="3538">
        <v>23</v>
      </c>
      <c r="B9" s="3539">
        <f t="shared" si="1"/>
        <v>1086.18</v>
      </c>
      <c r="C9" s="4092" t="s">
        <v>3755</v>
      </c>
      <c r="D9" s="4093"/>
      <c r="E9" s="4093"/>
      <c r="F9" s="4096"/>
      <c r="G9" s="4092" t="s">
        <v>3756</v>
      </c>
      <c r="H9" s="4093"/>
      <c r="I9" s="4093"/>
      <c r="J9" s="4096"/>
      <c r="K9" s="4092" t="s">
        <v>3757</v>
      </c>
      <c r="L9" s="4093"/>
      <c r="M9" s="4093"/>
      <c r="N9" s="3540">
        <f>1086.18-O9-P9-Q9</f>
        <v>1086.18</v>
      </c>
      <c r="O9" s="3541"/>
      <c r="P9" s="3541"/>
      <c r="Q9" s="3541"/>
    </row>
    <row r="10" spans="1:17">
      <c r="A10" s="3538">
        <v>22</v>
      </c>
      <c r="B10" s="3539">
        <f t="shared" si="1"/>
        <v>1086.18</v>
      </c>
      <c r="C10" s="4092" t="s">
        <v>3755</v>
      </c>
      <c r="D10" s="4093"/>
      <c r="E10" s="4093"/>
      <c r="F10" s="4093"/>
      <c r="G10" s="4093"/>
      <c r="H10" s="4093"/>
      <c r="I10" s="4093"/>
      <c r="J10" s="4093"/>
      <c r="K10" s="4093"/>
      <c r="L10" s="4093"/>
      <c r="M10" s="4093"/>
      <c r="N10" s="3540">
        <f t="shared" si="0"/>
        <v>1086.18</v>
      </c>
      <c r="O10" s="3541"/>
      <c r="P10" s="3541"/>
      <c r="Q10" s="3541"/>
    </row>
    <row r="11" spans="1:17">
      <c r="A11" s="3538">
        <v>21</v>
      </c>
      <c r="B11" s="3539">
        <f t="shared" si="1"/>
        <v>1086.18</v>
      </c>
      <c r="C11" s="4092" t="s">
        <v>3758</v>
      </c>
      <c r="D11" s="4093"/>
      <c r="E11" s="4093"/>
      <c r="F11" s="4093"/>
      <c r="G11" s="4093"/>
      <c r="H11" s="4093"/>
      <c r="I11" s="4093"/>
      <c r="J11" s="4093"/>
      <c r="K11" s="4093"/>
      <c r="L11" s="4093"/>
      <c r="M11" s="4093"/>
      <c r="N11" s="3540">
        <f>1086.18-O11-P11-Q11</f>
        <v>1086.18</v>
      </c>
      <c r="O11" s="3541"/>
      <c r="P11" s="3540"/>
      <c r="Q11" s="3541"/>
    </row>
    <row r="12" spans="1:17">
      <c r="A12" s="3538">
        <v>20</v>
      </c>
      <c r="B12" s="3539">
        <f t="shared" si="1"/>
        <v>1086.18</v>
      </c>
      <c r="C12" s="4092" t="s">
        <v>3759</v>
      </c>
      <c r="D12" s="4093"/>
      <c r="E12" s="4093"/>
      <c r="F12" s="4093"/>
      <c r="G12" s="4093"/>
      <c r="H12" s="4093"/>
      <c r="I12" s="4093"/>
      <c r="J12" s="4093"/>
      <c r="K12" s="4093"/>
      <c r="L12" s="4093"/>
      <c r="M12" s="4093"/>
      <c r="N12" s="3540">
        <f t="shared" ref="N12:N26" si="2">1086.18-O12-P12-Q12</f>
        <v>1086.18</v>
      </c>
      <c r="O12" s="3541"/>
      <c r="P12" s="3541"/>
      <c r="Q12" s="3541"/>
    </row>
    <row r="13" spans="1:17">
      <c r="A13" s="3538">
        <v>19</v>
      </c>
      <c r="B13" s="3539">
        <f t="shared" si="1"/>
        <v>1086.18</v>
      </c>
      <c r="C13" s="4092" t="s">
        <v>3760</v>
      </c>
      <c r="D13" s="4094"/>
      <c r="E13" s="4094"/>
      <c r="F13" s="4094"/>
      <c r="G13" s="4094"/>
      <c r="H13" s="4094"/>
      <c r="I13" s="4094"/>
      <c r="J13" s="4094"/>
      <c r="K13" s="4087"/>
      <c r="L13" s="4088"/>
      <c r="M13" s="4088"/>
      <c r="N13" s="3540">
        <f t="shared" si="2"/>
        <v>647</v>
      </c>
      <c r="O13" s="3541"/>
      <c r="P13" s="3540"/>
      <c r="Q13" s="3541">
        <v>439.18000000000006</v>
      </c>
    </row>
    <row r="14" spans="1:17">
      <c r="A14" s="3538">
        <v>18</v>
      </c>
      <c r="B14" s="3539">
        <f t="shared" si="1"/>
        <v>1086.18</v>
      </c>
      <c r="C14" s="4087"/>
      <c r="D14" s="4088"/>
      <c r="E14" s="4088"/>
      <c r="F14" s="4089"/>
      <c r="G14" s="4092" t="s">
        <v>3761</v>
      </c>
      <c r="H14" s="4093"/>
      <c r="I14" s="4093"/>
      <c r="J14" s="4096"/>
      <c r="K14" s="4092" t="s">
        <v>3762</v>
      </c>
      <c r="L14" s="4093"/>
      <c r="M14" s="4093"/>
      <c r="N14" s="3540">
        <f>1086.18-O14-P14-Q14</f>
        <v>564.46</v>
      </c>
      <c r="O14" s="3541"/>
      <c r="P14" s="3542"/>
      <c r="Q14" s="3541">
        <v>521.72</v>
      </c>
    </row>
    <row r="15" spans="1:17">
      <c r="A15" s="3538">
        <v>17</v>
      </c>
      <c r="B15" s="3539">
        <f t="shared" si="1"/>
        <v>1086.18</v>
      </c>
      <c r="C15" s="4087"/>
      <c r="D15" s="4088"/>
      <c r="E15" s="4088"/>
      <c r="F15" s="4089"/>
      <c r="G15" s="4087" t="s">
        <v>3763</v>
      </c>
      <c r="H15" s="4088"/>
      <c r="I15" s="4088"/>
      <c r="J15" s="4089"/>
      <c r="K15" s="4087" t="s">
        <v>3764</v>
      </c>
      <c r="L15" s="4088"/>
      <c r="M15" s="4088"/>
      <c r="N15" s="3540">
        <f>1086.18-O15-P15-Q15</f>
        <v>0</v>
      </c>
      <c r="O15" s="3541"/>
      <c r="P15" s="3541"/>
      <c r="Q15" s="3540">
        <f t="shared" ref="Q15" si="3">1086.18-R15-S15-T15</f>
        <v>1086.18</v>
      </c>
    </row>
    <row r="16" spans="1:17">
      <c r="A16" s="3538">
        <v>16</v>
      </c>
      <c r="B16" s="3539">
        <f t="shared" si="1"/>
        <v>1086.18</v>
      </c>
      <c r="C16" s="4097" t="s">
        <v>3765</v>
      </c>
      <c r="D16" s="4097"/>
      <c r="E16" s="4097" t="s">
        <v>3766</v>
      </c>
      <c r="F16" s="4098"/>
      <c r="G16" s="4092" t="s">
        <v>3767</v>
      </c>
      <c r="H16" s="4093"/>
      <c r="I16" s="4093"/>
      <c r="J16" s="4096"/>
      <c r="K16" s="4097" t="s">
        <v>3768</v>
      </c>
      <c r="L16" s="4098"/>
      <c r="M16" s="4098"/>
      <c r="N16" s="3540">
        <f t="shared" si="2"/>
        <v>1086.18</v>
      </c>
      <c r="O16" s="3541"/>
      <c r="P16" s="3543"/>
      <c r="Q16" s="3541"/>
    </row>
    <row r="17" spans="1:17">
      <c r="A17" s="3538">
        <v>15</v>
      </c>
      <c r="B17" s="3539">
        <f t="shared" si="1"/>
        <v>1086.18</v>
      </c>
      <c r="C17" s="4099" t="s">
        <v>3769</v>
      </c>
      <c r="D17" s="4100"/>
      <c r="E17" s="4100"/>
      <c r="F17" s="4100"/>
      <c r="G17" s="4100"/>
      <c r="H17" s="4100"/>
      <c r="I17" s="4100"/>
      <c r="J17" s="4100"/>
      <c r="K17" s="4100"/>
      <c r="L17" s="4100"/>
      <c r="M17" s="4101"/>
      <c r="N17" s="3540">
        <f t="shared" si="2"/>
        <v>1086.18</v>
      </c>
      <c r="O17" s="3541"/>
      <c r="P17" s="3540"/>
      <c r="Q17" s="3541"/>
    </row>
    <row r="18" spans="1:17">
      <c r="A18" s="3538">
        <v>14</v>
      </c>
      <c r="B18" s="3539">
        <f t="shared" si="1"/>
        <v>1086.18</v>
      </c>
      <c r="C18" s="4092" t="s">
        <v>3770</v>
      </c>
      <c r="D18" s="4094"/>
      <c r="E18" s="4094"/>
      <c r="F18" s="4094"/>
      <c r="G18" s="4095"/>
      <c r="H18" s="4092" t="s">
        <v>3771</v>
      </c>
      <c r="I18" s="4093"/>
      <c r="J18" s="4093"/>
      <c r="K18" s="4093"/>
      <c r="L18" s="4093"/>
      <c r="M18" s="4096"/>
      <c r="N18" s="3540">
        <f t="shared" si="2"/>
        <v>1086.18</v>
      </c>
      <c r="O18" s="3541"/>
      <c r="P18" s="3541"/>
      <c r="Q18" s="3541"/>
    </row>
    <row r="19" spans="1:17" ht="14.25" customHeight="1">
      <c r="A19" s="3538">
        <v>13</v>
      </c>
      <c r="B19" s="3539">
        <f t="shared" si="1"/>
        <v>1086.18</v>
      </c>
      <c r="C19" s="4099" t="s">
        <v>3772</v>
      </c>
      <c r="D19" s="4102"/>
      <c r="E19" s="4097" t="s">
        <v>3773</v>
      </c>
      <c r="F19" s="4098"/>
      <c r="G19" s="4092" t="s">
        <v>3774</v>
      </c>
      <c r="H19" s="4093"/>
      <c r="I19" s="4093"/>
      <c r="J19" s="4096"/>
      <c r="K19" s="4092" t="s">
        <v>3775</v>
      </c>
      <c r="L19" s="4093"/>
      <c r="M19" s="4093"/>
      <c r="N19" s="3540">
        <f t="shared" si="2"/>
        <v>1086.18</v>
      </c>
      <c r="O19" s="3541"/>
      <c r="P19" s="3540"/>
      <c r="Q19" s="3540"/>
    </row>
    <row r="20" spans="1:17">
      <c r="A20" s="3538">
        <v>12</v>
      </c>
      <c r="B20" s="3539">
        <f t="shared" si="1"/>
        <v>1086.18</v>
      </c>
      <c r="C20" s="4092" t="s">
        <v>3776</v>
      </c>
      <c r="D20" s="4093"/>
      <c r="E20" s="4093"/>
      <c r="F20" s="4096"/>
      <c r="G20" s="4092" t="s">
        <v>3777</v>
      </c>
      <c r="H20" s="4093"/>
      <c r="I20" s="4093"/>
      <c r="J20" s="4096"/>
      <c r="K20" s="4092" t="s">
        <v>3778</v>
      </c>
      <c r="L20" s="4093"/>
      <c r="M20" s="4093"/>
      <c r="N20" s="3540">
        <f t="shared" si="2"/>
        <v>1086.18</v>
      </c>
      <c r="O20" s="3541"/>
      <c r="P20" s="3540"/>
      <c r="Q20" s="3541"/>
    </row>
    <row r="21" spans="1:17">
      <c r="A21" s="3538">
        <v>11</v>
      </c>
      <c r="B21" s="3539">
        <f t="shared" si="1"/>
        <v>1086.18</v>
      </c>
      <c r="C21" s="4092" t="s">
        <v>3779</v>
      </c>
      <c r="D21" s="4093"/>
      <c r="E21" s="4093"/>
      <c r="F21" s="4093"/>
      <c r="G21" s="4093"/>
      <c r="H21" s="4093"/>
      <c r="I21" s="4093"/>
      <c r="J21" s="4093"/>
      <c r="K21" s="4093"/>
      <c r="L21" s="4093"/>
      <c r="M21" s="4096"/>
      <c r="N21" s="3540">
        <f t="shared" si="2"/>
        <v>1086.18</v>
      </c>
      <c r="O21" s="3541"/>
      <c r="P21" s="3541"/>
      <c r="Q21" s="3541"/>
    </row>
    <row r="22" spans="1:17">
      <c r="A22" s="3538">
        <v>10</v>
      </c>
      <c r="B22" s="3539">
        <f t="shared" si="1"/>
        <v>1086.18</v>
      </c>
      <c r="C22" s="4092" t="s">
        <v>3780</v>
      </c>
      <c r="D22" s="4093"/>
      <c r="E22" s="4093"/>
      <c r="F22" s="4093"/>
      <c r="G22" s="4093"/>
      <c r="H22" s="4093"/>
      <c r="I22" s="4093"/>
      <c r="J22" s="4093"/>
      <c r="K22" s="4093"/>
      <c r="L22" s="4093"/>
      <c r="M22" s="4096"/>
      <c r="N22" s="3540">
        <f t="shared" si="2"/>
        <v>1086.18</v>
      </c>
      <c r="O22" s="3541"/>
      <c r="P22" s="3540"/>
      <c r="Q22" s="3541"/>
    </row>
    <row r="23" spans="1:17">
      <c r="A23" s="3538">
        <v>9</v>
      </c>
      <c r="B23" s="3539">
        <f t="shared" si="1"/>
        <v>1086.18</v>
      </c>
      <c r="C23" s="4099" t="s">
        <v>3781</v>
      </c>
      <c r="D23" s="4100"/>
      <c r="E23" s="4100"/>
      <c r="F23" s="4101"/>
      <c r="G23" s="4099" t="s">
        <v>3782</v>
      </c>
      <c r="H23" s="4100"/>
      <c r="I23" s="4100"/>
      <c r="J23" s="4101"/>
      <c r="K23" s="4092" t="s">
        <v>3783</v>
      </c>
      <c r="L23" s="4094"/>
      <c r="M23" s="4095"/>
      <c r="N23" s="3540">
        <f t="shared" si="2"/>
        <v>1086.18</v>
      </c>
      <c r="O23" s="3541"/>
      <c r="P23" s="3540"/>
      <c r="Q23" s="3541"/>
    </row>
    <row r="24" spans="1:17">
      <c r="A24" s="3538">
        <v>8</v>
      </c>
      <c r="B24" s="3539">
        <f t="shared" si="1"/>
        <v>1086.18</v>
      </c>
      <c r="C24" s="4092" t="s">
        <v>3784</v>
      </c>
      <c r="D24" s="4093"/>
      <c r="E24" s="4093"/>
      <c r="F24" s="4096"/>
      <c r="G24" s="4087"/>
      <c r="H24" s="4088"/>
      <c r="I24" s="4088"/>
      <c r="J24" s="4089"/>
      <c r="K24" s="4097" t="s">
        <v>3785</v>
      </c>
      <c r="L24" s="4098"/>
      <c r="M24" s="4098"/>
      <c r="N24" s="3540">
        <f t="shared" si="2"/>
        <v>598.90000000000009</v>
      </c>
      <c r="O24" s="3541"/>
      <c r="P24" s="3541"/>
      <c r="Q24" s="3541">
        <v>487.28</v>
      </c>
    </row>
    <row r="25" spans="1:17">
      <c r="A25" s="3538">
        <v>7</v>
      </c>
      <c r="B25" s="3539">
        <f t="shared" si="1"/>
        <v>1086.18</v>
      </c>
      <c r="C25" s="4087"/>
      <c r="D25" s="4088"/>
      <c r="E25" s="4088"/>
      <c r="F25" s="4089"/>
      <c r="G25" s="4092" t="s">
        <v>3786</v>
      </c>
      <c r="H25" s="4093"/>
      <c r="I25" s="4093"/>
      <c r="J25" s="4096"/>
      <c r="K25" s="4087"/>
      <c r="L25" s="4088"/>
      <c r="M25" s="4088"/>
      <c r="N25" s="3540">
        <f t="shared" si="2"/>
        <v>285.20000000000005</v>
      </c>
      <c r="O25" s="3541"/>
      <c r="P25" s="3541"/>
      <c r="Q25" s="3541">
        <v>800.98</v>
      </c>
    </row>
    <row r="26" spans="1:17">
      <c r="A26" s="3538">
        <v>6</v>
      </c>
      <c r="B26" s="3539">
        <f t="shared" si="1"/>
        <v>1086.18</v>
      </c>
      <c r="C26" s="4103" t="s">
        <v>3787</v>
      </c>
      <c r="D26" s="4104"/>
      <c r="E26" s="4104"/>
      <c r="F26" s="4105"/>
      <c r="G26" s="4092" t="s">
        <v>3788</v>
      </c>
      <c r="H26" s="4093"/>
      <c r="I26" s="4093"/>
      <c r="J26" s="4096"/>
      <c r="K26" s="4106" t="s">
        <v>3789</v>
      </c>
      <c r="L26" s="4104"/>
      <c r="M26" s="4105"/>
      <c r="N26" s="3540">
        <f t="shared" si="2"/>
        <v>1086.18</v>
      </c>
      <c r="O26" s="3541"/>
      <c r="P26" s="3541"/>
      <c r="Q26" s="3541"/>
    </row>
    <row r="27" spans="1:17">
      <c r="A27" s="3538">
        <v>5</v>
      </c>
      <c r="B27" s="3539">
        <f t="shared" si="1"/>
        <v>1086.18</v>
      </c>
      <c r="C27" s="4107" t="s">
        <v>3790</v>
      </c>
      <c r="D27" s="4108"/>
      <c r="E27" s="4108"/>
      <c r="F27" s="4108"/>
      <c r="G27" s="4108"/>
      <c r="H27" s="4108"/>
      <c r="I27" s="4108"/>
      <c r="J27" s="4108"/>
      <c r="K27" s="4108"/>
      <c r="L27" s="4108"/>
      <c r="M27" s="4108"/>
      <c r="N27" s="3542">
        <v>1086.18</v>
      </c>
      <c r="O27" s="3541"/>
      <c r="P27" s="3541"/>
      <c r="Q27" s="3541"/>
    </row>
    <row r="28" spans="1:17">
      <c r="A28" s="3538">
        <v>4</v>
      </c>
      <c r="B28" s="3539">
        <f t="shared" si="1"/>
        <v>3395.08</v>
      </c>
      <c r="C28" s="4109"/>
      <c r="D28" s="4110"/>
      <c r="E28" s="4110"/>
      <c r="F28" s="4110"/>
      <c r="G28" s="4110"/>
      <c r="H28" s="4110"/>
      <c r="I28" s="4110"/>
      <c r="J28" s="4110"/>
      <c r="K28" s="4110"/>
      <c r="L28" s="4110"/>
      <c r="M28" s="4110"/>
      <c r="N28" s="3543">
        <v>3395.08</v>
      </c>
      <c r="O28" s="3544"/>
      <c r="P28" s="3543"/>
      <c r="Q28" s="3543"/>
    </row>
    <row r="29" spans="1:17">
      <c r="A29" s="3538">
        <v>3</v>
      </c>
      <c r="B29" s="3539">
        <f t="shared" si="1"/>
        <v>4062.73</v>
      </c>
      <c r="C29" s="4111" t="s">
        <v>3791</v>
      </c>
      <c r="D29" s="4093"/>
      <c r="E29" s="4093"/>
      <c r="F29" s="4093"/>
      <c r="G29" s="4093"/>
      <c r="H29" s="4096"/>
      <c r="I29" s="4111" t="s">
        <v>3792</v>
      </c>
      <c r="J29" s="4093"/>
      <c r="K29" s="4093"/>
      <c r="L29" s="4093"/>
      <c r="M29" s="4096"/>
      <c r="N29" s="3540">
        <v>4062.73</v>
      </c>
      <c r="O29" s="3541"/>
      <c r="P29" s="3541"/>
      <c r="Q29" s="3541"/>
    </row>
    <row r="30" spans="1:17">
      <c r="A30" s="3538">
        <v>2</v>
      </c>
      <c r="B30" s="3539">
        <f t="shared" si="1"/>
        <v>3041.73</v>
      </c>
      <c r="C30" s="4111" t="s">
        <v>3793</v>
      </c>
      <c r="D30" s="4093"/>
      <c r="E30" s="4093"/>
      <c r="F30" s="4093"/>
      <c r="G30" s="4093"/>
      <c r="H30" s="4096"/>
      <c r="I30" s="4111" t="s">
        <v>3794</v>
      </c>
      <c r="J30" s="4093"/>
      <c r="K30" s="4093"/>
      <c r="L30" s="4093"/>
      <c r="M30" s="4096"/>
      <c r="N30" s="3545">
        <v>3041.73</v>
      </c>
      <c r="O30" s="3541"/>
      <c r="P30" s="3541"/>
      <c r="Q30" s="3546"/>
    </row>
    <row r="31" spans="1:17" ht="13.5">
      <c r="A31" s="3532" t="s">
        <v>3744</v>
      </c>
      <c r="B31" s="3533" t="s">
        <v>3745</v>
      </c>
      <c r="C31" s="3533" t="s">
        <v>3795</v>
      </c>
      <c r="D31" s="3533" t="s">
        <v>3796</v>
      </c>
      <c r="E31" s="3533" t="s">
        <v>3797</v>
      </c>
      <c r="F31" s="3533" t="s">
        <v>3798</v>
      </c>
      <c r="G31" s="3533" t="s">
        <v>3799</v>
      </c>
      <c r="H31" s="3533" t="s">
        <v>3800</v>
      </c>
      <c r="I31" s="3533" t="s">
        <v>3801</v>
      </c>
      <c r="J31" s="3533" t="s">
        <v>3802</v>
      </c>
      <c r="K31" s="3533" t="s">
        <v>3803</v>
      </c>
      <c r="L31" s="3533" t="s">
        <v>3804</v>
      </c>
      <c r="M31" s="3533" t="s">
        <v>3805</v>
      </c>
      <c r="N31" s="3547" t="s">
        <v>3806</v>
      </c>
      <c r="O31" s="3548" t="s">
        <v>3750</v>
      </c>
      <c r="P31" s="3549" t="s">
        <v>3751</v>
      </c>
      <c r="Q31" s="3550" t="s">
        <v>3752</v>
      </c>
    </row>
    <row r="32" spans="1:17" ht="14.25" customHeight="1">
      <c r="A32" s="3538">
        <v>1</v>
      </c>
      <c r="B32" s="3539">
        <v>1299.5</v>
      </c>
      <c r="C32" s="4092" t="s">
        <v>3807</v>
      </c>
      <c r="D32" s="4094"/>
      <c r="E32" s="4095"/>
      <c r="F32" s="3551" t="s">
        <v>3808</v>
      </c>
      <c r="G32" s="4113"/>
      <c r="H32" s="4114"/>
      <c r="I32" s="3551" t="s">
        <v>3809</v>
      </c>
      <c r="J32" s="4092" t="s">
        <v>3810</v>
      </c>
      <c r="K32" s="4096"/>
      <c r="L32" s="3551" t="s">
        <v>3811</v>
      </c>
      <c r="M32" s="3552" t="s">
        <v>3812</v>
      </c>
      <c r="N32" s="3545">
        <f>1299.5-O32-P32-Q32</f>
        <v>1106.3600000000001</v>
      </c>
      <c r="O32" s="3541"/>
      <c r="P32" s="3541"/>
      <c r="Q32" s="3546">
        <v>193.14</v>
      </c>
    </row>
    <row r="33" spans="1:17">
      <c r="A33" s="3538" t="s">
        <v>3813</v>
      </c>
      <c r="B33" s="3539">
        <v>2302</v>
      </c>
      <c r="C33" s="3551" t="s">
        <v>3814</v>
      </c>
      <c r="D33" s="4115" t="s">
        <v>3815</v>
      </c>
      <c r="E33" s="4115"/>
      <c r="F33" s="4115"/>
      <c r="G33" s="4115"/>
      <c r="H33" s="4115"/>
      <c r="I33" s="4115"/>
      <c r="J33" s="4115"/>
      <c r="K33" s="4115"/>
      <c r="L33" s="4115"/>
      <c r="M33" s="3553"/>
      <c r="N33" s="3545">
        <f>2302-O33-P33-Q33</f>
        <v>2227.4</v>
      </c>
      <c r="O33" s="3541"/>
      <c r="P33" s="3541"/>
      <c r="Q33" s="3546">
        <v>74.599999999999994</v>
      </c>
    </row>
    <row r="34" spans="1:17">
      <c r="A34" s="3554" t="s">
        <v>3816</v>
      </c>
      <c r="B34" s="3555">
        <f>SUM(B5:B33)</f>
        <v>39083.18</v>
      </c>
      <c r="C34" s="4112"/>
      <c r="D34" s="4112"/>
      <c r="E34" s="4112"/>
      <c r="F34" s="4112"/>
      <c r="G34" s="4112"/>
      <c r="H34" s="3556"/>
      <c r="I34" s="3556"/>
      <c r="J34" s="3556"/>
      <c r="K34" s="3556"/>
      <c r="L34" s="3556"/>
      <c r="M34" s="3556"/>
      <c r="N34" s="3557">
        <f>SUM(N5:N30,N32:N33)</f>
        <v>32221.560000000005</v>
      </c>
      <c r="O34" s="3557">
        <f>SUM(O5:O30,O32:O33)</f>
        <v>0</v>
      </c>
      <c r="P34" s="3557">
        <f>SUM(P5:P30,P32:P33)</f>
        <v>0</v>
      </c>
      <c r="Q34" s="3557">
        <f>SUM(Q5:Q30,Q32:Q33)</f>
        <v>6861.6200000000017</v>
      </c>
    </row>
    <row r="35" spans="1:17">
      <c r="A35" s="3558"/>
      <c r="B35" s="3559"/>
      <c r="C35" s="3559"/>
      <c r="D35" s="3559"/>
      <c r="E35" s="3559"/>
      <c r="F35" s="3559"/>
      <c r="G35" s="3559"/>
      <c r="H35" s="3559"/>
      <c r="I35" s="3559"/>
      <c r="J35" s="3559"/>
      <c r="K35" s="3559"/>
      <c r="L35" s="3559"/>
      <c r="M35" s="3559"/>
      <c r="N35" s="3560"/>
      <c r="O35" s="3559"/>
      <c r="P35" s="3559"/>
      <c r="Q35" s="3559"/>
    </row>
    <row r="36" spans="1:17">
      <c r="A36" s="3558"/>
      <c r="B36" s="3559"/>
      <c r="C36" s="3559"/>
      <c r="D36" s="3559"/>
      <c r="E36" s="3559"/>
      <c r="F36" s="3559"/>
      <c r="G36" s="3559"/>
      <c r="H36" s="3559"/>
      <c r="I36" s="3559"/>
      <c r="J36" s="3559"/>
      <c r="K36" s="3559"/>
      <c r="L36" s="3559"/>
      <c r="M36" s="3559"/>
      <c r="N36" s="3560"/>
      <c r="O36" s="3561" t="s">
        <v>3817</v>
      </c>
      <c r="P36" s="3561" t="s">
        <v>3818</v>
      </c>
      <c r="Q36" s="3562" t="s">
        <v>3819</v>
      </c>
    </row>
    <row r="37" spans="1:17">
      <c r="A37" s="3558"/>
      <c r="B37" s="3559"/>
      <c r="C37" s="3559"/>
      <c r="D37" s="3559"/>
      <c r="E37" s="3559"/>
      <c r="F37" s="3559"/>
      <c r="G37" s="3559"/>
      <c r="H37" s="3559"/>
      <c r="I37" s="3559"/>
      <c r="J37" s="3559"/>
      <c r="K37" s="3559"/>
      <c r="L37" s="3559"/>
      <c r="M37" s="3559"/>
      <c r="N37" s="3560"/>
      <c r="O37" s="3563" t="str">
        <f>N4</f>
        <v>租约签订</v>
      </c>
      <c r="P37" s="3564">
        <f>N34</f>
        <v>32221.560000000005</v>
      </c>
      <c r="Q37" s="3565">
        <f>P37/B34</f>
        <v>0.82443547326496991</v>
      </c>
    </row>
    <row r="38" spans="1:17">
      <c r="A38" s="3558"/>
      <c r="B38" s="3559"/>
      <c r="C38" s="3559"/>
      <c r="D38" s="3559"/>
      <c r="E38" s="3559"/>
      <c r="F38" s="3559"/>
      <c r="G38" s="3559"/>
      <c r="H38" s="3559"/>
      <c r="I38" s="3559"/>
      <c r="J38" s="3559"/>
      <c r="K38" s="3559"/>
      <c r="L38" s="3559"/>
      <c r="M38" s="3559"/>
      <c r="N38" s="3560"/>
      <c r="O38" s="3566" t="str">
        <f>O4</f>
        <v>意向签订</v>
      </c>
      <c r="P38" s="3564">
        <f>O34</f>
        <v>0</v>
      </c>
      <c r="Q38" s="3565">
        <f>P38/B34</f>
        <v>0</v>
      </c>
    </row>
    <row r="39" spans="1:17">
      <c r="A39" s="3558"/>
      <c r="B39" s="3559"/>
      <c r="C39" s="3559"/>
      <c r="D39" s="3559"/>
      <c r="E39" s="3559"/>
      <c r="F39" s="3559"/>
      <c r="G39" s="3559"/>
      <c r="H39" s="3559"/>
      <c r="I39" s="3559"/>
      <c r="J39" s="3559"/>
      <c r="K39" s="3559"/>
      <c r="L39" s="3559"/>
      <c r="M39" s="3559"/>
      <c r="N39" s="3560"/>
      <c r="O39" s="3567" t="str">
        <f>P4</f>
        <v>谈判中</v>
      </c>
      <c r="P39" s="3564">
        <f>P34</f>
        <v>0</v>
      </c>
      <c r="Q39" s="3565">
        <f>P39/B34</f>
        <v>0</v>
      </c>
    </row>
    <row r="40" spans="1:17" ht="14.25">
      <c r="A40" s="3568"/>
      <c r="B40" s="3522"/>
      <c r="C40" s="3559"/>
      <c r="D40" s="3559"/>
      <c r="E40" s="3559"/>
      <c r="F40" s="3559"/>
      <c r="G40" s="3559"/>
      <c r="H40" s="3559"/>
      <c r="I40" s="3559"/>
      <c r="J40" s="3559"/>
      <c r="K40" s="3559"/>
      <c r="L40" s="3559"/>
      <c r="M40" s="3559"/>
      <c r="N40" s="3560"/>
      <c r="O40" s="3569" t="str">
        <f>Q4</f>
        <v>空置</v>
      </c>
      <c r="P40" s="3564">
        <f>Q34</f>
        <v>6861.6200000000017</v>
      </c>
      <c r="Q40" s="3565">
        <f>P40/B34</f>
        <v>0.17556452673503031</v>
      </c>
    </row>
    <row r="41" spans="1:17" ht="14.25">
      <c r="A41" s="3570"/>
      <c r="B41" s="3571"/>
      <c r="C41" s="3559"/>
      <c r="D41" s="3559"/>
      <c r="E41" s="3559"/>
      <c r="F41" s="3559"/>
      <c r="G41" s="3559"/>
      <c r="H41" s="3559"/>
      <c r="I41" s="3559"/>
      <c r="J41" s="3559"/>
      <c r="K41" s="3559"/>
      <c r="L41" s="3559"/>
      <c r="M41" s="3559"/>
      <c r="N41" s="3560"/>
      <c r="O41" s="3572" t="s">
        <v>3820</v>
      </c>
      <c r="P41" s="3573">
        <f>SUM(P37:P40)</f>
        <v>39083.180000000008</v>
      </c>
      <c r="Q41" s="3574">
        <f>SUM(Q37:Q40)</f>
        <v>1.0000000000000002</v>
      </c>
    </row>
    <row r="42" spans="1:17" hidden="1">
      <c r="A42" s="3558"/>
      <c r="B42" s="3559"/>
      <c r="C42" s="3559"/>
      <c r="D42" s="3559"/>
      <c r="E42" s="3559"/>
      <c r="F42" s="3559"/>
      <c r="G42" s="3559"/>
      <c r="H42" s="3559"/>
      <c r="I42" s="3559"/>
      <c r="J42" s="3559"/>
      <c r="K42" s="3559"/>
      <c r="L42" s="3559"/>
      <c r="M42" s="3559"/>
      <c r="N42" s="3560"/>
      <c r="O42" s="3575" t="s">
        <v>3821</v>
      </c>
      <c r="P42" s="3564">
        <f>SUM(N27+N28+2541.05+1712.56)</f>
        <v>8734.8700000000008</v>
      </c>
      <c r="Q42" s="3565">
        <f>P42/B34</f>
        <v>0.22349435230193657</v>
      </c>
    </row>
  </sheetData>
  <mergeCells count="69">
    <mergeCell ref="C34:D34"/>
    <mergeCell ref="E34:G34"/>
    <mergeCell ref="C30:H30"/>
    <mergeCell ref="I30:M30"/>
    <mergeCell ref="C32:E32"/>
    <mergeCell ref="G32:H32"/>
    <mergeCell ref="J32:K32"/>
    <mergeCell ref="D33:L33"/>
    <mergeCell ref="C26:F26"/>
    <mergeCell ref="G26:J26"/>
    <mergeCell ref="K26:M26"/>
    <mergeCell ref="C27:M28"/>
    <mergeCell ref="C29:H29"/>
    <mergeCell ref="I29:M29"/>
    <mergeCell ref="C24:F24"/>
    <mergeCell ref="G24:J24"/>
    <mergeCell ref="K24:M24"/>
    <mergeCell ref="C25:F25"/>
    <mergeCell ref="G25:J25"/>
    <mergeCell ref="K25:M25"/>
    <mergeCell ref="C23:F23"/>
    <mergeCell ref="G23:J23"/>
    <mergeCell ref="K23:M23"/>
    <mergeCell ref="C17:M17"/>
    <mergeCell ref="C18:G18"/>
    <mergeCell ref="H18:M18"/>
    <mergeCell ref="C19:D19"/>
    <mergeCell ref="E19:F19"/>
    <mergeCell ref="G19:J19"/>
    <mergeCell ref="K19:M19"/>
    <mergeCell ref="C20:F20"/>
    <mergeCell ref="G20:J20"/>
    <mergeCell ref="K20:M20"/>
    <mergeCell ref="C21:M21"/>
    <mergeCell ref="C22:M22"/>
    <mergeCell ref="C15:F15"/>
    <mergeCell ref="G15:J15"/>
    <mergeCell ref="K15:M15"/>
    <mergeCell ref="C16:D16"/>
    <mergeCell ref="E16:F16"/>
    <mergeCell ref="G16:J16"/>
    <mergeCell ref="K16:M16"/>
    <mergeCell ref="C11:M11"/>
    <mergeCell ref="C12:M12"/>
    <mergeCell ref="C13:J13"/>
    <mergeCell ref="K13:M13"/>
    <mergeCell ref="C14:F14"/>
    <mergeCell ref="G14:J14"/>
    <mergeCell ref="K14:M14"/>
    <mergeCell ref="C10:M10"/>
    <mergeCell ref="C6:F6"/>
    <mergeCell ref="G6:J6"/>
    <mergeCell ref="K6:M6"/>
    <mergeCell ref="C7:F7"/>
    <mergeCell ref="G7:J7"/>
    <mergeCell ref="K7:M7"/>
    <mergeCell ref="C8:J8"/>
    <mergeCell ref="K8:M8"/>
    <mergeCell ref="C9:F9"/>
    <mergeCell ref="G9:J9"/>
    <mergeCell ref="K9:M9"/>
    <mergeCell ref="C5:F5"/>
    <mergeCell ref="G5:J5"/>
    <mergeCell ref="K5:M5"/>
    <mergeCell ref="A1:Q1"/>
    <mergeCell ref="A2:Q2"/>
    <mergeCell ref="C4:F4"/>
    <mergeCell ref="G4:J4"/>
    <mergeCell ref="K4:M4"/>
  </mergeCells>
  <phoneticPr fontId="134" type="noConversion"/>
  <pageMargins left="0.70866141732283472" right="0.70866141732283472" top="0.74803149606299213" bottom="0.74803149606299213" header="0.31496062992125984" footer="0.31496062992125984"/>
  <pageSetup paperSize="9" scale="72"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
  <sheetViews>
    <sheetView workbookViewId="0">
      <selection activeCell="K23" sqref="K23"/>
    </sheetView>
  </sheetViews>
  <sheetFormatPr defaultRowHeight="15.75"/>
  <cols>
    <col min="1" max="2" width="9" style="3659"/>
    <col min="3" max="3" width="13.625" style="3659" customWidth="1"/>
    <col min="4" max="6" width="10.5" style="3659" customWidth="1"/>
    <col min="7" max="16384" width="9" style="3659"/>
  </cols>
  <sheetData>
    <row r="1" spans="1:12">
      <c r="A1" s="4124" t="s">
        <v>4998</v>
      </c>
      <c r="B1" s="4126" t="s">
        <v>4999</v>
      </c>
      <c r="C1" s="4126" t="s">
        <v>5002</v>
      </c>
      <c r="D1" s="4126" t="s">
        <v>5003</v>
      </c>
      <c r="E1" s="4126" t="s">
        <v>5018</v>
      </c>
      <c r="F1" s="4126" t="s">
        <v>5012</v>
      </c>
      <c r="G1" s="4126" t="s">
        <v>5005</v>
      </c>
      <c r="H1" s="4126"/>
      <c r="I1" s="4126"/>
      <c r="J1" s="4122" t="s">
        <v>5026</v>
      </c>
      <c r="K1" s="4126" t="s">
        <v>5009</v>
      </c>
      <c r="L1" s="4128" t="s">
        <v>5017</v>
      </c>
    </row>
    <row r="2" spans="1:12" ht="16.5" thickBot="1">
      <c r="A2" s="4125"/>
      <c r="B2" s="4127"/>
      <c r="C2" s="4127"/>
      <c r="D2" s="4127"/>
      <c r="E2" s="4127"/>
      <c r="F2" s="4127"/>
      <c r="G2" s="3677" t="s">
        <v>5006</v>
      </c>
      <c r="H2" s="3677" t="s">
        <v>5007</v>
      </c>
      <c r="I2" s="3677" t="s">
        <v>5008</v>
      </c>
      <c r="J2" s="4123"/>
      <c r="K2" s="4127"/>
      <c r="L2" s="4129"/>
    </row>
    <row r="3" spans="1:12" s="3663" customFormat="1" ht="23.25" customHeight="1">
      <c r="A3" s="4116" t="s">
        <v>5021</v>
      </c>
      <c r="B3" s="4119" t="s">
        <v>5000</v>
      </c>
      <c r="C3" s="4119" t="s">
        <v>5010</v>
      </c>
      <c r="D3" s="4119" t="s">
        <v>5004</v>
      </c>
      <c r="E3" s="3670">
        <v>3628.54</v>
      </c>
      <c r="F3" s="3671" t="s">
        <v>5013</v>
      </c>
      <c r="G3" s="3670">
        <v>65099</v>
      </c>
      <c r="H3" s="3672">
        <v>51991</v>
      </c>
      <c r="I3" s="3670"/>
      <c r="J3" s="3670" t="s">
        <v>5027</v>
      </c>
      <c r="K3" s="3670">
        <v>58545</v>
      </c>
      <c r="L3" s="3673">
        <v>21243</v>
      </c>
    </row>
    <row r="4" spans="1:12">
      <c r="A4" s="4117"/>
      <c r="B4" s="4120"/>
      <c r="C4" s="4120"/>
      <c r="D4" s="4120"/>
      <c r="E4" s="3664">
        <v>38942.99</v>
      </c>
      <c r="F4" s="3660" t="s">
        <v>5014</v>
      </c>
      <c r="G4" s="3662">
        <v>59843</v>
      </c>
      <c r="H4" s="3662">
        <v>50381</v>
      </c>
      <c r="I4" s="3661"/>
      <c r="J4" s="3661" t="s">
        <v>5027</v>
      </c>
      <c r="K4" s="3662">
        <v>55112</v>
      </c>
      <c r="L4" s="3674">
        <v>215268</v>
      </c>
    </row>
    <row r="5" spans="1:12">
      <c r="A5" s="4117"/>
      <c r="B5" s="4120"/>
      <c r="C5" s="4120"/>
      <c r="D5" s="4120"/>
      <c r="E5" s="3664">
        <v>6149.2</v>
      </c>
      <c r="F5" s="3660" t="s">
        <v>5015</v>
      </c>
      <c r="G5" s="3661" t="s">
        <v>5023</v>
      </c>
      <c r="H5" s="3661" t="s">
        <v>5024</v>
      </c>
      <c r="I5" s="3661"/>
      <c r="J5" s="3661" t="s">
        <v>5028</v>
      </c>
      <c r="K5" s="3661" t="s">
        <v>5025</v>
      </c>
      <c r="L5" s="3674">
        <v>3811</v>
      </c>
    </row>
    <row r="6" spans="1:12" ht="44.25" customHeight="1" thickBot="1">
      <c r="A6" s="4118"/>
      <c r="B6" s="4121"/>
      <c r="C6" s="4121"/>
      <c r="D6" s="3675" t="s">
        <v>5019</v>
      </c>
      <c r="E6" s="3676">
        <f>SUM(E3:E5)</f>
        <v>48720.729999999996</v>
      </c>
      <c r="F6" s="3677" t="s">
        <v>5020</v>
      </c>
      <c r="G6" s="3678"/>
      <c r="H6" s="3678"/>
      <c r="I6" s="3678"/>
      <c r="J6" s="3678"/>
      <c r="K6" s="3679">
        <f>ROUND(L6*10000/E6,0)</f>
        <v>49326</v>
      </c>
      <c r="L6" s="3680">
        <f>SUM(L3:L5)</f>
        <v>240322</v>
      </c>
    </row>
    <row r="7" spans="1:12" s="3663" customFormat="1" ht="34.5" customHeight="1" thickBot="1">
      <c r="A7" s="3665" t="s">
        <v>5022</v>
      </c>
      <c r="B7" s="3666" t="s">
        <v>5001</v>
      </c>
      <c r="C7" s="3666" t="s">
        <v>5011</v>
      </c>
      <c r="D7" s="3666" t="s">
        <v>5004</v>
      </c>
      <c r="E7" s="3667">
        <v>48720.729999999974</v>
      </c>
      <c r="F7" s="3666" t="s">
        <v>5016</v>
      </c>
      <c r="G7" s="3668">
        <v>50371</v>
      </c>
      <c r="H7" s="3668">
        <v>32381</v>
      </c>
      <c r="I7" s="3668">
        <v>31688</v>
      </c>
      <c r="J7" s="3667" t="s">
        <v>5029</v>
      </c>
      <c r="K7" s="3668">
        <v>43175</v>
      </c>
      <c r="L7" s="3669">
        <v>210352</v>
      </c>
    </row>
    <row r="9" spans="1:12">
      <c r="A9" s="3660" t="s">
        <v>5032</v>
      </c>
      <c r="B9" s="3660" t="s">
        <v>5033</v>
      </c>
      <c r="C9" s="3660" t="s">
        <v>5034</v>
      </c>
      <c r="D9" s="3660" t="s">
        <v>5035</v>
      </c>
      <c r="E9" s="3660" t="s">
        <v>5036</v>
      </c>
      <c r="F9" s="3660" t="s">
        <v>5037</v>
      </c>
      <c r="G9" s="3660" t="s">
        <v>5040</v>
      </c>
      <c r="H9" s="3660" t="s">
        <v>5041</v>
      </c>
      <c r="I9" s="3660"/>
    </row>
    <row r="10" spans="1:12">
      <c r="A10" s="3660" t="s">
        <v>5030</v>
      </c>
      <c r="B10" s="3660">
        <v>9</v>
      </c>
      <c r="C10" s="3660">
        <v>13.3</v>
      </c>
      <c r="D10" s="3660">
        <v>1000</v>
      </c>
      <c r="E10" s="3660">
        <v>3874</v>
      </c>
      <c r="F10" s="3660" t="s">
        <v>5038</v>
      </c>
      <c r="G10" s="3681">
        <v>0.03</v>
      </c>
      <c r="H10" s="3660" t="s">
        <v>5042</v>
      </c>
      <c r="I10" s="3660"/>
    </row>
    <row r="11" spans="1:12">
      <c r="A11" s="3660" t="s">
        <v>5031</v>
      </c>
      <c r="B11" s="3660"/>
      <c r="C11" s="3660">
        <v>9.5</v>
      </c>
      <c r="D11" s="3660">
        <v>1200</v>
      </c>
      <c r="E11" s="3660">
        <v>5874</v>
      </c>
      <c r="F11" s="3660" t="s">
        <v>5039</v>
      </c>
      <c r="G11" s="3682">
        <v>2.5000000000000001E-2</v>
      </c>
      <c r="H11" s="3660" t="s">
        <v>5043</v>
      </c>
      <c r="I11" s="3660"/>
    </row>
  </sheetData>
  <mergeCells count="14">
    <mergeCell ref="K1:K2"/>
    <mergeCell ref="L1:L2"/>
    <mergeCell ref="A3:A6"/>
    <mergeCell ref="B3:B6"/>
    <mergeCell ref="C3:C6"/>
    <mergeCell ref="J1:J2"/>
    <mergeCell ref="D3:D5"/>
    <mergeCell ref="A1:A2"/>
    <mergeCell ref="B1:B2"/>
    <mergeCell ref="C1:C2"/>
    <mergeCell ref="D1:D2"/>
    <mergeCell ref="E1:E2"/>
    <mergeCell ref="F1:F2"/>
    <mergeCell ref="G1:I1"/>
  </mergeCells>
  <phoneticPr fontId="134" type="noConversion"/>
  <pageMargins left="0.7" right="0.7" top="0.75" bottom="0.75" header="0.3" footer="0.3"/>
  <pageSetup paperSize="9"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9"/>
  <sheetViews>
    <sheetView workbookViewId="0">
      <selection activeCell="F33" sqref="F33"/>
    </sheetView>
  </sheetViews>
  <sheetFormatPr defaultRowHeight="13.5"/>
  <cols>
    <col min="2" max="3" width="9" style="3691"/>
    <col min="6" max="6" width="10.5" customWidth="1"/>
  </cols>
  <sheetData>
    <row r="1" spans="1:13" ht="14.25" thickBot="1"/>
    <row r="2" spans="1:13">
      <c r="A2" s="4134" t="s">
        <v>5044</v>
      </c>
      <c r="B2" s="4136" t="s">
        <v>5046</v>
      </c>
      <c r="C2" s="4130" t="s">
        <v>5045</v>
      </c>
      <c r="D2" s="3684" t="s">
        <v>5047</v>
      </c>
      <c r="E2" s="4130" t="s">
        <v>5049</v>
      </c>
      <c r="F2" s="4130" t="s">
        <v>5050</v>
      </c>
      <c r="K2" s="4130" t="s">
        <v>5051</v>
      </c>
      <c r="L2" s="4130" t="s">
        <v>5052</v>
      </c>
      <c r="M2" s="4130" t="s">
        <v>5053</v>
      </c>
    </row>
    <row r="3" spans="1:13" ht="14.25" thickBot="1">
      <c r="A3" s="4135"/>
      <c r="B3" s="4137"/>
      <c r="C3" s="4131"/>
      <c r="D3" s="3685" t="s">
        <v>5048</v>
      </c>
      <c r="E3" s="4131"/>
      <c r="F3" s="4131"/>
      <c r="K3" s="4131"/>
      <c r="L3" s="4131"/>
      <c r="M3" s="4131"/>
    </row>
    <row r="4" spans="1:13" ht="17.25" customHeight="1" thickBot="1">
      <c r="A4" s="3690">
        <v>1</v>
      </c>
      <c r="B4" s="3686" t="s">
        <v>5055</v>
      </c>
      <c r="C4" s="3692" t="s">
        <v>5054</v>
      </c>
      <c r="D4" s="3686">
        <v>1</v>
      </c>
      <c r="E4" s="3687">
        <v>3628.54</v>
      </c>
      <c r="F4" s="3687">
        <f ca="1">F36-F39</f>
        <v>16511</v>
      </c>
      <c r="K4" s="3687">
        <f t="shared" ref="K4:K32" ca="1" si="0">ROUND(F4*10000/E4,0)</f>
        <v>45503</v>
      </c>
      <c r="L4" s="3687">
        <v>18221</v>
      </c>
      <c r="M4" s="3687">
        <v>50216</v>
      </c>
    </row>
    <row r="5" spans="1:13" ht="17.25" customHeight="1" thickBot="1">
      <c r="A5" s="3690">
        <v>2</v>
      </c>
      <c r="B5" s="3686" t="s">
        <v>5057</v>
      </c>
      <c r="C5" s="3692" t="s">
        <v>5056</v>
      </c>
      <c r="D5" s="3686">
        <v>2</v>
      </c>
      <c r="E5" s="3687">
        <v>2815.96</v>
      </c>
      <c r="F5" s="3687">
        <f t="shared" ref="F5:F30" ca="1" si="1">ROUND(E5/$E$36*$F$36,0)</f>
        <v>12813</v>
      </c>
      <c r="K5" s="3687">
        <f t="shared" ca="1" si="0"/>
        <v>45501</v>
      </c>
      <c r="L5" s="3687">
        <v>13629</v>
      </c>
      <c r="M5" s="3687">
        <v>48399</v>
      </c>
    </row>
    <row r="6" spans="1:13" ht="18.75" customHeight="1" thickBot="1">
      <c r="A6" s="3690">
        <v>3</v>
      </c>
      <c r="B6" s="3686" t="s">
        <v>5059</v>
      </c>
      <c r="C6" s="3692" t="s">
        <v>5058</v>
      </c>
      <c r="D6" s="3686">
        <v>3</v>
      </c>
      <c r="E6" s="3687">
        <v>3900.01</v>
      </c>
      <c r="F6" s="3687">
        <f t="shared" ca="1" si="1"/>
        <v>17745</v>
      </c>
      <c r="K6" s="3687">
        <f t="shared" ca="1" si="0"/>
        <v>45500</v>
      </c>
      <c r="L6" s="3687">
        <v>19065</v>
      </c>
      <c r="M6" s="3687">
        <v>48884</v>
      </c>
    </row>
    <row r="7" spans="1:13" ht="15.75" customHeight="1" thickBot="1">
      <c r="A7" s="3690">
        <v>4</v>
      </c>
      <c r="B7" s="3685" t="s">
        <v>5061</v>
      </c>
      <c r="C7" s="3692" t="s">
        <v>5060</v>
      </c>
      <c r="D7" s="3686">
        <v>4</v>
      </c>
      <c r="E7" s="3687">
        <v>3102.76</v>
      </c>
      <c r="F7" s="3687">
        <f t="shared" ca="1" si="1"/>
        <v>14118</v>
      </c>
      <c r="K7" s="3687">
        <f t="shared" ca="1" si="0"/>
        <v>45501</v>
      </c>
      <c r="L7" s="3687">
        <v>15167</v>
      </c>
      <c r="M7" s="3687">
        <v>48882</v>
      </c>
    </row>
    <row r="8" spans="1:13" ht="13.5" customHeight="1" thickBot="1">
      <c r="A8" s="3690">
        <v>5</v>
      </c>
      <c r="B8" s="3686" t="s">
        <v>5063</v>
      </c>
      <c r="C8" s="3692" t="s">
        <v>5062</v>
      </c>
      <c r="D8" s="3686">
        <v>5</v>
      </c>
      <c r="E8" s="3687">
        <v>1250.78</v>
      </c>
      <c r="F8" s="3687">
        <f t="shared" ca="1" si="1"/>
        <v>5691</v>
      </c>
      <c r="K8" s="3687">
        <f t="shared" ca="1" si="0"/>
        <v>45500</v>
      </c>
      <c r="L8" s="3687">
        <v>5993</v>
      </c>
      <c r="M8" s="3687">
        <v>47914</v>
      </c>
    </row>
    <row r="9" spans="1:13" ht="11.25" customHeight="1" thickBot="1">
      <c r="A9" s="3690">
        <v>6</v>
      </c>
      <c r="B9" s="3686" t="s">
        <v>5065</v>
      </c>
      <c r="C9" s="3692" t="s">
        <v>5064</v>
      </c>
      <c r="D9" s="3686">
        <v>6</v>
      </c>
      <c r="E9" s="3687">
        <v>1250.78</v>
      </c>
      <c r="F9" s="3687">
        <f t="shared" ca="1" si="1"/>
        <v>5691</v>
      </c>
      <c r="K9" s="3687">
        <f t="shared" ca="1" si="0"/>
        <v>45500</v>
      </c>
      <c r="L9" s="3687">
        <v>5993</v>
      </c>
      <c r="M9" s="3687">
        <v>47914</v>
      </c>
    </row>
    <row r="10" spans="1:13" ht="9.75" customHeight="1" thickBot="1">
      <c r="A10" s="3690">
        <v>7</v>
      </c>
      <c r="B10" s="3686" t="s">
        <v>5067</v>
      </c>
      <c r="C10" s="3692" t="s">
        <v>5066</v>
      </c>
      <c r="D10" s="3686">
        <v>7</v>
      </c>
      <c r="E10" s="3687">
        <v>1250.78</v>
      </c>
      <c r="F10" s="3687">
        <f t="shared" ca="1" si="1"/>
        <v>5691</v>
      </c>
      <c r="K10" s="3687">
        <f t="shared" ca="1" si="0"/>
        <v>45500</v>
      </c>
      <c r="L10" s="3687">
        <v>5993</v>
      </c>
      <c r="M10" s="3687">
        <v>47914</v>
      </c>
    </row>
    <row r="11" spans="1:13" ht="15.75" customHeight="1" thickBot="1">
      <c r="A11" s="3690">
        <v>8</v>
      </c>
      <c r="B11" s="3686" t="s">
        <v>5069</v>
      </c>
      <c r="C11" s="3692" t="s">
        <v>5068</v>
      </c>
      <c r="D11" s="3686">
        <v>8</v>
      </c>
      <c r="E11" s="3687">
        <v>1250.78</v>
      </c>
      <c r="F11" s="3687">
        <f t="shared" ca="1" si="1"/>
        <v>5691</v>
      </c>
      <c r="K11" s="3687">
        <f t="shared" ca="1" si="0"/>
        <v>45500</v>
      </c>
      <c r="L11" s="3687">
        <v>5993</v>
      </c>
      <c r="M11" s="3687">
        <v>47914</v>
      </c>
    </row>
    <row r="12" spans="1:13" ht="17.25" customHeight="1" thickBot="1">
      <c r="A12" s="3690">
        <v>9</v>
      </c>
      <c r="B12" s="3686" t="s">
        <v>5071</v>
      </c>
      <c r="C12" s="3692" t="s">
        <v>5070</v>
      </c>
      <c r="D12" s="3686">
        <v>9</v>
      </c>
      <c r="E12" s="3687">
        <v>1250.78</v>
      </c>
      <c r="F12" s="3687">
        <f t="shared" ca="1" si="1"/>
        <v>5691</v>
      </c>
      <c r="K12" s="3687">
        <f t="shared" ca="1" si="0"/>
        <v>45500</v>
      </c>
      <c r="L12" s="3687">
        <v>5993</v>
      </c>
      <c r="M12" s="3687">
        <v>47914</v>
      </c>
    </row>
    <row r="13" spans="1:13" ht="14.25" customHeight="1" thickBot="1">
      <c r="A13" s="3690">
        <v>10</v>
      </c>
      <c r="B13" s="3686" t="s">
        <v>5073</v>
      </c>
      <c r="C13" s="3692" t="s">
        <v>5072</v>
      </c>
      <c r="D13" s="3686">
        <v>10</v>
      </c>
      <c r="E13" s="3687">
        <v>1250.78</v>
      </c>
      <c r="F13" s="3687">
        <f t="shared" ca="1" si="1"/>
        <v>5691</v>
      </c>
      <c r="K13" s="3687">
        <f t="shared" ca="1" si="0"/>
        <v>45500</v>
      </c>
      <c r="L13" s="3687">
        <v>6053</v>
      </c>
      <c r="M13" s="3687">
        <v>48394</v>
      </c>
    </row>
    <row r="14" spans="1:13" ht="12.75" customHeight="1" thickBot="1">
      <c r="A14" s="3690">
        <v>11</v>
      </c>
      <c r="B14" s="3686" t="s">
        <v>5075</v>
      </c>
      <c r="C14" s="3692" t="s">
        <v>5074</v>
      </c>
      <c r="D14" s="3686">
        <v>11</v>
      </c>
      <c r="E14" s="3687">
        <v>1250.78</v>
      </c>
      <c r="F14" s="3687">
        <f t="shared" ca="1" si="1"/>
        <v>5691</v>
      </c>
      <c r="K14" s="3687">
        <f t="shared" ca="1" si="0"/>
        <v>45500</v>
      </c>
      <c r="L14" s="3687">
        <v>6053</v>
      </c>
      <c r="M14" s="3687">
        <v>48394</v>
      </c>
    </row>
    <row r="15" spans="1:13" ht="11.25" customHeight="1" thickBot="1">
      <c r="A15" s="3690">
        <v>12</v>
      </c>
      <c r="B15" s="3686" t="s">
        <v>5077</v>
      </c>
      <c r="C15" s="3692" t="s">
        <v>5076</v>
      </c>
      <c r="D15" s="3686">
        <v>12</v>
      </c>
      <c r="E15" s="3687">
        <v>1250.78</v>
      </c>
      <c r="F15" s="3687">
        <f t="shared" ca="1" si="1"/>
        <v>5691</v>
      </c>
      <c r="K15" s="3687">
        <f t="shared" ca="1" si="0"/>
        <v>45500</v>
      </c>
      <c r="L15" s="3687">
        <v>6053</v>
      </c>
      <c r="M15" s="3687">
        <v>48394</v>
      </c>
    </row>
    <row r="16" spans="1:13" ht="17.25" customHeight="1" thickBot="1">
      <c r="A16" s="3690">
        <v>13</v>
      </c>
      <c r="B16" s="3686" t="s">
        <v>5079</v>
      </c>
      <c r="C16" s="3692" t="s">
        <v>5078</v>
      </c>
      <c r="D16" s="3686">
        <v>13</v>
      </c>
      <c r="E16" s="3687">
        <v>1250.78</v>
      </c>
      <c r="F16" s="3687">
        <f t="shared" ca="1" si="1"/>
        <v>5691</v>
      </c>
      <c r="K16" s="3687">
        <f t="shared" ca="1" si="0"/>
        <v>45500</v>
      </c>
      <c r="L16" s="3687">
        <v>6053</v>
      </c>
      <c r="M16" s="3687">
        <v>48394</v>
      </c>
    </row>
    <row r="17" spans="1:13" ht="17.25" customHeight="1" thickBot="1">
      <c r="A17" s="3690">
        <v>14</v>
      </c>
      <c r="B17" s="3686" t="s">
        <v>5081</v>
      </c>
      <c r="C17" s="3692" t="s">
        <v>5080</v>
      </c>
      <c r="D17" s="3686">
        <v>14</v>
      </c>
      <c r="E17" s="3687">
        <v>1250.78</v>
      </c>
      <c r="F17" s="3687">
        <f t="shared" ca="1" si="1"/>
        <v>5691</v>
      </c>
      <c r="K17" s="3687">
        <f t="shared" ca="1" si="0"/>
        <v>45500</v>
      </c>
      <c r="L17" s="3687">
        <v>6053</v>
      </c>
      <c r="M17" s="3687">
        <v>48394</v>
      </c>
    </row>
    <row r="18" spans="1:13" ht="11.25" customHeight="1" thickBot="1">
      <c r="A18" s="3690">
        <v>15</v>
      </c>
      <c r="B18" s="3686" t="s">
        <v>5083</v>
      </c>
      <c r="C18" s="3692" t="s">
        <v>5082</v>
      </c>
      <c r="D18" s="3686">
        <v>15</v>
      </c>
      <c r="E18" s="3687">
        <v>1250.78</v>
      </c>
      <c r="F18" s="3687">
        <f t="shared" ca="1" si="1"/>
        <v>5691</v>
      </c>
      <c r="K18" s="3687">
        <f t="shared" ca="1" si="0"/>
        <v>45500</v>
      </c>
      <c r="L18" s="3687">
        <v>6053</v>
      </c>
      <c r="M18" s="3687">
        <v>48394</v>
      </c>
    </row>
    <row r="19" spans="1:13" ht="12.75" customHeight="1" thickBot="1">
      <c r="A19" s="3690">
        <v>16</v>
      </c>
      <c r="B19" s="3686" t="s">
        <v>5085</v>
      </c>
      <c r="C19" s="3692" t="s">
        <v>5084</v>
      </c>
      <c r="D19" s="3686">
        <v>16</v>
      </c>
      <c r="E19" s="3687">
        <v>1250.78</v>
      </c>
      <c r="F19" s="3687">
        <f t="shared" ca="1" si="1"/>
        <v>5691</v>
      </c>
      <c r="K19" s="3687">
        <f t="shared" ca="1" si="0"/>
        <v>45500</v>
      </c>
      <c r="L19" s="3687">
        <v>6053</v>
      </c>
      <c r="M19" s="3687">
        <v>48394</v>
      </c>
    </row>
    <row r="20" spans="1:13" ht="14.25" customHeight="1" thickBot="1">
      <c r="A20" s="3690">
        <v>17</v>
      </c>
      <c r="B20" s="3686" t="s">
        <v>5087</v>
      </c>
      <c r="C20" s="3692" t="s">
        <v>5086</v>
      </c>
      <c r="D20" s="3686">
        <v>17</v>
      </c>
      <c r="E20" s="3687">
        <v>1250.78</v>
      </c>
      <c r="F20" s="3687">
        <f t="shared" ca="1" si="1"/>
        <v>5691</v>
      </c>
      <c r="K20" s="3687">
        <f t="shared" ca="1" si="0"/>
        <v>45500</v>
      </c>
      <c r="L20" s="3687">
        <v>6053</v>
      </c>
      <c r="M20" s="3687">
        <v>48394</v>
      </c>
    </row>
    <row r="21" spans="1:13" ht="17.25" customHeight="1" thickBot="1">
      <c r="A21" s="3690">
        <v>18</v>
      </c>
      <c r="B21" s="3686" t="s">
        <v>5089</v>
      </c>
      <c r="C21" s="3692" t="s">
        <v>5088</v>
      </c>
      <c r="D21" s="3686">
        <v>18</v>
      </c>
      <c r="E21" s="3687">
        <v>1250.78</v>
      </c>
      <c r="F21" s="3687">
        <f t="shared" ca="1" si="1"/>
        <v>5691</v>
      </c>
      <c r="K21" s="3687">
        <f t="shared" ca="1" si="0"/>
        <v>45500</v>
      </c>
      <c r="L21" s="3687">
        <v>6053</v>
      </c>
      <c r="M21" s="3687">
        <v>48394</v>
      </c>
    </row>
    <row r="22" spans="1:13" ht="17.25" customHeight="1" thickBot="1">
      <c r="A22" s="3690">
        <v>19</v>
      </c>
      <c r="B22" s="3686" t="s">
        <v>5091</v>
      </c>
      <c r="C22" s="3692" t="s">
        <v>5090</v>
      </c>
      <c r="D22" s="3686">
        <v>19</v>
      </c>
      <c r="E22" s="3687">
        <v>1250.78</v>
      </c>
      <c r="F22" s="3687">
        <f t="shared" ca="1" si="1"/>
        <v>5691</v>
      </c>
      <c r="K22" s="3687">
        <f t="shared" ca="1" si="0"/>
        <v>45500</v>
      </c>
      <c r="L22" s="3687">
        <v>6113</v>
      </c>
      <c r="M22" s="3687">
        <v>48874</v>
      </c>
    </row>
    <row r="23" spans="1:13" ht="14.25" customHeight="1" thickBot="1">
      <c r="A23" s="3690">
        <v>20</v>
      </c>
      <c r="B23" s="3686" t="s">
        <v>5093</v>
      </c>
      <c r="C23" s="3692" t="s">
        <v>5092</v>
      </c>
      <c r="D23" s="3686">
        <v>20</v>
      </c>
      <c r="E23" s="3687">
        <v>1250.78</v>
      </c>
      <c r="F23" s="3687">
        <f t="shared" ca="1" si="1"/>
        <v>5691</v>
      </c>
      <c r="K23" s="3687">
        <f t="shared" ca="1" si="0"/>
        <v>45500</v>
      </c>
      <c r="L23" s="3687">
        <v>6113</v>
      </c>
      <c r="M23" s="3687">
        <v>48874</v>
      </c>
    </row>
    <row r="24" spans="1:13" ht="14.25" customHeight="1" thickBot="1">
      <c r="A24" s="3690">
        <v>21</v>
      </c>
      <c r="B24" s="3686" t="s">
        <v>5095</v>
      </c>
      <c r="C24" s="3692" t="s">
        <v>5094</v>
      </c>
      <c r="D24" s="3686">
        <v>21</v>
      </c>
      <c r="E24" s="3686">
        <v>1250.78</v>
      </c>
      <c r="F24" s="3687">
        <f t="shared" ca="1" si="1"/>
        <v>5691</v>
      </c>
      <c r="K24" s="3687">
        <f t="shared" ca="1" si="0"/>
        <v>45500</v>
      </c>
      <c r="L24" s="3686">
        <v>6113</v>
      </c>
      <c r="M24" s="3686">
        <v>48874</v>
      </c>
    </row>
    <row r="25" spans="1:13" ht="15.75" customHeight="1" thickBot="1">
      <c r="A25" s="3690">
        <v>22</v>
      </c>
      <c r="B25" s="3686" t="s">
        <v>5097</v>
      </c>
      <c r="C25" s="3692" t="s">
        <v>5096</v>
      </c>
      <c r="D25" s="3686">
        <v>22</v>
      </c>
      <c r="E25" s="3686">
        <v>1250.78</v>
      </c>
      <c r="F25" s="3687">
        <f t="shared" ca="1" si="1"/>
        <v>5691</v>
      </c>
      <c r="K25" s="3687">
        <f t="shared" ca="1" si="0"/>
        <v>45500</v>
      </c>
      <c r="L25" s="3686">
        <v>6113</v>
      </c>
      <c r="M25" s="3686">
        <v>48874</v>
      </c>
    </row>
    <row r="26" spans="1:13" ht="19.5" customHeight="1" thickBot="1">
      <c r="A26" s="3690">
        <v>23</v>
      </c>
      <c r="B26" s="3686" t="s">
        <v>5099</v>
      </c>
      <c r="C26" s="3692" t="s">
        <v>5098</v>
      </c>
      <c r="D26" s="3686">
        <v>23</v>
      </c>
      <c r="E26" s="3686">
        <v>1250.78</v>
      </c>
      <c r="F26" s="3687">
        <f t="shared" ca="1" si="1"/>
        <v>5691</v>
      </c>
      <c r="K26" s="3687">
        <f t="shared" ca="1" si="0"/>
        <v>45500</v>
      </c>
      <c r="L26" s="3686">
        <v>6113</v>
      </c>
      <c r="M26" s="3686">
        <v>48874</v>
      </c>
    </row>
    <row r="27" spans="1:13" ht="15" customHeight="1" thickBot="1">
      <c r="A27" s="3690">
        <v>24</v>
      </c>
      <c r="B27" s="3686" t="s">
        <v>5101</v>
      </c>
      <c r="C27" s="3692" t="s">
        <v>5100</v>
      </c>
      <c r="D27" s="3686">
        <v>24</v>
      </c>
      <c r="E27" s="3686">
        <v>1250.78</v>
      </c>
      <c r="F27" s="3687">
        <f t="shared" ca="1" si="1"/>
        <v>5691</v>
      </c>
      <c r="K27" s="3687">
        <f t="shared" ca="1" si="0"/>
        <v>45500</v>
      </c>
      <c r="L27" s="3686">
        <v>6113</v>
      </c>
      <c r="M27" s="3686">
        <v>48874</v>
      </c>
    </row>
    <row r="28" spans="1:13" ht="17.25" customHeight="1" thickBot="1">
      <c r="A28" s="3690">
        <v>25</v>
      </c>
      <c r="B28" s="3686" t="s">
        <v>5103</v>
      </c>
      <c r="C28" s="3692" t="s">
        <v>5102</v>
      </c>
      <c r="D28" s="3686">
        <v>25</v>
      </c>
      <c r="E28" s="3686">
        <v>1250.78</v>
      </c>
      <c r="F28" s="3687">
        <f t="shared" ca="1" si="1"/>
        <v>5691</v>
      </c>
      <c r="K28" s="3687">
        <f t="shared" ca="1" si="0"/>
        <v>45500</v>
      </c>
      <c r="L28" s="3686">
        <v>6113</v>
      </c>
      <c r="M28" s="3686">
        <v>48874</v>
      </c>
    </row>
    <row r="29" spans="1:13" ht="15" customHeight="1" thickBot="1">
      <c r="A29" s="3690">
        <v>26</v>
      </c>
      <c r="B29" s="3686" t="s">
        <v>5105</v>
      </c>
      <c r="C29" s="3692" t="s">
        <v>5104</v>
      </c>
      <c r="D29" s="3686">
        <v>26</v>
      </c>
      <c r="E29" s="3686">
        <v>1250.78</v>
      </c>
      <c r="F29" s="3687">
        <f t="shared" ca="1" si="1"/>
        <v>5691</v>
      </c>
      <c r="K29" s="3687">
        <f t="shared" ca="1" si="0"/>
        <v>45500</v>
      </c>
      <c r="L29" s="3686">
        <v>6113</v>
      </c>
      <c r="M29" s="3686">
        <v>48874</v>
      </c>
    </row>
    <row r="30" spans="1:13" ht="13.5" customHeight="1" thickBot="1">
      <c r="A30" s="3690">
        <v>27</v>
      </c>
      <c r="B30" s="3686" t="s">
        <v>5107</v>
      </c>
      <c r="C30" s="3692" t="s">
        <v>5106</v>
      </c>
      <c r="D30" s="3686">
        <v>27</v>
      </c>
      <c r="E30" s="3686">
        <v>1250.78</v>
      </c>
      <c r="F30" s="3687">
        <f t="shared" ca="1" si="1"/>
        <v>5691</v>
      </c>
      <c r="K30" s="3687">
        <f t="shared" ca="1" si="0"/>
        <v>45500</v>
      </c>
      <c r="L30" s="3686">
        <v>6113</v>
      </c>
      <c r="M30" s="3686">
        <v>48874</v>
      </c>
    </row>
    <row r="31" spans="1:13" ht="18.75" customHeight="1" thickBot="1">
      <c r="A31" s="3690">
        <v>28</v>
      </c>
      <c r="B31" s="3686" t="s">
        <v>5109</v>
      </c>
      <c r="C31" s="3692" t="s">
        <v>5108</v>
      </c>
      <c r="D31" s="3686">
        <v>27</v>
      </c>
      <c r="E31" s="3686">
        <v>356.32</v>
      </c>
      <c r="F31" s="3689">
        <f ca="1">ROUND('收益法-地上'!C13/'收益法-地上'!F43*结果汇总!E31,0)</f>
        <v>256</v>
      </c>
      <c r="K31" s="3686">
        <f t="shared" ca="1" si="0"/>
        <v>7185</v>
      </c>
      <c r="L31" s="3686">
        <v>1728</v>
      </c>
      <c r="M31" s="3686">
        <v>48496</v>
      </c>
    </row>
    <row r="32" spans="1:13" ht="15.75" customHeight="1" thickBot="1">
      <c r="A32" s="3690">
        <v>29</v>
      </c>
      <c r="B32" s="3686" t="s">
        <v>5111</v>
      </c>
      <c r="C32" s="3692" t="s">
        <v>5110</v>
      </c>
      <c r="D32" s="3686" t="s">
        <v>5112</v>
      </c>
      <c r="E32" s="3686">
        <v>6149.2</v>
      </c>
      <c r="F32" s="3686">
        <f ca="1">ROUND('收益法（汇总）'!B7/'收益法（汇总）'!B2*结果汇总!F33,0)</f>
        <v>4516</v>
      </c>
      <c r="K32" s="3686">
        <f t="shared" ca="1" si="0"/>
        <v>7344</v>
      </c>
      <c r="L32" s="3686">
        <f ca="1">ROUND('收益法（汇总）'!B7/'收益法（汇总）'!B2*结果汇总!L33,0)</f>
        <v>4322</v>
      </c>
      <c r="M32" s="3686">
        <f ca="1">ROUND(L32*10000/E32,0)</f>
        <v>7029</v>
      </c>
    </row>
    <row r="33" spans="1:13" ht="14.25" thickBot="1">
      <c r="A33" s="3690"/>
      <c r="B33" s="4132" t="s">
        <v>5113</v>
      </c>
      <c r="C33" s="4132"/>
      <c r="D33" s="4133"/>
      <c r="E33" s="3686">
        <v>48720.73</v>
      </c>
      <c r="F33" s="3686">
        <f ca="1">结果表!H101</f>
        <v>196852</v>
      </c>
      <c r="K33" s="3686">
        <f ca="1">结果表!I118</f>
        <v>40404</v>
      </c>
      <c r="L33" s="3686">
        <f ca="1">结果表!H111</f>
        <v>188390</v>
      </c>
      <c r="M33" s="3686">
        <f ca="1">结果表!H112</f>
        <v>38667</v>
      </c>
    </row>
    <row r="34" spans="1:13">
      <c r="E34">
        <f>SUM(E4:E32)</f>
        <v>48720.729999999974</v>
      </c>
      <c r="F34" s="3688">
        <f ca="1">SUM(F4:F32)</f>
        <v>196852</v>
      </c>
    </row>
    <row r="35" spans="1:13">
      <c r="F35">
        <f ca="1">F34-F33</f>
        <v>0</v>
      </c>
    </row>
    <row r="36" spans="1:13">
      <c r="E36">
        <f>E33-E32-E31</f>
        <v>42215.210000000006</v>
      </c>
      <c r="F36">
        <f ca="1">F33-F32-F31</f>
        <v>192080</v>
      </c>
      <c r="L36">
        <f ca="1">L33-L32</f>
        <v>184068</v>
      </c>
    </row>
    <row r="37" spans="1:13">
      <c r="F37">
        <f ca="1">ROUND(F36*10000/'收益法-地上'!F7,0)</f>
        <v>45500</v>
      </c>
    </row>
    <row r="39" spans="1:13">
      <c r="F39">
        <f ca="1">SUM(F5:F30)</f>
        <v>175569</v>
      </c>
    </row>
  </sheetData>
  <mergeCells count="9">
    <mergeCell ref="C2:C3"/>
    <mergeCell ref="M2:M3"/>
    <mergeCell ref="B33:D33"/>
    <mergeCell ref="A2:A3"/>
    <mergeCell ref="B2:B3"/>
    <mergeCell ref="E2:E3"/>
    <mergeCell ref="F2:F3"/>
    <mergeCell ref="K2:K3"/>
    <mergeCell ref="L2:L3"/>
  </mergeCells>
  <phoneticPr fontId="134" type="noConversion"/>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719" t="s">
        <v>949</v>
      </c>
      <c r="B1" s="3719"/>
      <c r="C1" s="3719"/>
      <c r="D1" s="3719"/>
    </row>
    <row r="2" spans="1:4" ht="18">
      <c r="A2" s="3720" t="s">
        <v>933</v>
      </c>
      <c r="B2" s="3720"/>
      <c r="C2" s="3720"/>
      <c r="D2" s="3720"/>
    </row>
    <row r="3" spans="1:4" ht="18.75">
      <c r="A3" s="1509" t="s">
        <v>934</v>
      </c>
      <c r="B3" s="1509" t="s">
        <v>935</v>
      </c>
      <c r="C3" s="1509" t="s">
        <v>936</v>
      </c>
      <c r="D3" s="1509" t="s">
        <v>937</v>
      </c>
    </row>
    <row r="4" spans="1:4" ht="56.25" customHeight="1">
      <c r="A4" s="1510" t="str">
        <f>项目基本情况!B4</f>
        <v>吴薇</v>
      </c>
      <c r="B4" s="1511">
        <f ca="1">项目基本情况!C4</f>
        <v>1419970001</v>
      </c>
      <c r="C4" s="1512"/>
      <c r="D4" s="1513" t="s">
        <v>938</v>
      </c>
    </row>
    <row r="5" spans="1:4" ht="56.25" customHeight="1">
      <c r="A5" s="1510" t="str">
        <f>项目基本情况!D4</f>
        <v>郑燚</v>
      </c>
      <c r="B5" s="1511">
        <f ca="1">项目基本情况!E4</f>
        <v>1120070131</v>
      </c>
      <c r="C5" s="1514"/>
      <c r="D5" s="1513" t="s">
        <v>938</v>
      </c>
    </row>
    <row r="6" spans="1:4" ht="18">
      <c r="A6" s="3720" t="s">
        <v>939</v>
      </c>
      <c r="B6" s="3720"/>
      <c r="C6" s="3720"/>
      <c r="D6" s="372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721" t="s">
        <v>942</v>
      </c>
      <c r="B11" s="3713"/>
      <c r="C11" s="3713"/>
      <c r="D11" s="3713"/>
    </row>
    <row r="12" spans="1:4" ht="15.75">
      <c r="A12" s="37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18"/>
      <c r="C12" s="3718"/>
      <c r="D12" s="3718"/>
    </row>
    <row r="13" spans="1:4" ht="30" customHeight="1">
      <c r="A13" s="37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18"/>
      <c r="C13" s="3718"/>
      <c r="D13" s="3718"/>
    </row>
    <row r="14" spans="1:4" ht="15.75" customHeight="1">
      <c r="A14" s="3713" t="str">
        <f>IF(项目基本情况!B8="抵押","4.本次评估估价师所知悉的法定优先受偿款情况说明如下：","——")</f>
        <v>4.本次评估估价师所知悉的法定优先受偿款情况说明如下：</v>
      </c>
      <c r="B14" s="3718"/>
      <c r="C14" s="3718"/>
      <c r="D14" s="3718"/>
    </row>
    <row r="15" spans="1:4" ht="42" customHeight="1">
      <c r="A15" s="371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13"/>
      <c r="C15" s="3713"/>
      <c r="D15" s="3713"/>
    </row>
    <row r="16" spans="1:4" ht="30" customHeight="1">
      <c r="A16" s="3715" t="s">
        <v>943</v>
      </c>
      <c r="B16" s="3715"/>
      <c r="C16" s="3715"/>
      <c r="D16" s="3715"/>
    </row>
    <row r="17" spans="1:4" ht="144" customHeight="1">
      <c r="A17" s="3715" t="s">
        <v>944</v>
      </c>
      <c r="B17" s="3715"/>
      <c r="C17" s="3715"/>
      <c r="D17" s="3715"/>
    </row>
    <row r="18" spans="1:4" ht="15.75" customHeight="1">
      <c r="A18" s="3713" t="str">
        <f>IF(项目基本情况!B8="抵押",结果表!K120,"——")</f>
        <v>故，本次评估不存在</v>
      </c>
      <c r="B18" s="3713"/>
      <c r="C18" s="3713"/>
      <c r="D18" s="3713"/>
    </row>
    <row r="19" spans="1:4" ht="46.5" customHeight="1">
      <c r="A19" s="37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13"/>
      <c r="C19" s="3713"/>
      <c r="D19" s="3713"/>
    </row>
    <row r="20" spans="1:4" ht="57.75" customHeight="1">
      <c r="A20" s="37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713"/>
      <c r="C20" s="3713"/>
      <c r="D20" s="3713"/>
    </row>
    <row r="21" spans="1:4" ht="57.75" customHeight="1">
      <c r="A21" s="37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716"/>
      <c r="C21" s="3716"/>
      <c r="D21" s="3716"/>
    </row>
    <row r="22" spans="1:4" ht="18.75" customHeight="1">
      <c r="A22" s="3717" t="s">
        <v>945</v>
      </c>
      <c r="B22" s="3717"/>
      <c r="C22" s="3717"/>
      <c r="D22" s="371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714">
        <v>42551</v>
      </c>
      <c r="D31" s="371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727" t="s">
        <v>956</v>
      </c>
      <c r="B15" s="3722" t="s">
        <v>109</v>
      </c>
      <c r="C15" s="3723"/>
    </row>
    <row r="16" spans="1:7" ht="13.5">
      <c r="A16" s="3728"/>
      <c r="B16" s="3722" t="s">
        <v>42</v>
      </c>
      <c r="C16" s="3723"/>
    </row>
    <row r="17" spans="1:3" ht="13.5">
      <c r="A17" s="3728"/>
      <c r="B17" s="3725" t="s">
        <v>957</v>
      </c>
      <c r="C17" s="1532" t="s">
        <v>956</v>
      </c>
    </row>
    <row r="18" spans="1:3" ht="13.5">
      <c r="A18" s="3728"/>
      <c r="B18" s="3725"/>
      <c r="C18" s="1532" t="s">
        <v>958</v>
      </c>
    </row>
    <row r="19" spans="1:3" ht="13.5">
      <c r="A19" s="3728"/>
      <c r="B19" s="3725"/>
      <c r="C19" s="1532" t="s">
        <v>959</v>
      </c>
    </row>
    <row r="20" spans="1:3" ht="13.5">
      <c r="A20" s="3729"/>
      <c r="B20" s="3724" t="s">
        <v>960</v>
      </c>
      <c r="C20" s="3723"/>
    </row>
    <row r="21" spans="1:3" ht="13.5">
      <c r="A21" s="1533" t="s">
        <v>961</v>
      </c>
      <c r="B21" s="1534"/>
      <c r="C21" s="1535"/>
    </row>
    <row r="22" spans="1:3" ht="13.5">
      <c r="A22" s="3726" t="s">
        <v>962</v>
      </c>
      <c r="B22" s="3724" t="s">
        <v>963</v>
      </c>
      <c r="C22" s="3723"/>
    </row>
    <row r="23" spans="1:3" ht="13.5">
      <c r="A23" s="3726"/>
      <c r="B23" s="3724" t="s">
        <v>964</v>
      </c>
      <c r="C23" s="3723"/>
    </row>
    <row r="24" spans="1:3" ht="13.5">
      <c r="A24" s="3726"/>
      <c r="B24" s="3724" t="s">
        <v>965</v>
      </c>
      <c r="C24" s="3723"/>
    </row>
    <row r="25" spans="1:3" ht="13.5">
      <c r="A25" s="3726"/>
      <c r="B25" s="3725" t="s">
        <v>966</v>
      </c>
      <c r="C25" s="1532" t="s">
        <v>967</v>
      </c>
    </row>
    <row r="26" spans="1:3" ht="13.5">
      <c r="A26" s="3726"/>
      <c r="B26" s="3725"/>
      <c r="C26" s="1532" t="s">
        <v>968</v>
      </c>
    </row>
    <row r="27" spans="1:3" ht="13.5">
      <c r="A27" s="3726"/>
      <c r="B27" s="3725"/>
      <c r="C27" s="1532" t="s">
        <v>969</v>
      </c>
    </row>
    <row r="28" spans="1:3" ht="13.5">
      <c r="A28" s="3726"/>
      <c r="B28" s="3725"/>
      <c r="C28" s="1532" t="s">
        <v>970</v>
      </c>
    </row>
    <row r="29" spans="1:3" ht="13.5">
      <c r="A29" s="3726"/>
      <c r="B29" s="3725"/>
      <c r="C29" s="1532" t="s">
        <v>971</v>
      </c>
    </row>
    <row r="30" spans="1:3" ht="13.5">
      <c r="A30" s="3726"/>
      <c r="B30" s="3725"/>
      <c r="C30" s="1532" t="s">
        <v>972</v>
      </c>
    </row>
    <row r="31" spans="1:3" ht="13.5">
      <c r="A31" s="3726"/>
      <c r="B31" s="3725"/>
      <c r="C31" s="1532" t="s">
        <v>973</v>
      </c>
    </row>
    <row r="32" spans="1:3" ht="13.5">
      <c r="A32" s="3726"/>
      <c r="B32" s="3725"/>
      <c r="C32" s="1532" t="s">
        <v>974</v>
      </c>
    </row>
    <row r="33" spans="1:3" ht="13.5">
      <c r="A33" s="3726"/>
      <c r="B33" s="372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2123</v>
      </c>
      <c r="B2" s="2339">
        <f ca="1">TODAY()</f>
        <v>45293</v>
      </c>
      <c r="C2" s="2340" t="s">
        <v>2124</v>
      </c>
      <c r="D2" s="2340"/>
      <c r="E2" s="2340"/>
      <c r="F2" s="2336"/>
      <c r="G2" s="2336"/>
      <c r="H2" s="2336"/>
    </row>
    <row r="3" spans="1:8" ht="24" customHeight="1">
      <c r="A3" s="2341" t="s">
        <v>2125</v>
      </c>
      <c r="B3" s="2342" t="s">
        <v>2126</v>
      </c>
      <c r="C3" s="2342" t="s">
        <v>2127</v>
      </c>
      <c r="D3" s="2343" t="s">
        <v>2128</v>
      </c>
      <c r="E3" s="2344" t="s">
        <v>2129</v>
      </c>
      <c r="F3" s="1304" t="s">
        <v>2130</v>
      </c>
      <c r="G3" s="2342" t="s">
        <v>2127</v>
      </c>
      <c r="H3" s="2343" t="s">
        <v>2131</v>
      </c>
    </row>
    <row r="4" spans="1:8" ht="24" customHeight="1">
      <c r="A4" s="1304" t="s">
        <v>2132</v>
      </c>
      <c r="B4" s="1304">
        <f ca="1">IF(C4&lt;B2,"已过期",1119970066)</f>
        <v>1119970066</v>
      </c>
      <c r="C4" s="2345">
        <v>45937</v>
      </c>
      <c r="D4" s="2346" t="str">
        <f ca="1">A4&amp;"（注册号："&amp;B4&amp;"）"</f>
        <v>梁津（注册号：1119970066）</v>
      </c>
      <c r="E4" s="2347" t="s">
        <v>2132</v>
      </c>
      <c r="F4" s="1304">
        <f ca="1">IF(G4&lt;B2,"已过期",96010014)</f>
        <v>96010014</v>
      </c>
      <c r="G4" s="2348">
        <v>47118</v>
      </c>
      <c r="H4" s="2349" t="str">
        <f ca="1">E4&amp;"（注册号："&amp;F4&amp;"）"</f>
        <v>梁津（注册号：96010014）</v>
      </c>
    </row>
    <row r="5" spans="1:8" ht="24" customHeight="1">
      <c r="A5" s="1304" t="s">
        <v>2133</v>
      </c>
      <c r="B5" s="1304">
        <f ca="1">IF(C5&lt;B2,"已过期",1119970111)</f>
        <v>1119970111</v>
      </c>
      <c r="C5" s="2345">
        <v>45937</v>
      </c>
      <c r="D5" s="2346" t="str">
        <f t="shared" ref="D5:D15" ca="1" si="0">A5&amp;"（注册号："&amp;B5&amp;"）"</f>
        <v>叶凌（注册号：1119970111）</v>
      </c>
      <c r="E5" s="2347" t="s">
        <v>2133</v>
      </c>
      <c r="F5" s="1304">
        <f ca="1">IF(G5&lt;B2,"已过期",94010078)</f>
        <v>94010078</v>
      </c>
      <c r="G5" s="2348">
        <v>46387</v>
      </c>
      <c r="H5" s="2349" t="str">
        <f t="shared" ref="H5:H16" ca="1" si="1">E5&amp;"（注册号："&amp;F5&amp;"）"</f>
        <v>叶凌（注册号：94010078）</v>
      </c>
    </row>
    <row r="6" spans="1:8" ht="24" customHeight="1">
      <c r="A6" s="1304" t="s">
        <v>2134</v>
      </c>
      <c r="B6" s="1304">
        <f ca="1">IF(C6&lt;B2,"已过期",1120050019)</f>
        <v>1120050019</v>
      </c>
      <c r="C6" s="2345">
        <v>45410</v>
      </c>
      <c r="D6" s="2346" t="str">
        <f t="shared" ca="1" si="0"/>
        <v>王鹏（注册号：1120050019）</v>
      </c>
      <c r="E6" s="2347" t="s">
        <v>2134</v>
      </c>
      <c r="F6" s="1304">
        <f ca="1">IF(G6&lt;B2,"已过期",2002110030)</f>
        <v>2002110030</v>
      </c>
      <c r="G6" s="2348">
        <v>46387</v>
      </c>
      <c r="H6" s="2349" t="str">
        <f t="shared" ca="1" si="1"/>
        <v>王鹏（注册号：2002110030）</v>
      </c>
    </row>
    <row r="7" spans="1:8" ht="24" customHeight="1">
      <c r="A7" s="1304" t="s">
        <v>2135</v>
      </c>
      <c r="B7" s="1304">
        <f ca="1">IF(C7&lt;B2,"已过期",1120000080)</f>
        <v>1120000080</v>
      </c>
      <c r="C7" s="2345">
        <v>45937</v>
      </c>
      <c r="D7" s="2346" t="str">
        <f t="shared" ca="1" si="0"/>
        <v>欧红伟（注册号：1120000080）</v>
      </c>
      <c r="E7" s="2347" t="s">
        <v>2135</v>
      </c>
      <c r="F7" s="1304">
        <f ca="1">IF(G7&lt;B2,"已过期",2000110082)</f>
        <v>2000110082</v>
      </c>
      <c r="G7" s="2348">
        <v>46387</v>
      </c>
      <c r="H7" s="2349" t="str">
        <f t="shared" ca="1" si="1"/>
        <v>欧红伟（注册号：2000110082）</v>
      </c>
    </row>
    <row r="8" spans="1:8" ht="24" customHeight="1">
      <c r="A8" s="1304" t="s">
        <v>2136</v>
      </c>
      <c r="B8" s="1304">
        <f ca="1">IF(C8&lt;B2,"已过期",1419970001)</f>
        <v>1419970001</v>
      </c>
      <c r="C8" s="2345">
        <v>45937</v>
      </c>
      <c r="D8" s="2346" t="str">
        <f t="shared" ca="1" si="0"/>
        <v>吴薇（注册号：1419970001）</v>
      </c>
      <c r="E8" s="2347" t="s">
        <v>2136</v>
      </c>
      <c r="F8" s="1304">
        <f ca="1">IF(G8&lt;B2,"已过期",2002110125)</f>
        <v>2002110125</v>
      </c>
      <c r="G8" s="2348">
        <v>47118</v>
      </c>
      <c r="H8" s="2349" t="str">
        <f t="shared" ca="1" si="1"/>
        <v>吴薇（注册号：2002110125）</v>
      </c>
    </row>
    <row r="9" spans="1:8" ht="24" customHeight="1">
      <c r="A9" s="1304" t="s">
        <v>2137</v>
      </c>
      <c r="B9" s="1304">
        <f ca="1">IF(C9&lt;B2,"已过期",1120060040)</f>
        <v>1120060040</v>
      </c>
      <c r="C9" s="2350">
        <v>45592</v>
      </c>
      <c r="D9" s="2346" t="str">
        <f t="shared" ca="1" si="0"/>
        <v>陈颖（注册号：1120060040）</v>
      </c>
      <c r="E9" s="2347" t="s">
        <v>2137</v>
      </c>
      <c r="F9" s="1304">
        <f ca="1">IF(G9&lt;B2,"已过期",2004110096)</f>
        <v>2004110096</v>
      </c>
      <c r="G9" s="2348">
        <v>47118</v>
      </c>
      <c r="H9" s="2349" t="str">
        <f t="shared" ca="1" si="1"/>
        <v>陈颖（注册号：2004110096）</v>
      </c>
    </row>
    <row r="10" spans="1:8" ht="24" customHeight="1">
      <c r="A10" s="1304" t="s">
        <v>2138</v>
      </c>
      <c r="B10" s="1304">
        <f ca="1">IF(C10&lt;B2,"已过期",1120100036)</f>
        <v>1120100036</v>
      </c>
      <c r="C10" s="2350">
        <v>45752</v>
      </c>
      <c r="D10" s="2346" t="str">
        <f t="shared" ca="1" si="0"/>
        <v>崔锴（注册号：1120100036）</v>
      </c>
      <c r="E10" s="2347" t="s">
        <v>2138</v>
      </c>
      <c r="F10" s="1304">
        <f ca="1">IF(G10&lt;B2,"已过期",2010110070)</f>
        <v>2010110070</v>
      </c>
      <c r="G10" s="2348">
        <v>47907</v>
      </c>
      <c r="H10" s="2349" t="str">
        <f t="shared" ca="1" si="1"/>
        <v>崔锴（注册号：2010110070）</v>
      </c>
    </row>
    <row r="11" spans="1:8" ht="24" customHeight="1">
      <c r="A11" s="1304" t="s">
        <v>2139</v>
      </c>
      <c r="B11" s="1304">
        <f ca="1">IF(C11&lt;B2,"已过期",1120070131)</f>
        <v>1120070131</v>
      </c>
      <c r="C11" s="2345">
        <v>45937</v>
      </c>
      <c r="D11" s="2346" t="str">
        <f t="shared" ca="1" si="0"/>
        <v>郑燚（注册号：1120070131）</v>
      </c>
      <c r="E11" s="2347" t="s">
        <v>2139</v>
      </c>
      <c r="F11" s="1304">
        <f ca="1">IF(G11&lt;B2,"已过期",2014110011)</f>
        <v>2014110011</v>
      </c>
      <c r="G11" s="2348">
        <v>49302</v>
      </c>
      <c r="H11" s="2349" t="str">
        <f t="shared" ca="1" si="1"/>
        <v>郑燚（注册号：2014110011）</v>
      </c>
    </row>
    <row r="12" spans="1:8" ht="24" customHeight="1">
      <c r="A12" s="1304" t="s">
        <v>2140</v>
      </c>
      <c r="B12" s="1304">
        <f ca="1">IF(C12&lt;B2,"已过期",1120040230)</f>
        <v>1120040230</v>
      </c>
      <c r="C12" s="2350">
        <v>45937</v>
      </c>
      <c r="D12" s="2346" t="str">
        <f t="shared" ca="1" si="0"/>
        <v>苏海（注册号：1120040230）</v>
      </c>
      <c r="E12" s="2347" t="s">
        <v>2140</v>
      </c>
      <c r="F12" s="1304">
        <f ca="1">IF(G12&lt;B2,"已过期",98030020)</f>
        <v>98030020</v>
      </c>
      <c r="G12" s="2348">
        <v>47118</v>
      </c>
      <c r="H12" s="2349" t="str">
        <f t="shared" ca="1" si="1"/>
        <v>苏海（注册号：98030020）</v>
      </c>
    </row>
    <row r="13" spans="1:8" ht="24" customHeight="1">
      <c r="A13" s="1304" t="s">
        <v>2141</v>
      </c>
      <c r="B13" s="1304">
        <f ca="1">IF(C13&lt;B2,"已过期",1120020033)</f>
        <v>1120020033</v>
      </c>
      <c r="C13" s="2345">
        <v>45375</v>
      </c>
      <c r="D13" s="2346" t="str">
        <f t="shared" ca="1" si="0"/>
        <v>刘敬东（注册号：1120020033）</v>
      </c>
      <c r="E13" s="2347" t="s">
        <v>2141</v>
      </c>
      <c r="F13" s="1304">
        <f ca="1">IF(G13&lt;B2,"已过期",2000110137)</f>
        <v>2000110137</v>
      </c>
      <c r="G13" s="2348">
        <v>46387</v>
      </c>
      <c r="H13" s="2349" t="str">
        <f t="shared" ca="1" si="1"/>
        <v>刘敬东（注册号：2000110137）</v>
      </c>
    </row>
    <row r="14" spans="1:8" ht="24" customHeight="1">
      <c r="A14" s="1304" t="s">
        <v>2142</v>
      </c>
      <c r="B14" s="1304" t="str">
        <f ca="1">IF(C14&lt;B2,"已过期",1119980106)</f>
        <v>已过期</v>
      </c>
      <c r="C14" s="2350">
        <v>44969</v>
      </c>
      <c r="D14" s="2346" t="str">
        <f t="shared" ca="1" si="0"/>
        <v>刘俊财（注册号：已过期）</v>
      </c>
      <c r="E14" s="2347" t="s">
        <v>2142</v>
      </c>
      <c r="F14" s="1304">
        <f ca="1">IF(G14&lt;B2,"已过期",96010063)</f>
        <v>96010063</v>
      </c>
      <c r="G14" s="2348">
        <v>47483</v>
      </c>
      <c r="H14" s="2349" t="str">
        <f t="shared" ca="1" si="1"/>
        <v>刘俊财（注册号：96010063）</v>
      </c>
    </row>
    <row r="15" spans="1:8" ht="24" customHeight="1">
      <c r="A15" s="1304" t="s">
        <v>2421</v>
      </c>
      <c r="B15" s="1304">
        <v>1120210056</v>
      </c>
      <c r="C15" s="2350">
        <v>45410</v>
      </c>
      <c r="D15" s="2346" t="str">
        <f t="shared" si="0"/>
        <v>宁小鳗（注册号：1120210056）</v>
      </c>
      <c r="E15" s="2347" t="s">
        <v>2143</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730" t="s">
        <v>2144</v>
      </c>
      <c r="B17" s="3730"/>
      <c r="C17" s="3730"/>
      <c r="D17" s="3730"/>
      <c r="E17" s="3730"/>
      <c r="F17" s="3730"/>
      <c r="G17" s="3730"/>
      <c r="H17" s="3730"/>
    </row>
    <row r="18" spans="1:8" ht="24" customHeight="1">
      <c r="A18" s="3731" t="s">
        <v>2145</v>
      </c>
      <c r="B18" s="3731"/>
      <c r="C18" s="3731"/>
      <c r="D18" s="2343"/>
      <c r="E18" s="3732" t="s">
        <v>2146</v>
      </c>
      <c r="F18" s="3731"/>
      <c r="G18" s="3731"/>
    </row>
    <row r="19" spans="1:8" s="2354" customFormat="1" ht="24" customHeight="1">
      <c r="A19" s="2353" t="s">
        <v>2147</v>
      </c>
      <c r="B19" s="2342" t="s">
        <v>2148</v>
      </c>
      <c r="C19" s="2342" t="s">
        <v>2127</v>
      </c>
      <c r="D19" s="2343"/>
      <c r="E19" s="2347" t="s">
        <v>2147</v>
      </c>
      <c r="F19" s="2342" t="s">
        <v>2148</v>
      </c>
      <c r="G19" s="2342" t="s">
        <v>2127</v>
      </c>
    </row>
    <row r="20" spans="1:8" s="2354" customFormat="1" ht="24" customHeight="1">
      <c r="A20" s="2355" t="s">
        <v>2149</v>
      </c>
      <c r="B20" s="2355" t="s">
        <v>2150</v>
      </c>
      <c r="C20" s="2348">
        <v>45898</v>
      </c>
      <c r="D20" s="2356"/>
      <c r="E20" s="2357" t="s">
        <v>2151</v>
      </c>
      <c r="F20" s="2360" t="s">
        <v>2422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3"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154</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收益法 (元)</vt:lpstr>
      <vt:lpstr>收益法-酒店模型</vt:lpstr>
      <vt:lpstr>基准地价（汇总）</vt:lpstr>
      <vt:lpstr>比较法-办公</vt:lpstr>
      <vt:lpstr>2021</vt:lpstr>
      <vt:lpstr>收益法（汇总）</vt:lpstr>
      <vt:lpstr>比较法-住宅</vt:lpstr>
      <vt:lpstr>比较法-商业</vt:lpstr>
      <vt:lpstr>比较法-工业</vt:lpstr>
      <vt:lpstr>比较法-车位</vt:lpstr>
      <vt:lpstr>比较法-仓储</vt:lpstr>
      <vt:lpstr>土地比较法-工业</vt:lpstr>
      <vt:lpstr>典型户型修正</vt:lpstr>
      <vt:lpstr>收益法-地上</vt:lpstr>
      <vt:lpstr>收益法-地下</vt:lpstr>
      <vt:lpstr>修正</vt:lpstr>
      <vt:lpstr>容积率修正</vt:lpstr>
      <vt:lpstr>成本法（废）</vt:lpstr>
      <vt:lpstr>区片价</vt:lpstr>
      <vt:lpstr>因素修正幅度</vt:lpstr>
      <vt:lpstr>区片价（范围）</vt:lpstr>
      <vt:lpstr>地价-分区</vt:lpstr>
      <vt:lpstr>地价</vt:lpstr>
      <vt:lpstr>存贷款利率</vt:lpstr>
      <vt:lpstr>成本法</vt:lpstr>
      <vt:lpstr>土地比较法-住宅、综合</vt:lpstr>
      <vt:lpstr>土地案例</vt:lpstr>
      <vt:lpstr>基准地价修正</vt:lpstr>
      <vt:lpstr>案例</vt:lpstr>
      <vt:lpstr>租约汇总</vt:lpstr>
      <vt:lpstr>租赁形态表 </vt:lpstr>
      <vt:lpstr>结果对比</vt:lpstr>
      <vt:lpstr>结果汇总</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'收益法-地上'!Print_Area</vt:lpstr>
      <vt:lpstr>'收益法-地下'!Print_Area</vt:lpstr>
      <vt:lpstr>'数据-汇总表'!Print_Area</vt:lpstr>
      <vt:lpstr>'土地比较法-工业'!Print_Area</vt:lpstr>
      <vt:lpstr>'土地比较法-住宅、综合'!Print_Area</vt:lpstr>
      <vt:lpstr>系统读取表!Print_Area</vt:lpstr>
      <vt:lpstr>项目基本情况!Print_Area</vt:lpstr>
      <vt:lpstr>租约汇总!Print_Area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2024-01-02T04:44:14Z</cp:lastPrinted>
  <dcterms:created xsi:type="dcterms:W3CDTF">2015-07-13T07:17:23Z</dcterms:created>
  <dcterms:modified xsi:type="dcterms:W3CDTF">2024-01-02T09:29:14Z</dcterms:modified>
</cp:coreProperties>
</file>